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/>
  <xr:revisionPtr revIDLastSave="103" documentId="11_6C5885B4FDDB1F855976B79B35EFECBB94710FA5" xr6:coauthVersionLast="47" xr6:coauthVersionMax="47" xr10:uidLastSave="{84D5269A-4B80-5492-B7DE-9FD67CA0461D}"/>
  <bookViews>
    <workbookView xWindow="0" yWindow="0" windowWidth="0" windowHeight="0" firstSheet="1" activeTab="1" xr2:uid="{00000000-000D-0000-FFFF-FFFF00000000}"/>
  </bookViews>
  <sheets>
    <sheet name="Contents" sheetId="1" r:id="rId1"/>
    <sheet name="Sample" sheetId="2" r:id="rId2"/>
    <sheet name="Conns per Input" sheetId="3" r:id="rId3"/>
    <sheet name="Stat per Input  Target Typ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26" i="2" l="1"/>
  <c r="J3625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J3600" i="2"/>
  <c r="J3599" i="2"/>
  <c r="J3598" i="2"/>
  <c r="J3597" i="2"/>
  <c r="J3596" i="2"/>
  <c r="J3595" i="2"/>
  <c r="J3594" i="2"/>
  <c r="J3593" i="2"/>
  <c r="J3592" i="2"/>
  <c r="J3591" i="2"/>
  <c r="J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J3576" i="2"/>
  <c r="J3575" i="2"/>
  <c r="J3574" i="2"/>
  <c r="J3573" i="2"/>
  <c r="J3572" i="2"/>
  <c r="J3571" i="2"/>
  <c r="J3570" i="2"/>
  <c r="J3569" i="2"/>
  <c r="J3568" i="2"/>
  <c r="J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7" i="2"/>
  <c r="J3476" i="2"/>
  <c r="J3475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7" i="2"/>
  <c r="J3396" i="2"/>
  <c r="J3395" i="2"/>
  <c r="J3394" i="2"/>
  <c r="J3393" i="2"/>
  <c r="J3392" i="2"/>
  <c r="J3391" i="2"/>
  <c r="J3390" i="2"/>
  <c r="J3389" i="2"/>
  <c r="J3388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7" i="2"/>
  <c r="J3356" i="2"/>
  <c r="J3355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J3126" i="2"/>
  <c r="J3125" i="2"/>
  <c r="J3124" i="2"/>
  <c r="J3123" i="2"/>
  <c r="J3121" i="2"/>
  <c r="J3120" i="2"/>
  <c r="J3119" i="2"/>
  <c r="J3118" i="2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9" i="2"/>
  <c r="J3068" i="2"/>
  <c r="J3067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9" i="2"/>
  <c r="J2948" i="2"/>
  <c r="J2947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J2904" i="2"/>
  <c r="J2903" i="2"/>
  <c r="J2902" i="2"/>
  <c r="J2901" i="2"/>
  <c r="J2900" i="2"/>
  <c r="J2899" i="2"/>
  <c r="J2897" i="2"/>
  <c r="J2896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2" i="2"/>
  <c r="J2871" i="2"/>
  <c r="J2870" i="2"/>
  <c r="J2869" i="2"/>
  <c r="J2868" i="2"/>
  <c r="J2867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3" i="2"/>
  <c r="J2852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9" i="2"/>
  <c r="J2828" i="2"/>
  <c r="J2827" i="2"/>
  <c r="J2826" i="2"/>
  <c r="J2825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9" i="2"/>
  <c r="J2788" i="2"/>
  <c r="J2787" i="2"/>
  <c r="J2786" i="2"/>
  <c r="J2785" i="2"/>
  <c r="J2784" i="2"/>
  <c r="J2783" i="2"/>
  <c r="J2782" i="2"/>
  <c r="J2781" i="2"/>
  <c r="J2780" i="2"/>
  <c r="J2779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J2735" i="2"/>
  <c r="J2733" i="2"/>
  <c r="J2732" i="2"/>
  <c r="J2731" i="2"/>
  <c r="J2730" i="2"/>
  <c r="J2729" i="2"/>
  <c r="J2728" i="2"/>
  <c r="J2727" i="2"/>
  <c r="J2726" i="2"/>
  <c r="J2725" i="2"/>
  <c r="J2724" i="2"/>
  <c r="J2723" i="2"/>
  <c r="J2721" i="2"/>
  <c r="J2720" i="2"/>
  <c r="J2718" i="2"/>
  <c r="J2717" i="2"/>
  <c r="J2716" i="2"/>
  <c r="J2715" i="2"/>
  <c r="J2713" i="2"/>
  <c r="J2712" i="2"/>
  <c r="J2711" i="2"/>
  <c r="J2710" i="2"/>
  <c r="J2708" i="2"/>
  <c r="J2706" i="2"/>
  <c r="J2705" i="2"/>
  <c r="J2704" i="2"/>
  <c r="J2703" i="2"/>
  <c r="J2702" i="2"/>
  <c r="J2701" i="2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82" i="2"/>
  <c r="J2581" i="2"/>
  <c r="J2580" i="2"/>
  <c r="J2579" i="2"/>
  <c r="J2578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6" i="2"/>
  <c r="J2545" i="2"/>
  <c r="J2544" i="2"/>
  <c r="J2543" i="2"/>
  <c r="J2542" i="2"/>
  <c r="J2541" i="2"/>
  <c r="J2540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476" i="2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62" i="2"/>
  <c r="J2461" i="2"/>
  <c r="J2459" i="2"/>
  <c r="J2458" i="2"/>
  <c r="J2457" i="2"/>
  <c r="J2456" i="2"/>
  <c r="J2455" i="2"/>
  <c r="J2454" i="2"/>
  <c r="J2453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J2429" i="2"/>
  <c r="J2428" i="2"/>
  <c r="J2427" i="2"/>
  <c r="J2426" i="2"/>
  <c r="J2425" i="2"/>
  <c r="J2424" i="2"/>
  <c r="J2423" i="2"/>
  <c r="J2422" i="2"/>
  <c r="J2421" i="2"/>
  <c r="J2420" i="2"/>
  <c r="J2419" i="2"/>
  <c r="J2418" i="2"/>
  <c r="J2417" i="2"/>
  <c r="J2416" i="2"/>
  <c r="J2415" i="2"/>
  <c r="J2414" i="2"/>
  <c r="J2413" i="2"/>
  <c r="J2412" i="2"/>
  <c r="J2411" i="2"/>
  <c r="J2410" i="2"/>
  <c r="J2409" i="2"/>
  <c r="J2407" i="2"/>
  <c r="J2406" i="2"/>
  <c r="J2405" i="2"/>
  <c r="J2404" i="2"/>
  <c r="J2403" i="2"/>
  <c r="J2402" i="2"/>
  <c r="J2401" i="2"/>
  <c r="J2400" i="2"/>
  <c r="J2399" i="2"/>
  <c r="J2398" i="2"/>
  <c r="J2397" i="2"/>
  <c r="J2396" i="2"/>
  <c r="J2395" i="2"/>
  <c r="J2394" i="2"/>
  <c r="J2393" i="2"/>
  <c r="J2392" i="2"/>
  <c r="J2391" i="2"/>
  <c r="J2390" i="2"/>
  <c r="J2389" i="2"/>
  <c r="J2387" i="2"/>
  <c r="J2386" i="2"/>
  <c r="J2385" i="2"/>
  <c r="J2383" i="2"/>
  <c r="J2381" i="2"/>
  <c r="J2380" i="2"/>
  <c r="J2379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39" i="2"/>
  <c r="J2338" i="2"/>
  <c r="J2337" i="2"/>
  <c r="J2336" i="2"/>
  <c r="J2335" i="2"/>
  <c r="J2334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62" i="2"/>
  <c r="J2261" i="2"/>
  <c r="J2260" i="2"/>
  <c r="J2259" i="2"/>
  <c r="J2258" i="2"/>
  <c r="J2257" i="2"/>
  <c r="J2256" i="2"/>
  <c r="J2255" i="2"/>
  <c r="J2254" i="2"/>
  <c r="J2253" i="2"/>
  <c r="J2252" i="2"/>
  <c r="J2251" i="2"/>
  <c r="J2250" i="2"/>
  <c r="J2249" i="2"/>
  <c r="J2248" i="2"/>
  <c r="J2247" i="2"/>
  <c r="J2246" i="2"/>
  <c r="J2245" i="2"/>
  <c r="J2244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J2230" i="2"/>
  <c r="J2229" i="2"/>
  <c r="J2228" i="2"/>
  <c r="J2227" i="2"/>
  <c r="J2226" i="2"/>
  <c r="J2225" i="2"/>
  <c r="J2224" i="2"/>
  <c r="J2223" i="2"/>
  <c r="J2222" i="2"/>
  <c r="J2221" i="2"/>
  <c r="J2220" i="2"/>
  <c r="J2219" i="2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5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8" i="2"/>
  <c r="J1726" i="2"/>
  <c r="J1725" i="2"/>
  <c r="J1724" i="2"/>
  <c r="J1723" i="2"/>
  <c r="J1722" i="2"/>
  <c r="J1721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3" i="2"/>
  <c r="J1692" i="2"/>
  <c r="J1691" i="2"/>
  <c r="J1690" i="2"/>
  <c r="J1689" i="2"/>
  <c r="J1688" i="2"/>
  <c r="J1687" i="2"/>
  <c r="J1685" i="2"/>
  <c r="J1684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6" i="2"/>
  <c r="J1645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2" i="2"/>
  <c r="J701" i="2"/>
  <c r="J700" i="2"/>
  <c r="J699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4" i="2"/>
  <c r="J673" i="2"/>
  <c r="J672" i="2"/>
  <c r="J671" i="2"/>
  <c r="J670" i="2"/>
  <c r="J669" i="2"/>
  <c r="J668" i="2"/>
  <c r="J667" i="2"/>
  <c r="J666" i="2"/>
  <c r="J665" i="2"/>
  <c r="J664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8" i="2"/>
  <c r="J606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4" i="2"/>
  <c r="J363" i="2"/>
  <c r="J362" i="2"/>
  <c r="J361" i="2"/>
  <c r="J360" i="2"/>
  <c r="J359" i="2"/>
  <c r="J358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1" i="2"/>
  <c r="J320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7" i="2"/>
  <c r="J226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B14" i="1"/>
</calcChain>
</file>

<file path=xl/sharedStrings.xml><?xml version="1.0" encoding="utf-8"?>
<sst xmlns="http://schemas.openxmlformats.org/spreadsheetml/2006/main" count="71134" uniqueCount="4910">
  <si>
    <t>External Data</t>
  </si>
  <si>
    <t>URL</t>
  </si>
  <si>
    <t>Graph Data</t>
  </si>
  <si>
    <t>bv-kg-20250225.txt.gz</t>
  </si>
  <si>
    <t>Sheet</t>
  </si>
  <si>
    <t>Description</t>
  </si>
  <si>
    <t xml:space="preserve"> </t>
  </si>
  <si>
    <t>Contents</t>
  </si>
  <si>
    <t>Sample</t>
  </si>
  <si>
    <t>The first expansion of the 10 known diseases</t>
  </si>
  <si>
    <t>Conns per Input</t>
  </si>
  <si>
    <t>Conns per Input / Target Type</t>
  </si>
  <si>
    <t>Stats</t>
  </si>
  <si>
    <t>Expanation</t>
  </si>
  <si>
    <t>Number of max expanded entities</t>
  </si>
  <si>
    <t>10 x 4 x 100</t>
  </si>
  <si>
    <t>Number of expansions</t>
  </si>
  <si>
    <t>Number of expanded entiies</t>
  </si>
  <si>
    <t>unique</t>
  </si>
  <si>
    <t>Number of max interconnections</t>
  </si>
  <si>
    <t>Number of interconnections</t>
  </si>
  <si>
    <t>Parameters</t>
  </si>
  <si>
    <t>Input</t>
  </si>
  <si>
    <t>SPINOCEREBELLAR ATAXIA TYPE 3</t>
  </si>
  <si>
    <t>Disease</t>
  </si>
  <si>
    <t>LEIGH SYNDROME</t>
  </si>
  <si>
    <t>GTPCH DEFICIENCY</t>
  </si>
  <si>
    <t>SSADH DEFICIENCY</t>
  </si>
  <si>
    <t>PYRIDOXINE DEPENDENT EPILEPSY</t>
  </si>
  <si>
    <t>GLUTARIC ACIDURIA 1</t>
  </si>
  <si>
    <t>PMM2 DEFICIENCY</t>
  </si>
  <si>
    <t>ZELLWEGER SYNDROME</t>
  </si>
  <si>
    <t>MYOTONIC DYSTROPHY TYPE 1</t>
  </si>
  <si>
    <t>CONGENITAL MYASTHENIC SYNDROME</t>
  </si>
  <si>
    <t>Expansion Size</t>
  </si>
  <si>
    <t>Expansion Types</t>
  </si>
  <si>
    <t>Gene</t>
  </si>
  <si>
    <t>Pathway</t>
  </si>
  <si>
    <t>Human Phenotype</t>
  </si>
  <si>
    <t>Drug</t>
  </si>
  <si>
    <t>source_1</t>
  </si>
  <si>
    <t>id_1</t>
  </si>
  <si>
    <t>type_1</t>
  </si>
  <si>
    <t>name_1</t>
  </si>
  <si>
    <t>source_2</t>
  </si>
  <si>
    <t>id_2</t>
  </si>
  <si>
    <t>type_2</t>
  </si>
  <si>
    <t>name_2</t>
  </si>
  <si>
    <t>score</t>
  </si>
  <si>
    <t>url</t>
  </si>
  <si>
    <t>UMLS:Disease or Syndrome:MSH</t>
  </si>
  <si>
    <t>C0751882</t>
  </si>
  <si>
    <t>Congenital Myasthenic Syndrome</t>
  </si>
  <si>
    <t>MeSH</t>
  </si>
  <si>
    <t>D003091</t>
  </si>
  <si>
    <t>Colistin</t>
  </si>
  <si>
    <t>0.000186565</t>
  </si>
  <si>
    <t>D011729</t>
  </si>
  <si>
    <t>Pyridostigmine Bromide</t>
  </si>
  <si>
    <t>0.000143655</t>
  </si>
  <si>
    <t>D000109</t>
  </si>
  <si>
    <t>Acetylcholine</t>
  </si>
  <si>
    <t>0.000131528</t>
  </si>
  <si>
    <t>D003345</t>
  </si>
  <si>
    <t>Corticosterone</t>
  </si>
  <si>
    <t>0.000121267</t>
  </si>
  <si>
    <t>C004691</t>
  </si>
  <si>
    <t>colistinmethanesulfonic acid</t>
  </si>
  <si>
    <t>0.000112872</t>
  </si>
  <si>
    <t>D005473</t>
  </si>
  <si>
    <t>Fluoxetine</t>
  </si>
  <si>
    <t>0.000108208</t>
  </si>
  <si>
    <t>D012701</t>
  </si>
  <si>
    <t>Serotonin</t>
  </si>
  <si>
    <t>0.0000998121</t>
  </si>
  <si>
    <t>D000420</t>
  </si>
  <si>
    <t>Albuterol</t>
  </si>
  <si>
    <t>0.000095148</t>
  </si>
  <si>
    <t>D007099</t>
  </si>
  <si>
    <t>Imipramine</t>
  </si>
  <si>
    <t>0.0000624992</t>
  </si>
  <si>
    <t>D004298</t>
  </si>
  <si>
    <t>Dopamine</t>
  </si>
  <si>
    <t>0.0000578351</t>
  </si>
  <si>
    <t>D004809</t>
  </si>
  <si>
    <t>Ephedrine</t>
  </si>
  <si>
    <t>0.0000522381</t>
  </si>
  <si>
    <t>D000077770</t>
  </si>
  <si>
    <t>Amifampridine</t>
  </si>
  <si>
    <t>0.0000447755</t>
  </si>
  <si>
    <t>D013482</t>
  </si>
  <si>
    <t>Superoxide Dismutase</t>
  </si>
  <si>
    <t>0.0000363801</t>
  </si>
  <si>
    <t>D011113</t>
  </si>
  <si>
    <t>Polymyxins</t>
  </si>
  <si>
    <t>0.0000345145</t>
  </si>
  <si>
    <t>D009638</t>
  </si>
  <si>
    <t>Norepinephrine</t>
  </si>
  <si>
    <t>0.000031716</t>
  </si>
  <si>
    <t>D005680</t>
  </si>
  <si>
    <t>gamma-Aminobutyric Acid</t>
  </si>
  <si>
    <t>0.0000298504</t>
  </si>
  <si>
    <t>D015283</t>
  </si>
  <si>
    <t>Citalopram</t>
  </si>
  <si>
    <t>0.0000270519</t>
  </si>
  <si>
    <t>D004491</t>
  </si>
  <si>
    <t>Edrophonium</t>
  </si>
  <si>
    <t>0.0000261191</t>
  </si>
  <si>
    <t>D009569</t>
  </si>
  <si>
    <t>Nitric Oxide</t>
  </si>
  <si>
    <t>D000324</t>
  </si>
  <si>
    <t>Adrenocorticotropic Hormone</t>
  </si>
  <si>
    <t>0.0000251862</t>
  </si>
  <si>
    <t>D048271</t>
  </si>
  <si>
    <t>Chitosan</t>
  </si>
  <si>
    <t>D000069470</t>
  </si>
  <si>
    <t>Venlafaxine Hydrochloride</t>
  </si>
  <si>
    <t>D006861</t>
  </si>
  <si>
    <t>Hydrogen Peroxide</t>
  </si>
  <si>
    <t>0.0000242534</t>
  </si>
  <si>
    <t>D003346</t>
  </si>
  <si>
    <t>Corticotropin-Releasing Hormone</t>
  </si>
  <si>
    <t>0.0000233206</t>
  </si>
  <si>
    <t>D007649</t>
  </si>
  <si>
    <t>Ketamine</t>
  </si>
  <si>
    <t>D006854</t>
  </si>
  <si>
    <t>Hydrocortisone</t>
  </si>
  <si>
    <t>0.0000223878</t>
  </si>
  <si>
    <t>D003907</t>
  </si>
  <si>
    <t>Dexamethasone</t>
  </si>
  <si>
    <t>0.0000214549</t>
  </si>
  <si>
    <t>D000089983</t>
  </si>
  <si>
    <t>Escitalopram</t>
  </si>
  <si>
    <t>D011802</t>
  </si>
  <si>
    <t>Quinidine</t>
  </si>
  <si>
    <t>D015761</t>
  </si>
  <si>
    <t>4-Aminopyridine</t>
  </si>
  <si>
    <t>0.0000205221</t>
  </si>
  <si>
    <t>D019344</t>
  </si>
  <si>
    <t>Lactic Acid</t>
  </si>
  <si>
    <t>D009388</t>
  </si>
  <si>
    <t>Neostigmine</t>
  </si>
  <si>
    <t>D011112</t>
  </si>
  <si>
    <t>Polymyxin B</t>
  </si>
  <si>
    <t>D007252</t>
  </si>
  <si>
    <t>Influenza Vaccines</t>
  </si>
  <si>
    <t>0.0000195893</t>
  </si>
  <si>
    <t>D016202</t>
  </si>
  <si>
    <t>N-Methylaspartate</t>
  </si>
  <si>
    <t>D001973</t>
  </si>
  <si>
    <t>Bromodeoxyuridine</t>
  </si>
  <si>
    <t>0.0000186565</t>
  </si>
  <si>
    <t>D014364</t>
  </si>
  <si>
    <t>Tryptophan</t>
  </si>
  <si>
    <t>0.0000177236</t>
  </si>
  <si>
    <t>D002794</t>
  </si>
  <si>
    <t>Choline</t>
  </si>
  <si>
    <t>0.0000167908</t>
  </si>
  <si>
    <t>D005472</t>
  </si>
  <si>
    <t>Fluorouracil</t>
  </si>
  <si>
    <t>D013739</t>
  </si>
  <si>
    <t>Testosterone</t>
  </si>
  <si>
    <t>0.000015858</t>
  </si>
  <si>
    <t>D000068258</t>
  </si>
  <si>
    <t>Bevacizumab</t>
  </si>
  <si>
    <t>0.0000149252</t>
  </si>
  <si>
    <t>D009538</t>
  </si>
  <si>
    <t>Nicotine</t>
  </si>
  <si>
    <t>D000086</t>
  </si>
  <si>
    <t>Acetazolamide</t>
  </si>
  <si>
    <t>0.0000130595</t>
  </si>
  <si>
    <t>D004958</t>
  </si>
  <si>
    <t>Estradiol</t>
  </si>
  <si>
    <t>D000077150</t>
  </si>
  <si>
    <t>Oxaliplatin</t>
  </si>
  <si>
    <t>D002266</t>
  </si>
  <si>
    <t>Carboxymethylcellulose Sodium</t>
  </si>
  <si>
    <t>0.0000121267</t>
  </si>
  <si>
    <t>D004837</t>
  </si>
  <si>
    <t>Epinephrine</t>
  </si>
  <si>
    <t>D016756</t>
  </si>
  <si>
    <t>Immunoglobulins, Intravenous</t>
  </si>
  <si>
    <t>D014859</t>
  </si>
  <si>
    <t>Warfarin</t>
  </si>
  <si>
    <t>D001205</t>
  </si>
  <si>
    <t>Ascorbic Acid</t>
  </si>
  <si>
    <t>0.0000111939</t>
  </si>
  <si>
    <t>D001241</t>
  </si>
  <si>
    <t>Aspirin</t>
  </si>
  <si>
    <t>D003474</t>
  </si>
  <si>
    <t>Curcumin</t>
  </si>
  <si>
    <t>D004317</t>
  </si>
  <si>
    <t>Doxorubicin</t>
  </si>
  <si>
    <t>D000082</t>
  </si>
  <si>
    <t>Acetaminophen</t>
  </si>
  <si>
    <t>0.0000102611</t>
  </si>
  <si>
    <t>C084711</t>
  </si>
  <si>
    <t>agomelatine</t>
  </si>
  <si>
    <t>D008550</t>
  </si>
  <si>
    <t>Melatonin</t>
  </si>
  <si>
    <t>D003975</t>
  </si>
  <si>
    <t>Diazepam</t>
  </si>
  <si>
    <t>0.00000932824</t>
  </si>
  <si>
    <t>D007371</t>
  </si>
  <si>
    <t>Interferon-gamma</t>
  </si>
  <si>
    <t>D009020</t>
  </si>
  <si>
    <t>Morphine</t>
  </si>
  <si>
    <t>D022242</t>
  </si>
  <si>
    <t>Pneumococcal Vaccines</t>
  </si>
  <si>
    <t>D000069552</t>
  </si>
  <si>
    <t>Rivaroxaban</t>
  </si>
  <si>
    <t>C522181</t>
  </si>
  <si>
    <t>apixaban</t>
  </si>
  <si>
    <t>0.00000839541</t>
  </si>
  <si>
    <t>D000068180</t>
  </si>
  <si>
    <t>Aripiprazole</t>
  </si>
  <si>
    <t>D002047</t>
  </si>
  <si>
    <t>Buprenorphine</t>
  </si>
  <si>
    <t>D002248</t>
  </si>
  <si>
    <t>Carbon Monoxide</t>
  </si>
  <si>
    <t>D000068818</t>
  </si>
  <si>
    <t>Cetuximab</t>
  </si>
  <si>
    <t>D002997</t>
  </si>
  <si>
    <t>Clomipramine</t>
  </si>
  <si>
    <t>D000086663</t>
  </si>
  <si>
    <t>COVID-19 Vaccines</t>
  </si>
  <si>
    <t>D019788</t>
  </si>
  <si>
    <t>Fluorodeoxyglucose F18</t>
  </si>
  <si>
    <t>D006493</t>
  </si>
  <si>
    <t>Heparin</t>
  </si>
  <si>
    <t>D000077146</t>
  </si>
  <si>
    <t>Irinotecan</t>
  </si>
  <si>
    <t>D000069056</t>
  </si>
  <si>
    <t>Lurasidone Hydrochloride</t>
  </si>
  <si>
    <t>D000069283</t>
  </si>
  <si>
    <t>Rituximab</t>
  </si>
  <si>
    <t>D020280</t>
  </si>
  <si>
    <t>Sertraline</t>
  </si>
  <si>
    <t>D000804</t>
  </si>
  <si>
    <t>Angiotensin II</t>
  </si>
  <si>
    <t>0.00000746259</t>
  </si>
  <si>
    <t>C522667</t>
  </si>
  <si>
    <t>asenapine</t>
  </si>
  <si>
    <t>D001546</t>
  </si>
  <si>
    <t>Bentonite</t>
  </si>
  <si>
    <t>D002364</t>
  </si>
  <si>
    <t>Caseins</t>
  </si>
  <si>
    <t>D000068579</t>
  </si>
  <si>
    <t>Celecoxib</t>
  </si>
  <si>
    <t>D004121</t>
  </si>
  <si>
    <t>Dimethyl Sulfoxide</t>
  </si>
  <si>
    <t>D000068800</t>
  </si>
  <si>
    <t>Etanercept</t>
  </si>
  <si>
    <t>D006820</t>
  </si>
  <si>
    <t>Hyaluronic Acid</t>
  </si>
  <si>
    <t>D017239</t>
  </si>
  <si>
    <t>Paclitaxel</t>
  </si>
  <si>
    <t>D019904</t>
  </si>
  <si>
    <t>Polymethyl Methacrylate</t>
  </si>
  <si>
    <t>D011241</t>
  </si>
  <si>
    <t>Prednisone</t>
  </si>
  <si>
    <t>D020123</t>
  </si>
  <si>
    <t>Sirolimus</t>
  </si>
  <si>
    <t>D014807</t>
  </si>
  <si>
    <t>Vitamin D</t>
  </si>
  <si>
    <t>D015232</t>
  </si>
  <si>
    <t>Dinoprostone</t>
  </si>
  <si>
    <t>0.00000652977</t>
  </si>
  <si>
    <t>D002955</t>
  </si>
  <si>
    <t>Leucovorin</t>
  </si>
  <si>
    <t>D009113</t>
  </si>
  <si>
    <t>Muramidase</t>
  </si>
  <si>
    <t>D011794</t>
  </si>
  <si>
    <t>Quercetin</t>
  </si>
  <si>
    <t>D013004</t>
  </si>
  <si>
    <t>Somatostatin</t>
  </si>
  <si>
    <t>D016559</t>
  </si>
  <si>
    <t>Tacrolimus</t>
  </si>
  <si>
    <t>D013974</t>
  </si>
  <si>
    <t>Thyroxine</t>
  </si>
  <si>
    <t>D014801</t>
  </si>
  <si>
    <t>Vitamin A</t>
  </si>
  <si>
    <t>D002945</t>
  </si>
  <si>
    <t>Cisplatin</t>
  </si>
  <si>
    <t>0.00000559694</t>
  </si>
  <si>
    <t>D003042</t>
  </si>
  <si>
    <t>Cocaine</t>
  </si>
  <si>
    <t>D003176</t>
  </si>
  <si>
    <t>Complement C3</t>
  </si>
  <si>
    <t>D003891</t>
  </si>
  <si>
    <t>Desipramine</t>
  </si>
  <si>
    <t>D004986</t>
  </si>
  <si>
    <t>Ether</t>
  </si>
  <si>
    <t>NCBI:protein-coding</t>
  </si>
  <si>
    <t>CMS</t>
  </si>
  <si>
    <t>0.00249344</t>
  </si>
  <si>
    <t>D011950</t>
  </si>
  <si>
    <t>Receptors, Cholinergic</t>
  </si>
  <si>
    <t>0.000296638</t>
  </si>
  <si>
    <t>AcetylCholine Receptor</t>
  </si>
  <si>
    <t>0.000262123</t>
  </si>
  <si>
    <t>acetylcholinesterase</t>
  </si>
  <si>
    <t>0.000160446</t>
  </si>
  <si>
    <t>PLS3</t>
  </si>
  <si>
    <t>0.000125931</t>
  </si>
  <si>
    <t>DOK7</t>
  </si>
  <si>
    <t>0.000123133</t>
  </si>
  <si>
    <t>D011978</t>
  </si>
  <si>
    <t>Receptors, Nicotinic</t>
  </si>
  <si>
    <t>NCBI:ncRNA</t>
  </si>
  <si>
    <t>BDNF</t>
  </si>
  <si>
    <t>0.0000988793</t>
  </si>
  <si>
    <t>COLQ</t>
  </si>
  <si>
    <t>0.0000904839</t>
  </si>
  <si>
    <t>fertility restorer</t>
  </si>
  <si>
    <t>brain-derived neurotrophic factor</t>
  </si>
  <si>
    <t>0.0000876854</t>
  </si>
  <si>
    <t>CMS1</t>
  </si>
  <si>
    <t>TNF</t>
  </si>
  <si>
    <t>0.0000802228</t>
  </si>
  <si>
    <t>MUSK</t>
  </si>
  <si>
    <t>0.0000783572</t>
  </si>
  <si>
    <t>RAPSN</t>
  </si>
  <si>
    <t>0.0000699618</t>
  </si>
  <si>
    <t>LOC106390267</t>
  </si>
  <si>
    <t>0.0000643648</t>
  </si>
  <si>
    <t>AGRIN</t>
  </si>
  <si>
    <t>0.0000615664</t>
  </si>
  <si>
    <t>hemoglobin</t>
  </si>
  <si>
    <t>IL6</t>
  </si>
  <si>
    <t>0.0000569022</t>
  </si>
  <si>
    <t>OTP85</t>
  </si>
  <si>
    <t>0.0000559694</t>
  </si>
  <si>
    <t>PPR</t>
  </si>
  <si>
    <t>0.0000541038</t>
  </si>
  <si>
    <t>IL1B</t>
  </si>
  <si>
    <t>0.0000513053</t>
  </si>
  <si>
    <t>GFPT1</t>
  </si>
  <si>
    <t>0.0000503725</t>
  </si>
  <si>
    <t>RAPSYN</t>
  </si>
  <si>
    <t>SOD</t>
  </si>
  <si>
    <t>MIPS</t>
  </si>
  <si>
    <t>0.0000485068</t>
  </si>
  <si>
    <t>CHRNA1</t>
  </si>
  <si>
    <t>0.0000457084</t>
  </si>
  <si>
    <t>choline acetyltransferase</t>
  </si>
  <si>
    <t>0.0000429099</t>
  </si>
  <si>
    <t>CPT</t>
  </si>
  <si>
    <t>cholinesterase</t>
  </si>
  <si>
    <t>0.0000419771</t>
  </si>
  <si>
    <t>laminin</t>
  </si>
  <si>
    <t>0.0000410442</t>
  </si>
  <si>
    <t>HC</t>
  </si>
  <si>
    <t>0.0000391786</t>
  </si>
  <si>
    <t>LRP4</t>
  </si>
  <si>
    <t>AGRN</t>
  </si>
  <si>
    <t>0.0000373129</t>
  </si>
  <si>
    <t>BRAF</t>
  </si>
  <si>
    <t>INS</t>
  </si>
  <si>
    <t>C490829</t>
  </si>
  <si>
    <t>muscle-specific kinase</t>
  </si>
  <si>
    <t>choline O-acetyltransferase</t>
  </si>
  <si>
    <t>0.0000354473</t>
  </si>
  <si>
    <t>GRIN1</t>
  </si>
  <si>
    <t>atp9</t>
  </si>
  <si>
    <t>D048868</t>
  </si>
  <si>
    <t>Adaptor Proteins, Signal Transducing</t>
  </si>
  <si>
    <t>0.0000335817</t>
  </si>
  <si>
    <t>LAMB2</t>
  </si>
  <si>
    <t>catalase</t>
  </si>
  <si>
    <t>KRAS</t>
  </si>
  <si>
    <t>0.0000307832</t>
  </si>
  <si>
    <t>FST</t>
  </si>
  <si>
    <t>atpA</t>
  </si>
  <si>
    <t>0.0000289175</t>
  </si>
  <si>
    <t>DPAGT1</t>
  </si>
  <si>
    <t>SCN4A</t>
  </si>
  <si>
    <t>TST</t>
  </si>
  <si>
    <t>nicotinic acetylcholine receptor</t>
  </si>
  <si>
    <t>0.0000279847</t>
  </si>
  <si>
    <t>STX2</t>
  </si>
  <si>
    <t>TGFB1</t>
  </si>
  <si>
    <t>ACE</t>
  </si>
  <si>
    <t>CASP3</t>
  </si>
  <si>
    <t>erythropoietin</t>
  </si>
  <si>
    <t>GMPPB</t>
  </si>
  <si>
    <t>CREB</t>
  </si>
  <si>
    <t>glucocorticoid receptor</t>
  </si>
  <si>
    <t>MDS</t>
  </si>
  <si>
    <t>CHRND</t>
  </si>
  <si>
    <t>NFKB1</t>
  </si>
  <si>
    <t>RL</t>
  </si>
  <si>
    <t>AKT</t>
  </si>
  <si>
    <t>adrenocorticotropic hormone</t>
  </si>
  <si>
    <t>F1</t>
  </si>
  <si>
    <t>HHS</t>
  </si>
  <si>
    <t>NACHR</t>
  </si>
  <si>
    <t>orf138</t>
  </si>
  <si>
    <t>PCD</t>
  </si>
  <si>
    <t>RBL1</t>
  </si>
  <si>
    <t>TP53INP1</t>
  </si>
  <si>
    <t>creatine kinase</t>
  </si>
  <si>
    <t>EMT</t>
  </si>
  <si>
    <t>ERK</t>
  </si>
  <si>
    <t>D016328</t>
  </si>
  <si>
    <t>NF-kappa B</t>
  </si>
  <si>
    <t>D011945</t>
  </si>
  <si>
    <t>Receptors, Angiotensin</t>
  </si>
  <si>
    <t>FAM20C</t>
  </si>
  <si>
    <t>D005945</t>
  </si>
  <si>
    <t>glutamine-fructose-6-phosphate transaminase (isomerizing)</t>
  </si>
  <si>
    <t>=HYPERLINK("https://www.biovista.com/db/link/%5B%5B%22Disease%7CCongenital%20Myasthenic%20Syndrome%22%5D,%20%5B%22Gene%7Cglutamine-fructose-6-phosphate%20transaminase%20(isomerizing)%22%5D%5D?strength-weight-map=%257B%2522MEDLINE_STRENGTH_AB%2522:1.0,%2522HPO%2522:100.0%257D"; "Show Evidence...")</t>
  </si>
  <si>
    <t>ICD</t>
  </si>
  <si>
    <t>IL10</t>
  </si>
  <si>
    <t>VEGFA</t>
  </si>
  <si>
    <t>CHRNB1</t>
  </si>
  <si>
    <t>CRP</t>
  </si>
  <si>
    <t>EPO</t>
  </si>
  <si>
    <t>PDGFB</t>
  </si>
  <si>
    <t>PFC</t>
  </si>
  <si>
    <t>SST</t>
  </si>
  <si>
    <t>TRKB</t>
  </si>
  <si>
    <t>CD2AP</t>
  </si>
  <si>
    <t>COX2</t>
  </si>
  <si>
    <t>D003576</t>
  </si>
  <si>
    <t>Electron Transport Complex IV</t>
  </si>
  <si>
    <t>iaaA</t>
  </si>
  <si>
    <t>IFNG</t>
  </si>
  <si>
    <t>NOS1</t>
  </si>
  <si>
    <t>nuo10.5</t>
  </si>
  <si>
    <t>pentatricopeptide repeat protein</t>
  </si>
  <si>
    <t>HP:human_phenotype</t>
  </si>
  <si>
    <t>HP:0003473</t>
  </si>
  <si>
    <t>Fatigable weakness</t>
  </si>
  <si>
    <t>0.0231698</t>
  </si>
  <si>
    <t>HP:0000508</t>
  </si>
  <si>
    <t>Ptosis</t>
  </si>
  <si>
    <t>0.0231194</t>
  </si>
  <si>
    <t>HP:0003701</t>
  </si>
  <si>
    <t>Proximal muscle weakness</t>
  </si>
  <si>
    <t>0.0230402</t>
  </si>
  <si>
    <t>HP:0002015</t>
  </si>
  <si>
    <t>Dysphagia</t>
  </si>
  <si>
    <t>0.0230383</t>
  </si>
  <si>
    <t>HP:0011968</t>
  </si>
  <si>
    <t>Feeding difficulties</t>
  </si>
  <si>
    <t>0.0230364</t>
  </si>
  <si>
    <t>HP:0002033</t>
  </si>
  <si>
    <t>Poor suck</t>
  </si>
  <si>
    <t>0.0230168</t>
  </si>
  <si>
    <t>HP:0000467</t>
  </si>
  <si>
    <t>Neck muscle weakness</t>
  </si>
  <si>
    <t>0.0230159</t>
  </si>
  <si>
    <t>HP:0004661</t>
  </si>
  <si>
    <t>Frontalis muscle weakness</t>
  </si>
  <si>
    <t>0.023014</t>
  </si>
  <si>
    <t>HP:0004889</t>
  </si>
  <si>
    <t>Intermittent episodes of respiratory insufficiency due to muscle weakness</t>
  </si>
  <si>
    <t>=HYPERLINK("https://www.biovista.com/db/link/%5B%5B%22Disease%7CCongenital%20Myasthenic%20Syndrome%22%5D,%20%5B%22Human%20Phenotype%7CIntermittent%20episodes%20of%20respiratory%20insufficiency%20due%20to%20muscle%20weakness%22%5D%5D?strength-weight-map=%257B%2522MEDLINE_STRENGTH_AB%2522:1.0,%2522HPO%2522:100.0%257D"; "Show Evidence...")</t>
  </si>
  <si>
    <t>HP:0002882</t>
  </si>
  <si>
    <t>Sudden episodic apnea</t>
  </si>
  <si>
    <t>HP:0002804</t>
  </si>
  <si>
    <t>Arthrogryposis multiplex congenita</t>
  </si>
  <si>
    <t>0.0140969</t>
  </si>
  <si>
    <t>HP:0001251</t>
  </si>
  <si>
    <t>Ataxia</t>
  </si>
  <si>
    <t>0.0140931</t>
  </si>
  <si>
    <t>HP:0000602</t>
  </si>
  <si>
    <t>Ophthalmoplegia</t>
  </si>
  <si>
    <t>0.0140913</t>
  </si>
  <si>
    <t>HP:0001249</t>
  </si>
  <si>
    <t>Intellectual disability</t>
  </si>
  <si>
    <t>0.0140857</t>
  </si>
  <si>
    <t>HP:0003324</t>
  </si>
  <si>
    <t>Generalized muscle weakness</t>
  </si>
  <si>
    <t>0.0140819</t>
  </si>
  <si>
    <t>HP:0001283</t>
  </si>
  <si>
    <t>Bulbar palsy</t>
  </si>
  <si>
    <t>0.0140726</t>
  </si>
  <si>
    <t>HP:0000961</t>
  </si>
  <si>
    <t>Cyanosis</t>
  </si>
  <si>
    <t>0.0140679</t>
  </si>
  <si>
    <t>HP:0001558</t>
  </si>
  <si>
    <t>Decreased fetal movement</t>
  </si>
  <si>
    <t>HP:0003388</t>
  </si>
  <si>
    <t>Easy fatigability</t>
  </si>
  <si>
    <t>0.0140651</t>
  </si>
  <si>
    <t>HP:0008443</t>
  </si>
  <si>
    <t>Neuropathic spinal arthropathy</t>
  </si>
  <si>
    <t>0.0140614</t>
  </si>
  <si>
    <t>HP:0004885</t>
  </si>
  <si>
    <t>Episodic respiratory distress</t>
  </si>
  <si>
    <t>0.0140605</t>
  </si>
  <si>
    <t>HP:0001288</t>
  </si>
  <si>
    <t>Gait disturbance</t>
  </si>
  <si>
    <t>HP:0001611</t>
  </si>
  <si>
    <t>Hypernasal speech</t>
  </si>
  <si>
    <t>HP:0002872</t>
  </si>
  <si>
    <t>Apneic episodes precipitated by illness, fatigue, stress</t>
  </si>
  <si>
    <t>0.0140595</t>
  </si>
  <si>
    <t>=HYPERLINK("https://www.biovista.com/db/link/%5B%5B%22Disease%7CCongenital%20Myasthenic%20Syndrome%22%5D,%20%5B%22Human%20Phenotype%7CApneic%20episodes%20precipitated%20by%20illness,%20fatigue,%20stress%22%5D%5D?strength-weight-map=%257B%2522MEDLINE_STRENGTH_AB%2522:1.0,%2522HPO%2522:100.0%257D"; "Show Evidence...")</t>
  </si>
  <si>
    <t>HP:0010536</t>
  </si>
  <si>
    <t>Central sleep apnea</t>
  </si>
  <si>
    <t>HP:0030842</t>
  </si>
  <si>
    <t>Choking episodes</t>
  </si>
  <si>
    <t>HP:0100285</t>
  </si>
  <si>
    <t>EMG: impaired neuromuscular transmission</t>
  </si>
  <si>
    <t>=HYPERLINK("https://www.biovista.com/db/link/%5B%5B%22Disease%7CCongenital%20Myasthenic%20Syndrome%22%5D,%20%5B%22Human%20Phenotype%7CEMG:%20impaired%20neuromuscular%20transmission%22%5D%5D?strength-weight-map=%257B%2522MEDLINE_STRENGTH_AB%2522:1.0,%2522HPO%2522:100.0%257D"; "Show Evidence...")</t>
  </si>
  <si>
    <t>HP:0100295</t>
  </si>
  <si>
    <t>Muscle fiber atrophy</t>
  </si>
  <si>
    <t>HP:0011469</t>
  </si>
  <si>
    <t>Nasal regurgitation</t>
  </si>
  <si>
    <t>HP:0002205</t>
  </si>
  <si>
    <t>Recurrent respiratory infections</t>
  </si>
  <si>
    <t>HP:0001252</t>
  </si>
  <si>
    <t>Hypotonia</t>
  </si>
  <si>
    <t>0.0045466</t>
  </si>
  <si>
    <t>HP:0001250</t>
  </si>
  <si>
    <t>Seizure</t>
  </si>
  <si>
    <t>0.00451302</t>
  </si>
  <si>
    <t>HP:0001270</t>
  </si>
  <si>
    <t>Motor delay</t>
  </si>
  <si>
    <t>0.00448037</t>
  </si>
  <si>
    <t>HP:0003325</t>
  </si>
  <si>
    <t>Limb-girdle muscle weakness</t>
  </si>
  <si>
    <t>0.00447757</t>
  </si>
  <si>
    <t>HP:0010307</t>
  </si>
  <si>
    <t>Stridor</t>
  </si>
  <si>
    <t>0.00447197</t>
  </si>
  <si>
    <t>HP:0001284</t>
  </si>
  <si>
    <t>Areflexia</t>
  </si>
  <si>
    <t>0.00447011</t>
  </si>
  <si>
    <t>HP:0000218</t>
  </si>
  <si>
    <t>High palate</t>
  </si>
  <si>
    <t>0.00446917</t>
  </si>
  <si>
    <t>HP:0002751</t>
  </si>
  <si>
    <t>Kyphoscoliosis</t>
  </si>
  <si>
    <t>0.00446824</t>
  </si>
  <si>
    <t>HP:0002515</t>
  </si>
  <si>
    <t>Waddling gait</t>
  </si>
  <si>
    <t>HP:0001618</t>
  </si>
  <si>
    <t>Dysphonia</t>
  </si>
  <si>
    <t>0.00446731</t>
  </si>
  <si>
    <t>HP:0001612</t>
  </si>
  <si>
    <t>Weak cry</t>
  </si>
  <si>
    <t>HP:0001761</t>
  </si>
  <si>
    <t>Pes cavus</t>
  </si>
  <si>
    <t>0.00446638</t>
  </si>
  <si>
    <t>HP:0002421</t>
  </si>
  <si>
    <t>Poor head control</t>
  </si>
  <si>
    <t>HP:0003693</t>
  </si>
  <si>
    <t>Distal amyotrophy</t>
  </si>
  <si>
    <t>0.00446544</t>
  </si>
  <si>
    <t>HP:0009053</t>
  </si>
  <si>
    <t>Distal lower limb muscle weakness</t>
  </si>
  <si>
    <t>=HYPERLINK("https://www.biovista.com/db/link/%5B%5B%22Disease%7CCongenital%20Myasthenic%20Syndrome%22%5D,%20%5B%22Human%20Phenotype%7CDistal%20lower%20limb%20muscle%20weakness%22%5D%5D?strength-weight-map=%257B%2522MEDLINE_STRENGTH_AB%2522:1.0,%2522HPO%2522:100.0%257D"; "Show Evidence...")</t>
  </si>
  <si>
    <t>HP:0003458</t>
  </si>
  <si>
    <t>EMG: myopathic abnormalities</t>
  </si>
  <si>
    <t>HP:0000276</t>
  </si>
  <si>
    <t>Long face</t>
  </si>
  <si>
    <t>HP:0012801</t>
  </si>
  <si>
    <t>Narrow jaw</t>
  </si>
  <si>
    <t>HP:0003306</t>
  </si>
  <si>
    <t>Spinal rigidity</t>
  </si>
  <si>
    <t>HP:0030051</t>
  </si>
  <si>
    <t>Tip-toe gait</t>
  </si>
  <si>
    <t>HP:0000716</t>
  </si>
  <si>
    <t>Depression</t>
  </si>
  <si>
    <t>0.00064085</t>
  </si>
  <si>
    <t>HP:0002870</t>
  </si>
  <si>
    <t>Obstructive sleep apnea</t>
  </si>
  <si>
    <t>0.000523204</t>
  </si>
  <si>
    <t>HP:0001382</t>
  </si>
  <si>
    <t>Joint hypermobility</t>
  </si>
  <si>
    <t>0.000521338</t>
  </si>
  <si>
    <t>HP:0000407</t>
  </si>
  <si>
    <t>Sensorineural hearing impairment</t>
  </si>
  <si>
    <t>0.000510144</t>
  </si>
  <si>
    <t>HP:0000651</t>
  </si>
  <si>
    <t>Diplopia</t>
  </si>
  <si>
    <t>0.000509211</t>
  </si>
  <si>
    <t>HP:0002020</t>
  </si>
  <si>
    <t>Gastroesophageal reflux</t>
  </si>
  <si>
    <t>0.000508279</t>
  </si>
  <si>
    <t>HP:0001561</t>
  </si>
  <si>
    <t>Polyhydramnios</t>
  </si>
  <si>
    <t>0.000504547</t>
  </si>
  <si>
    <t>HP:0000639</t>
  </si>
  <si>
    <t>Nystagmus</t>
  </si>
  <si>
    <t>0.000502682</t>
  </si>
  <si>
    <t>HP:0005943</t>
  </si>
  <si>
    <t>Respiratory arrest</t>
  </si>
  <si>
    <t>0.000501749</t>
  </si>
  <si>
    <t>HP:0001374</t>
  </si>
  <si>
    <t>Congenital hip dislocation</t>
  </si>
  <si>
    <t>0.000500816</t>
  </si>
  <si>
    <t>HP:0000565</t>
  </si>
  <si>
    <t>Esotropia</t>
  </si>
  <si>
    <t>HP:0000369</t>
  </si>
  <si>
    <t>Low-set ears</t>
  </si>
  <si>
    <t>HP:0000768</t>
  </si>
  <si>
    <t>Pectus carinatum</t>
  </si>
  <si>
    <t>HP:0002392</t>
  </si>
  <si>
    <t>EEG with polyspike wave complexes</t>
  </si>
  <si>
    <t>0.000499883</t>
  </si>
  <si>
    <t>=HYPERLINK("https://www.biovista.com/db/link/%5B%5B%22Disease%7CCongenital%20Myasthenic%20Syndrome%22%5D,%20%5B%22Human%20Phenotype%7CEEG%20with%20polyspike%20wave%20complexes%22%5D%5D?strength-weight-map=%257B%2522MEDLINE_STRENGTH_AB%2522:1.0,%2522HPO%2522:100.0%257D"; "Show Evidence...")</t>
  </si>
  <si>
    <t>HP:0001265</t>
  </si>
  <si>
    <t>Hyporeflexia</t>
  </si>
  <si>
    <t>HP:0000308</t>
  </si>
  <si>
    <t>Microretrognathia</t>
  </si>
  <si>
    <t>HP:0007178</t>
  </si>
  <si>
    <t>Motor polyneuropathy</t>
  </si>
  <si>
    <t>HP:0025401</t>
  </si>
  <si>
    <t>Staring gaze</t>
  </si>
  <si>
    <t>HP:0002664</t>
  </si>
  <si>
    <t>Neoplasm</t>
  </si>
  <si>
    <t>0.0004263</t>
  </si>
  <si>
    <t>HP:0032322</t>
  </si>
  <si>
    <t>Healthy</t>
  </si>
  <si>
    <t>0.0002444</t>
  </si>
  <si>
    <t>HP:0012531</t>
  </si>
  <si>
    <t>Pain</t>
  </si>
  <si>
    <t>HP:0001324</t>
  </si>
  <si>
    <t>Muscle weakness</t>
  </si>
  <si>
    <t>0.000205221</t>
  </si>
  <si>
    <t>HP:0012154</t>
  </si>
  <si>
    <t>Anhedonia</t>
  </si>
  <si>
    <t>0.000173505</t>
  </si>
  <si>
    <t>HP:0001635</t>
  </si>
  <si>
    <t>Congestive heart failure</t>
  </si>
  <si>
    <t>0.000163244</t>
  </si>
  <si>
    <t>HP:0025406</t>
  </si>
  <si>
    <t>Asthenia</t>
  </si>
  <si>
    <t>0.000157647</t>
  </si>
  <si>
    <t>HP:0000739</t>
  </si>
  <si>
    <t>Anxiety</t>
  </si>
  <si>
    <t>0.000138058</t>
  </si>
  <si>
    <t>HP:0012418</t>
  </si>
  <si>
    <t>Hypoxemia</t>
  </si>
  <si>
    <t>0.000126864</t>
  </si>
  <si>
    <t>HP:0031796</t>
  </si>
  <si>
    <t>Recurrent</t>
  </si>
  <si>
    <t>0.000119401</t>
  </si>
  <si>
    <t>HP:0025464</t>
  </si>
  <si>
    <t>Increased reactive oxygen species production</t>
  </si>
  <si>
    <t>0.000107275</t>
  </si>
  <si>
    <t>=HYPERLINK("https://www.biovista.com/db/link/%5B%5B%22Disease%7CCongenital%20Myasthenic%20Syndrome%22%5D,%20%5B%22Human%20Phenotype%7CIncreased%20reactive%20oxygen%20species%20production%22%5D%5D?strength-weight-map=%257B%2522MEDLINE_STRENGTH_AB%2522:1.0,%2522HPO%2522:100.0%257D"; "Show Evidence...")</t>
  </si>
  <si>
    <t>HP:0001297</t>
  </si>
  <si>
    <t>Stroke</t>
  </si>
  <si>
    <t>0.000106342</t>
  </si>
  <si>
    <t>HP:0002090</t>
  </si>
  <si>
    <t>Pneumonia</t>
  </si>
  <si>
    <t>HP:0001658</t>
  </si>
  <si>
    <t>Myocardial infarction</t>
  </si>
  <si>
    <t>HP:0000822</t>
  </si>
  <si>
    <t>Hypertension</t>
  </si>
  <si>
    <t>0.0000970137</t>
  </si>
  <si>
    <t>HP:0001513</t>
  </si>
  <si>
    <t>Obesity</t>
  </si>
  <si>
    <t>0.0000942152</t>
  </si>
  <si>
    <t>HP:0000708</t>
  </si>
  <si>
    <t>Atypical behavior</t>
  </si>
  <si>
    <t>HP:0001901</t>
  </si>
  <si>
    <t>Polycythemia</t>
  </si>
  <si>
    <t>0.0000839541</t>
  </si>
  <si>
    <t>HP:0100806</t>
  </si>
  <si>
    <t>Sepsis</t>
  </si>
  <si>
    <t>0.0000746259</t>
  </si>
  <si>
    <t>HP:0003774</t>
  </si>
  <si>
    <t>Stage 5 chronic kidney disease</t>
  </si>
  <si>
    <t>0.0000736931</t>
  </si>
  <si>
    <t>HP:0003198</t>
  </si>
  <si>
    <t>Myopathy</t>
  </si>
  <si>
    <t>0.0000718274</t>
  </si>
  <si>
    <t>HP:0030834</t>
  </si>
  <si>
    <t>Shoulder pain</t>
  </si>
  <si>
    <t>0.0000671633</t>
  </si>
  <si>
    <t>HP:0000819</t>
  </si>
  <si>
    <t>Diabetes mellitus</t>
  </si>
  <si>
    <t>0.0000652977</t>
  </si>
  <si>
    <t>HP:0002300</t>
  </si>
  <si>
    <t>Mutism</t>
  </si>
  <si>
    <t>0.000063432</t>
  </si>
  <si>
    <t>HP:0001626</t>
  </si>
  <si>
    <t>Abnormality of the cardiovascular system</t>
  </si>
  <si>
    <t>0.0000597007</t>
  </si>
  <si>
    <t>=HYPERLINK("https://www.biovista.com/db/link/%5B%5B%22Disease%7CCongenital%20Myasthenic%20Syndrome%22%5D,%20%5B%22Human%20Phenotype%7CAbnormality%20of%20the%20cardiovascular%20system%22%5D%5D?strength-weight-map=%257B%2522MEDLINE_STRENGTH_AB%2522:1.0,%2522HPO%2522:100.0%257D"; "Show Evidence...")</t>
  </si>
  <si>
    <t>HP:0100526</t>
  </si>
  <si>
    <t>Neoplasm of the lung</t>
  </si>
  <si>
    <t>HP:0000726</t>
  </si>
  <si>
    <t>Dementia</t>
  </si>
  <si>
    <t>0.0000531709</t>
  </si>
  <si>
    <t>HP:0012378</t>
  </si>
  <si>
    <t>Fatigue</t>
  </si>
  <si>
    <t>HP:0100543</t>
  </si>
  <si>
    <t>Cognitive impairment</t>
  </si>
  <si>
    <t>HP:0004324</t>
  </si>
  <si>
    <t>Increased body weight</t>
  </si>
  <si>
    <t>HP:0002758</t>
  </si>
  <si>
    <t>Osteoarthritis</t>
  </si>
  <si>
    <t>0.000047574</t>
  </si>
  <si>
    <t>HP:0025303</t>
  </si>
  <si>
    <t>Episodic</t>
  </si>
  <si>
    <t>0.0000466412</t>
  </si>
  <si>
    <t>GO:biological_process</t>
  </si>
  <si>
    <t>GO:0036268</t>
  </si>
  <si>
    <t>swimming</t>
  </si>
  <si>
    <t>0.000153916</t>
  </si>
  <si>
    <t>GO:0007268</t>
  </si>
  <si>
    <t>chemical synaptic transmission</t>
  </si>
  <si>
    <t>0.000152983</t>
  </si>
  <si>
    <t>GO:0006954</t>
  </si>
  <si>
    <t>inflammatory response</t>
  </si>
  <si>
    <t>0.000136192</t>
  </si>
  <si>
    <t>GO:0009555</t>
  </si>
  <si>
    <t>pollen development</t>
  </si>
  <si>
    <t>0.0000979465</t>
  </si>
  <si>
    <t>GO:OBS:BV3:biological_process</t>
  </si>
  <si>
    <t>GO:0007568</t>
  </si>
  <si>
    <t>aging</t>
  </si>
  <si>
    <t>GO:0006915</t>
  </si>
  <si>
    <t>apoptotic process</t>
  </si>
  <si>
    <t>0.0000923495</t>
  </si>
  <si>
    <t>GO:0006412</t>
  </si>
  <si>
    <t>translation</t>
  </si>
  <si>
    <t>0.0000764915</t>
  </si>
  <si>
    <t>GO:0050890</t>
  </si>
  <si>
    <t>cognition</t>
  </si>
  <si>
    <t>GO:0048653</t>
  </si>
  <si>
    <t>anther development</t>
  </si>
  <si>
    <t>0.0000680961</t>
  </si>
  <si>
    <t>GO:0022008</t>
  </si>
  <si>
    <t>neurogenesis</t>
  </si>
  <si>
    <t>GO:0045333</t>
  </si>
  <si>
    <t>cellular respiration</t>
  </si>
  <si>
    <t>GO:0007165</t>
  </si>
  <si>
    <t>signal transduction</t>
  </si>
  <si>
    <t>GO:0045292</t>
  </si>
  <si>
    <t>mRNA cis splicing, via spliceosome</t>
  </si>
  <si>
    <t>GO:0070085</t>
  </si>
  <si>
    <t>glycosylation</t>
  </si>
  <si>
    <t>GO:0035640</t>
  </si>
  <si>
    <t>exploration behavior</t>
  </si>
  <si>
    <t>GO:0035176</t>
  </si>
  <si>
    <t>social behavior</t>
  </si>
  <si>
    <t>GO:0006936</t>
  </si>
  <si>
    <t>muscle contraction</t>
  </si>
  <si>
    <t>GO:0010228</t>
  </si>
  <si>
    <t>vegetative to reproductive phase transition of meristem</t>
  </si>
  <si>
    <t>=HYPERLINK("https://www.biovista.com/db/link/%5B%5B%22Disease%7CCongenital%20Myasthenic%20Syndrome%22%5D,%20%5B%22Pathway%7Cvegetative%20to%20reproductive%20phase%20transition%20of%20meristem%22%5D%5D?strength-weight-map=%257B%2522MEDLINE_STRENGTH_AB%2522:1.0,%2522HPO%2522:100.0%257D"; "Show Evidence...")</t>
  </si>
  <si>
    <t>GO:0008219</t>
  </si>
  <si>
    <t>cell death</t>
  </si>
  <si>
    <t>0.0000382458</t>
  </si>
  <si>
    <t>GO:0030154</t>
  </si>
  <si>
    <t>cell differentiation</t>
  </si>
  <si>
    <t>GO:0141119</t>
  </si>
  <si>
    <t>chromosomal DNA methylation maintenance following DNA replication</t>
  </si>
  <si>
    <t>=HYPERLINK("https://www.biovista.com/db/link/%5B%5B%22Disease%7CCongenital%20Myasthenic%20Syndrome%22%5D,%20%5B%22Pathway%7Cchromosomal%20DNA%20methylation%20maintenance%20following%20DNA%20replication%22%5D%5D?strength-weight-map=%257B%2522MEDLINE_STRENGTH_AB%2522:1.0,%2522HPO%2522:100.0%257D"; "Show Evidence...")</t>
  </si>
  <si>
    <t>GO:0009451</t>
  </si>
  <si>
    <t>RNA modification</t>
  </si>
  <si>
    <t>GO:0042592</t>
  </si>
  <si>
    <t>homeostatic process</t>
  </si>
  <si>
    <t>GO:0042060</t>
  </si>
  <si>
    <t>wound healing</t>
  </si>
  <si>
    <t>GO:0032259</t>
  </si>
  <si>
    <t>methylation</t>
  </si>
  <si>
    <t>GO:0012501</t>
  </si>
  <si>
    <t>programmed cell death</t>
  </si>
  <si>
    <t>GO:0031099</t>
  </si>
  <si>
    <t>regeneration</t>
  </si>
  <si>
    <t>0.0000326488</t>
  </si>
  <si>
    <t>GO:0009856</t>
  </si>
  <si>
    <t>pollination</t>
  </si>
  <si>
    <t>GO:0140013</t>
  </si>
  <si>
    <t>meiotic nuclear division</t>
  </si>
  <si>
    <t>GO:0006119</t>
  </si>
  <si>
    <t>oxidative phosphorylation</t>
  </si>
  <si>
    <t>GO:0006955</t>
  </si>
  <si>
    <t>immune response</t>
  </si>
  <si>
    <t>GO:0001525</t>
  </si>
  <si>
    <t>angiogenesis</t>
  </si>
  <si>
    <t>GO:0001503</t>
  </si>
  <si>
    <t>ossification</t>
  </si>
  <si>
    <t>GO:0007601</t>
  </si>
  <si>
    <t>visual perception</t>
  </si>
  <si>
    <t>GO:0001837</t>
  </si>
  <si>
    <t>epithelial to mesenchymal transition</t>
  </si>
  <si>
    <t>GO:0007631</t>
  </si>
  <si>
    <t>feeding behavior</t>
  </si>
  <si>
    <t>GO:0040011</t>
  </si>
  <si>
    <t>locomotion</t>
  </si>
  <si>
    <t>GO:0022900</t>
  </si>
  <si>
    <t>electron transport chain</t>
  </si>
  <si>
    <t>GO:0030218</t>
  </si>
  <si>
    <t>erythrocyte differentiation</t>
  </si>
  <si>
    <t>GO:0008380</t>
  </si>
  <si>
    <t>RNA splicing</t>
  </si>
  <si>
    <t>GO:0023060</t>
  </si>
  <si>
    <t>signal transmission</t>
  </si>
  <si>
    <t>GO:0006629</t>
  </si>
  <si>
    <t>lipid metabolic process</t>
  </si>
  <si>
    <t>GO:0046903</t>
  </si>
  <si>
    <t>secretion</t>
  </si>
  <si>
    <t>GO:0007049</t>
  </si>
  <si>
    <t>cell cycle</t>
  </si>
  <si>
    <t>GO:0035825</t>
  </si>
  <si>
    <t>homologous recombination</t>
  </si>
  <si>
    <t>GO:0007595</t>
  </si>
  <si>
    <t>lactation</t>
  </si>
  <si>
    <t>GO:0006950</t>
  </si>
  <si>
    <t>response to stress</t>
  </si>
  <si>
    <t>GO:0006099</t>
  </si>
  <si>
    <t>tricarboxylic acid cycle</t>
  </si>
  <si>
    <t>GO:0051301</t>
  </si>
  <si>
    <t>cell division</t>
  </si>
  <si>
    <t>GO:0007623</t>
  </si>
  <si>
    <t>circadian rhythm</t>
  </si>
  <si>
    <t>GO:0009556</t>
  </si>
  <si>
    <t>microsporogenesis</t>
  </si>
  <si>
    <t>GO:0007155</t>
  </si>
  <si>
    <t>cell adhesion</t>
  </si>
  <si>
    <t>GO:0007565</t>
  </si>
  <si>
    <t>female pregnancy</t>
  </si>
  <si>
    <t>GO:0006096</t>
  </si>
  <si>
    <t>glycolytic process</t>
  </si>
  <si>
    <t>GO:0015031</t>
  </si>
  <si>
    <t>protein transport</t>
  </si>
  <si>
    <t>GO:0035194</t>
  </si>
  <si>
    <t>regulatory ncRNA-mediated post-transcriptional gene silencing</t>
  </si>
  <si>
    <t>=HYPERLINK("https://www.biovista.com/db/link/%5B%5B%22Disease%7CCongenital%20Myasthenic%20Syndrome%22%5D,%20%5B%22Pathway%7Cregulatory%20ncRNA-mediated%20post-transcriptional%20gene%20silencing%22%5D%5D?strength-weight-map=%257B%2522MEDLINE_STRENGTH_AB%2522:1.0,%2522HPO%2522:100.0%257D"; "Show Evidence...")</t>
  </si>
  <si>
    <t>GO:0009410</t>
  </si>
  <si>
    <t>response to xenobiotic stimulus</t>
  </si>
  <si>
    <t>GO:0099024</t>
  </si>
  <si>
    <t>plasma membrane invagination</t>
  </si>
  <si>
    <t>GO:0007605</t>
  </si>
  <si>
    <t>sensory perception of sound</t>
  </si>
  <si>
    <t>GO:0006914</t>
  </si>
  <si>
    <t>autophagy</t>
  </si>
  <si>
    <t>0.0000139924</t>
  </si>
  <si>
    <t>GO:0048870</t>
  </si>
  <si>
    <t>cell motility</t>
  </si>
  <si>
    <t>GO:0005975</t>
  </si>
  <si>
    <t>carbohydrate metabolic process</t>
  </si>
  <si>
    <t>GO:0009908</t>
  </si>
  <si>
    <t>flower development</t>
  </si>
  <si>
    <t>GO:0160109</t>
  </si>
  <si>
    <t>plant gross anatomical part developmental process</t>
  </si>
  <si>
    <t>=HYPERLINK("https://www.biovista.com/db/link/%5B%5B%22Disease%7CCongenital%20Myasthenic%20Syndrome%22%5D,%20%5B%22Pathway%7Cplant%20gross%20anatomical%20part%20developmental%20process%22%5D%5D?strength-weight-map=%257B%2522MEDLINE_STRENGTH_AB%2522:1.0,%2522HPO%2522:100.0%257D"; "Show Evidence...")</t>
  </si>
  <si>
    <t>GO:0006396</t>
  </si>
  <si>
    <t>RNA processing</t>
  </si>
  <si>
    <t>GO:0007416</t>
  </si>
  <si>
    <t>synapse assembly</t>
  </si>
  <si>
    <t>GO:0072583</t>
  </si>
  <si>
    <t>clathrin-dependent endocytosis</t>
  </si>
  <si>
    <t>GO:0006113</t>
  </si>
  <si>
    <t>fermentation</t>
  </si>
  <si>
    <t>GO:0009844</t>
  </si>
  <si>
    <t>germination</t>
  </si>
  <si>
    <t>GO:0007618</t>
  </si>
  <si>
    <t>mating</t>
  </si>
  <si>
    <t>GO:0006486</t>
  </si>
  <si>
    <t>protein glycosylation</t>
  </si>
  <si>
    <t>GO:0060004</t>
  </si>
  <si>
    <t>reflex</t>
  </si>
  <si>
    <t>GO:0016055</t>
  </si>
  <si>
    <t>Wnt signaling pathway</t>
  </si>
  <si>
    <t>GO:0048658</t>
  </si>
  <si>
    <t>anther wall tapetum development</t>
  </si>
  <si>
    <t>GO:0006887</t>
  </si>
  <si>
    <t>exocytosis</t>
  </si>
  <si>
    <t>GO:0015979</t>
  </si>
  <si>
    <t>photosynthesis</t>
  </si>
  <si>
    <t>GO:0001171</t>
  </si>
  <si>
    <t>reverse transcription</t>
  </si>
  <si>
    <t>GO:0042310</t>
  </si>
  <si>
    <t>vasoconstriction</t>
  </si>
  <si>
    <t>GO:0001508</t>
  </si>
  <si>
    <t>action potential</t>
  </si>
  <si>
    <t>GO:0140053</t>
  </si>
  <si>
    <t>mitochondrial gene expression</t>
  </si>
  <si>
    <t>GO:0043113</t>
  </si>
  <si>
    <t>receptor clustering</t>
  </si>
  <si>
    <t>GO:0010468</t>
  </si>
  <si>
    <t>regulation of gene expression</t>
  </si>
  <si>
    <t>GO:0046849</t>
  </si>
  <si>
    <t>bone remodeling</t>
  </si>
  <si>
    <t>GO:0019722</t>
  </si>
  <si>
    <t>calcium-mediated signaling</t>
  </si>
  <si>
    <t>GO:0050817</t>
  </si>
  <si>
    <t>coagulation</t>
  </si>
  <si>
    <t>GO:0009790</t>
  </si>
  <si>
    <t>embryo development</t>
  </si>
  <si>
    <t>GO:0009566</t>
  </si>
  <si>
    <t>fertilization</t>
  </si>
  <si>
    <t>GO:0042697</t>
  </si>
  <si>
    <t>menopause</t>
  </si>
  <si>
    <t>GO:0006298</t>
  </si>
  <si>
    <t>mismatch repair</t>
  </si>
  <si>
    <t>GO:0010629</t>
  </si>
  <si>
    <t>negative regulation of gene expression</t>
  </si>
  <si>
    <t>GO:0009616</t>
  </si>
  <si>
    <t>RNAi-mediated antiviral immune response</t>
  </si>
  <si>
    <t>GO:0007530</t>
  </si>
  <si>
    <t>sex determination</t>
  </si>
  <si>
    <t>GO:0042311</t>
  </si>
  <si>
    <t>vasodilation</t>
  </si>
  <si>
    <t>GO:0045453</t>
  </si>
  <si>
    <t>bone resorption</t>
  </si>
  <si>
    <t>GO:0016049</t>
  </si>
  <si>
    <t>cell growth</t>
  </si>
  <si>
    <t>GO:0042756</t>
  </si>
  <si>
    <t>drinking behavior</t>
  </si>
  <si>
    <t>GO:0044849</t>
  </si>
  <si>
    <t>estrous cycle</t>
  </si>
  <si>
    <t>GO:0010286</t>
  </si>
  <si>
    <t>heat acclimation</t>
  </si>
  <si>
    <t>GO:0006508</t>
  </si>
  <si>
    <t>proteolysis</t>
  </si>
  <si>
    <t>GO:0035282</t>
  </si>
  <si>
    <t>segmentation</t>
  </si>
  <si>
    <t>C0268595</t>
  </si>
  <si>
    <t>Glutaric aciduria 1</t>
  </si>
  <si>
    <t>D002331</t>
  </si>
  <si>
    <t>Carnitine</t>
  </si>
  <si>
    <t>0.00105705</t>
  </si>
  <si>
    <t>0.000429865</t>
  </si>
  <si>
    <t>D012256</t>
  </si>
  <si>
    <t>Riboflavin</t>
  </si>
  <si>
    <t>0.000211409</t>
  </si>
  <si>
    <t>D020156</t>
  </si>
  <si>
    <t>Salicylic Acid</t>
  </si>
  <si>
    <t>0.000126845</t>
  </si>
  <si>
    <t>0.000119798</t>
  </si>
  <si>
    <t>D016291</t>
  </si>
  <si>
    <t>Dizocilpine Maleate</t>
  </si>
  <si>
    <t>0.000105705</t>
  </si>
  <si>
    <t>D001418</t>
  </si>
  <si>
    <t>Baclofen</t>
  </si>
  <si>
    <t>0.0000986576</t>
  </si>
  <si>
    <t>0.0000704697</t>
  </si>
  <si>
    <t>0.0000634227</t>
  </si>
  <si>
    <t>D005947</t>
  </si>
  <si>
    <t>Glucose</t>
  </si>
  <si>
    <t>0.0000563757</t>
  </si>
  <si>
    <t>D014805</t>
  </si>
  <si>
    <t>Vitamin B 12</t>
  </si>
  <si>
    <t>0.0000493288</t>
  </si>
  <si>
    <t>D010725</t>
  </si>
  <si>
    <t>Phosphocreatine</t>
  </si>
  <si>
    <t>0.0000422818</t>
  </si>
  <si>
    <t>D015074</t>
  </si>
  <si>
    <t>2-Aminoadipic Acid</t>
  </si>
  <si>
    <t>0.0000352348</t>
  </si>
  <si>
    <t>D001430</t>
  </si>
  <si>
    <t>Bacteriocins</t>
  </si>
  <si>
    <t>D007075</t>
  </si>
  <si>
    <t>Immunoglobulin M</t>
  </si>
  <si>
    <t>C023863</t>
  </si>
  <si>
    <t>1-aminocyclopropane-1-carboxylic acid</t>
  </si>
  <si>
    <t>0.0000281879</t>
  </si>
  <si>
    <t>D020909</t>
  </si>
  <si>
    <t>Acarbose</t>
  </si>
  <si>
    <t>D000108</t>
  </si>
  <si>
    <t>Acetylcarnitine</t>
  </si>
  <si>
    <t>D000111</t>
  </si>
  <si>
    <t>Acetylcysteine</t>
  </si>
  <si>
    <t>D002772</t>
  </si>
  <si>
    <t>Cholera Toxin</t>
  </si>
  <si>
    <t>D007074</t>
  </si>
  <si>
    <t>Immunoglobulin G</t>
  </si>
  <si>
    <t>D037102</t>
  </si>
  <si>
    <t>Lectins</t>
  </si>
  <si>
    <t>C003800</t>
  </si>
  <si>
    <t>PH.3</t>
  </si>
  <si>
    <t>D020888</t>
  </si>
  <si>
    <t>Vigabatrin</t>
  </si>
  <si>
    <t>D017485</t>
  </si>
  <si>
    <t>1-Deoxynojirimycin</t>
  </si>
  <si>
    <t>0.0000211409</t>
  </si>
  <si>
    <t>D018750</t>
  </si>
  <si>
    <t>6-Cyano-7-nitroquinoxaline-2,3-dione</t>
  </si>
  <si>
    <t>D018350</t>
  </si>
  <si>
    <t>alpha-Amino-3-hydroxy-5-methyl-4-isoxazolepropionic Acid</t>
  </si>
  <si>
    <t>C545824</t>
  </si>
  <si>
    <t>amino-acid, glucose, and electrolyte solution</t>
  </si>
  <si>
    <t>C031215</t>
  </si>
  <si>
    <t>betadex</t>
  </si>
  <si>
    <t>C056723</t>
  </si>
  <si>
    <t>FG 9041</t>
  </si>
  <si>
    <t>C013579</t>
  </si>
  <si>
    <t>iturin A</t>
  </si>
  <si>
    <t>C090092</t>
  </si>
  <si>
    <t>migalastat</t>
  </si>
  <si>
    <t>D009118</t>
  </si>
  <si>
    <t>Muscimol</t>
  </si>
  <si>
    <t>D019331</t>
  </si>
  <si>
    <t>NG-Nitroarginine Methyl Ester</t>
  </si>
  <si>
    <t>D010433</t>
  </si>
  <si>
    <t>Pentylenetetrazole</t>
  </si>
  <si>
    <t>C003223</t>
  </si>
  <si>
    <t>propionylcarnitine</t>
  </si>
  <si>
    <t>D015742</t>
  </si>
  <si>
    <t>Propofol</t>
  </si>
  <si>
    <t>D011736</t>
  </si>
  <si>
    <t>Pyridoxine</t>
  </si>
  <si>
    <t>D000077208</t>
  </si>
  <si>
    <t>Remifentanil</t>
  </si>
  <si>
    <t>D014635</t>
  </si>
  <si>
    <t>Valproic Acid</t>
  </si>
  <si>
    <t>D015095</t>
  </si>
  <si>
    <t>3-Hydroxyanthranilic Acid</t>
  </si>
  <si>
    <t>0.0000140939</t>
  </si>
  <si>
    <t>C015392</t>
  </si>
  <si>
    <t>3-nitropropionic acid</t>
  </si>
  <si>
    <t>C010643</t>
  </si>
  <si>
    <t>6-hydroxy-2,5,7,8-tetramethylchroman-2-carboxylic acid</t>
  </si>
  <si>
    <t>C031385</t>
  </si>
  <si>
    <t>anthranilic acid</t>
  </si>
  <si>
    <t>D019207</t>
  </si>
  <si>
    <t>beta Carotene</t>
  </si>
  <si>
    <t>D001905</t>
  </si>
  <si>
    <t>Botulinum Toxins</t>
  </si>
  <si>
    <t>C005390</t>
  </si>
  <si>
    <t>CDTA</t>
  </si>
  <si>
    <t>D005486</t>
  </si>
  <si>
    <t>Flavin Mononucleotide</t>
  </si>
  <si>
    <t>D005620</t>
  </si>
  <si>
    <t>Freund's Adjuvant</t>
  </si>
  <si>
    <t>D019791</t>
  </si>
  <si>
    <t>Guanidine</t>
  </si>
  <si>
    <t>C010739</t>
  </si>
  <si>
    <t>ifenprodil</t>
  </si>
  <si>
    <t>D007140</t>
  </si>
  <si>
    <t>Immunoglobulin Fab Fragments</t>
  </si>
  <si>
    <t>D007294</t>
  </si>
  <si>
    <t>Inositol</t>
  </si>
  <si>
    <t>D007608</t>
  </si>
  <si>
    <t>Kainic Acid</t>
  </si>
  <si>
    <t>D007736</t>
  </si>
  <si>
    <t>Kynurenic Acid</t>
  </si>
  <si>
    <t>C066026</t>
  </si>
  <si>
    <t>losartan carboxylic acid</t>
  </si>
  <si>
    <t>D000077276</t>
  </si>
  <si>
    <t>Lycopene</t>
  </si>
  <si>
    <t>D008238</t>
  </si>
  <si>
    <t>Lysergic Acid Diethylamide</t>
  </si>
  <si>
    <t>C009288</t>
  </si>
  <si>
    <t>metaperiodate</t>
  </si>
  <si>
    <t>D008694</t>
  </si>
  <si>
    <t>Methamphetamine</t>
  </si>
  <si>
    <t>D017830</t>
  </si>
  <si>
    <t>Octoxynol</t>
  </si>
  <si>
    <t>D010406</t>
  </si>
  <si>
    <t>Penicillins</t>
  </si>
  <si>
    <t>C004479</t>
  </si>
  <si>
    <t>pimagedine</t>
  </si>
  <si>
    <t>C013216</t>
  </si>
  <si>
    <t>potassium phosphate</t>
  </si>
  <si>
    <t>D011239</t>
  </si>
  <si>
    <t>Prednisolone</t>
  </si>
  <si>
    <t>C100573</t>
  </si>
  <si>
    <t>prostaglandin A1</t>
  </si>
  <si>
    <t>D013307</t>
  </si>
  <si>
    <t>Streptomycin</t>
  </si>
  <si>
    <t>C009365</t>
  </si>
  <si>
    <t>surfactin peptide</t>
  </si>
  <si>
    <t>D013656</t>
  </si>
  <si>
    <t>Taurocholic Acid</t>
  </si>
  <si>
    <t>D000068756</t>
  </si>
  <si>
    <t>Valsartan</t>
  </si>
  <si>
    <t>D002793</t>
  </si>
  <si>
    <t>Cholic Acids</t>
  </si>
  <si>
    <t>0.00000704697</t>
  </si>
  <si>
    <t>D002939</t>
  </si>
  <si>
    <t>Ciprofloxacin</t>
  </si>
  <si>
    <t>D002953</t>
  </si>
  <si>
    <t>Citrinin</t>
  </si>
  <si>
    <t>D002981</t>
  </si>
  <si>
    <t>Clindamycin</t>
  </si>
  <si>
    <t>D002994</t>
  </si>
  <si>
    <t>Clofibrate</t>
  </si>
  <si>
    <t>D002995</t>
  </si>
  <si>
    <t>Clofibric Acid</t>
  </si>
  <si>
    <t>D002998</t>
  </si>
  <si>
    <t>Clonazepam</t>
  </si>
  <si>
    <t>C000711730</t>
  </si>
  <si>
    <t>compound 21</t>
  </si>
  <si>
    <t>D007612</t>
  </si>
  <si>
    <t>Kanamycin</t>
  </si>
  <si>
    <t>D007616</t>
  </si>
  <si>
    <t>Kaolin</t>
  </si>
  <si>
    <t>D000077213</t>
  </si>
  <si>
    <t>Lamotrigine</t>
  </si>
  <si>
    <t>D000077287</t>
  </si>
  <si>
    <t>Levetiracetam</t>
  </si>
  <si>
    <t>D007980</t>
  </si>
  <si>
    <t>Levodopa</t>
  </si>
  <si>
    <t>D017780</t>
  </si>
  <si>
    <t>Malaria Vaccines</t>
  </si>
  <si>
    <t>C059896</t>
  </si>
  <si>
    <t>miglustat</t>
  </si>
  <si>
    <t>D000077423</t>
  </si>
  <si>
    <t>Polidocanol</t>
  </si>
  <si>
    <t>D011732</t>
  </si>
  <si>
    <t>Pyridoxal Phosphate</t>
  </si>
  <si>
    <t>C000606551</t>
  </si>
  <si>
    <t>remdesivir</t>
  </si>
  <si>
    <t>D012254</t>
  </si>
  <si>
    <t>Ribavirin</t>
  </si>
  <si>
    <t>D012450</t>
  </si>
  <si>
    <t>Safflower Oil</t>
  </si>
  <si>
    <t>GCDH</t>
  </si>
  <si>
    <t>0.284077</t>
  </si>
  <si>
    <t>GA1</t>
  </si>
  <si>
    <t>0.0037208</t>
  </si>
  <si>
    <t>glutaryl-CoA dehydrogenase</t>
  </si>
  <si>
    <t>0.00326275</t>
  </si>
  <si>
    <t>GA</t>
  </si>
  <si>
    <t>0.00193792</t>
  </si>
  <si>
    <t>GA4</t>
  </si>
  <si>
    <t>0.00119094</t>
  </si>
  <si>
    <t>GA20</t>
  </si>
  <si>
    <t>0.000810401</t>
  </si>
  <si>
    <t>GA3</t>
  </si>
  <si>
    <t>0.00078926</t>
  </si>
  <si>
    <t>GA5</t>
  </si>
  <si>
    <t>0.000317114</t>
  </si>
  <si>
    <t>GA2</t>
  </si>
  <si>
    <t>0.00030302</t>
  </si>
  <si>
    <t>0.00016208</t>
  </si>
  <si>
    <t>0.000147986</t>
  </si>
  <si>
    <t>D050770</t>
  </si>
  <si>
    <t>Glutaryl CoA Dehydrogenase</t>
  </si>
  <si>
    <t>alpha-amylase</t>
  </si>
  <si>
    <t>D014674</t>
  </si>
  <si>
    <t>Plant Proteins, Dietary</t>
  </si>
  <si>
    <t>C108186</t>
  </si>
  <si>
    <t>gibberellin 3beta-hydroxylase</t>
  </si>
  <si>
    <t>glucoamylase</t>
  </si>
  <si>
    <t>Phytochrome</t>
  </si>
  <si>
    <t>beta-galactosidase</t>
  </si>
  <si>
    <t>0.0000916106</t>
  </si>
  <si>
    <t>Big</t>
  </si>
  <si>
    <t>glutaryl-Coenzyme A dehydrogenase</t>
  </si>
  <si>
    <t>GA 3-oxidase</t>
  </si>
  <si>
    <t>0.0000845636</t>
  </si>
  <si>
    <t>GA17</t>
  </si>
  <si>
    <t>glucan 1,4-alpha-glucosidase</t>
  </si>
  <si>
    <t>glutathione peroxidase</t>
  </si>
  <si>
    <t>ASS1</t>
  </si>
  <si>
    <t>LE</t>
  </si>
  <si>
    <t>D042964</t>
  </si>
  <si>
    <t>Acyl CoA DeHydrogenase</t>
  </si>
  <si>
    <t>ATP12A</t>
  </si>
  <si>
    <t>CK</t>
  </si>
  <si>
    <t>GA20OX</t>
  </si>
  <si>
    <t>gibberellin 20-oxidase</t>
  </si>
  <si>
    <t>C077485</t>
  </si>
  <si>
    <t>GT-1a protein, Nicotiana tabacum</t>
  </si>
  <si>
    <t>D009439</t>
  </si>
  <si>
    <t>Neuraminidase</t>
  </si>
  <si>
    <t>D017470</t>
  </si>
  <si>
    <t>Receptors, Glutamate</t>
  </si>
  <si>
    <t>Acyl-CoA dehydrogenase</t>
  </si>
  <si>
    <t>D044942</t>
  </si>
  <si>
    <t>Acyl-CoA Dehydrogenase, Long-Chain</t>
  </si>
  <si>
    <t>DELLA</t>
  </si>
  <si>
    <t>electron transfer flavoprotein</t>
  </si>
  <si>
    <t>GFAP</t>
  </si>
  <si>
    <t>glutathione transferase</t>
  </si>
  <si>
    <t>MCAD</t>
  </si>
  <si>
    <t>acid beta-galactosidase</t>
  </si>
  <si>
    <t>AT2G23390</t>
  </si>
  <si>
    <t>C3</t>
  </si>
  <si>
    <t>Ft</t>
  </si>
  <si>
    <t>fucosyltransferase</t>
  </si>
  <si>
    <t>GLB1</t>
  </si>
  <si>
    <t>isovaleryl-CoA dehydrogenase</t>
  </si>
  <si>
    <t>myelin basic protein</t>
  </si>
  <si>
    <t>phytochrome B</t>
  </si>
  <si>
    <t>NCBI:other</t>
  </si>
  <si>
    <t>AAVS1</t>
  </si>
  <si>
    <t>Alpha-ketoglutarate dehydrogenase</t>
  </si>
  <si>
    <t>B3GALT4</t>
  </si>
  <si>
    <t>CD177</t>
  </si>
  <si>
    <t>GA 3beta-hydroxylase</t>
  </si>
  <si>
    <t>gibberellin 2-oxidase</t>
  </si>
  <si>
    <t>gibberellin 3-oxidase</t>
  </si>
  <si>
    <t>LOC4326236</t>
  </si>
  <si>
    <t>lppL</t>
  </si>
  <si>
    <t>MSH3</t>
  </si>
  <si>
    <t>NAL1</t>
  </si>
  <si>
    <t>NBS</t>
  </si>
  <si>
    <t>NR2B</t>
  </si>
  <si>
    <t>ornithine transcarbamylase</t>
  </si>
  <si>
    <t>S100B</t>
  </si>
  <si>
    <t>sialidase</t>
  </si>
  <si>
    <t>SUGCT</t>
  </si>
  <si>
    <t>A20</t>
  </si>
  <si>
    <t>Alb</t>
  </si>
  <si>
    <t>ALDH7A1</t>
  </si>
  <si>
    <t>CPS</t>
  </si>
  <si>
    <t>CTH</t>
  </si>
  <si>
    <t>FLC</t>
  </si>
  <si>
    <t>flowering locus T</t>
  </si>
  <si>
    <t>FR</t>
  </si>
  <si>
    <t>FUT1</t>
  </si>
  <si>
    <t>GAL</t>
  </si>
  <si>
    <t>GB1</t>
  </si>
  <si>
    <t>GCA1</t>
  </si>
  <si>
    <t>GDH</t>
  </si>
  <si>
    <t>glutamate decarboxylase</t>
  </si>
  <si>
    <t>glutamate transporter</t>
  </si>
  <si>
    <t>glutathione reductase</t>
  </si>
  <si>
    <t>GST</t>
  </si>
  <si>
    <t>HADHA</t>
  </si>
  <si>
    <t>medium-chain acyl-CoA dehydrogenase</t>
  </si>
  <si>
    <t>MMA</t>
  </si>
  <si>
    <t>NEUN</t>
  </si>
  <si>
    <t>NR1</t>
  </si>
  <si>
    <t>NRF2</t>
  </si>
  <si>
    <t>urease</t>
  </si>
  <si>
    <t>HP:0003150</t>
  </si>
  <si>
    <t>Glutaric aciduria</t>
  </si>
  <si>
    <t>0.0464909</t>
  </si>
  <si>
    <t>HP:0001332</t>
  </si>
  <si>
    <t>Dystonia</t>
  </si>
  <si>
    <t>0.0323525</t>
  </si>
  <si>
    <t>HP:0100309</t>
  </si>
  <si>
    <t>Subdural hemorrhage</t>
  </si>
  <si>
    <t>0.0264935</t>
  </si>
  <si>
    <t>HP:0033442</t>
  </si>
  <si>
    <t>Elevated circulating glutarylcarnitine concentration</t>
  </si>
  <si>
    <t>0.0255725</t>
  </si>
  <si>
    <t>=HYPERLINK("https://www.biovista.com/db/link/%5B%5B%22Disease%7CGlutaric%20aciduria%201%22%5D,%20%5B%22Human%20Phenotype%7CElevated%20circulating%20glutarylcarnitine%20concentration%22%5D%5D?strength-weight-map=%257B%2522MEDLINE_STRENGTH_AB%2522:1.0,%2522HPO%2522:100.0%257D"; "Show Evidence...")</t>
  </si>
  <si>
    <t>HP:0034656</t>
  </si>
  <si>
    <t>Elevated urine 3-hydroxyglutaric level</t>
  </si>
  <si>
    <t>HP:0034688</t>
  </si>
  <si>
    <t>Reduced peroxisomal glutaryl-CoA oxidase activity</t>
  </si>
  <si>
    <t>=HYPERLINK("https://www.biovista.com/db/link/%5B%5B%22Disease%7CGlutaric%20aciduria%201%22%5D,%20%5B%22Human%20Phenotype%7CReduced%20peroxisomal%20glutaryl-CoA%20oxidase%20activity%22%5D%5D?strength-weight-map=%257B%2522MEDLINE_STRENGTH_AB%2522:1.0,%2522HPO%2522:100.0%257D"; "Show Evidence...")</t>
  </si>
  <si>
    <t>HP:0002134</t>
  </si>
  <si>
    <t>Abnormal basal ganglia morphology</t>
  </si>
  <si>
    <t>0.0230211</t>
  </si>
  <si>
    <t>HP:0012379</t>
  </si>
  <si>
    <t>Abnormal circulating enzyme concentration or activity</t>
  </si>
  <si>
    <t>=HYPERLINK("https://www.biovista.com/db/link/%5B%5B%22Disease%7CGlutaric%20aciduria%201%22%5D,%20%5B%22Human%20Phenotype%7CAbnormal%20circulating%20enzyme%20concentration%20or%20activity%22%5D%5D?strength-weight-map=%257B%2522MEDLINE_STRENGTH_AB%2522:1.0,%2522HPO%2522:100.0%257D"; "Show Evidence...")</t>
  </si>
  <si>
    <t>HP:0100952</t>
  </si>
  <si>
    <t>Enlarged sylvian cistern</t>
  </si>
  <si>
    <t>0.0219176</t>
  </si>
  <si>
    <t>HP:0003593</t>
  </si>
  <si>
    <t>Infantile onset</t>
  </si>
  <si>
    <t>0.0190821</t>
  </si>
  <si>
    <t>HP:0001344</t>
  </si>
  <si>
    <t>Absent speech</t>
  </si>
  <si>
    <t>0.0182627</t>
  </si>
  <si>
    <t>HP:0002540</t>
  </si>
  <si>
    <t>Inability to walk</t>
  </si>
  <si>
    <t>HP:0000256</t>
  </si>
  <si>
    <t>Macrocephaly</t>
  </si>
  <si>
    <t>0.0176081</t>
  </si>
  <si>
    <t>HP:0001298</t>
  </si>
  <si>
    <t>Encephalopathy</t>
  </si>
  <si>
    <t>0.0156397</t>
  </si>
  <si>
    <t>HP:0004481</t>
  </si>
  <si>
    <t>Progressive macrocephaly</t>
  </si>
  <si>
    <t>0.0141018</t>
  </si>
  <si>
    <t>HP:0001260</t>
  </si>
  <si>
    <t>Dysarthria</t>
  </si>
  <si>
    <t>0.0140877</t>
  </si>
  <si>
    <t>HP:0009716</t>
  </si>
  <si>
    <t>Subependymal nodules</t>
  </si>
  <si>
    <t>HP:0002305</t>
  </si>
  <si>
    <t>Athetosis</t>
  </si>
  <si>
    <t>0.0140807</t>
  </si>
  <si>
    <t>HP:0002315</t>
  </si>
  <si>
    <t>Headache</t>
  </si>
  <si>
    <t>0.0140736</t>
  </si>
  <si>
    <t>HP:0040194</t>
  </si>
  <si>
    <t>Increased head circumference</t>
  </si>
  <si>
    <t>0.0140666</t>
  </si>
  <si>
    <t>HP:0002339</t>
  </si>
  <si>
    <t>Abnormal caudate nucleus morphology</t>
  </si>
  <si>
    <t>HP:0031982</t>
  </si>
  <si>
    <t>Abnormal putamen morphology</t>
  </si>
  <si>
    <t>HP:0001334</t>
  </si>
  <si>
    <t>Communicating hydrocephalus</t>
  </si>
  <si>
    <t>HP:0100954</t>
  </si>
  <si>
    <t>Open operculum</t>
  </si>
  <si>
    <t>HP:0007132</t>
  </si>
  <si>
    <t>Pallidal degeneration</t>
  </si>
  <si>
    <t>HP:0002275</t>
  </si>
  <si>
    <t>Poor motor coordination</t>
  </si>
  <si>
    <t>HP:0012753</t>
  </si>
  <si>
    <t>T2 hypointense basal ganglia</t>
  </si>
  <si>
    <t>HP:0012704</t>
  </si>
  <si>
    <t>Widened subarachnoid space</t>
  </si>
  <si>
    <t>0.013737</t>
  </si>
  <si>
    <t>HP:0002376</t>
  </si>
  <si>
    <t>Developmental regression</t>
  </si>
  <si>
    <t>0.0118246</t>
  </si>
  <si>
    <t>HP:0006846</t>
  </si>
  <si>
    <t>Acute encephalopathy</t>
  </si>
  <si>
    <t>0.011115</t>
  </si>
  <si>
    <t>HP:0000737</t>
  </si>
  <si>
    <t>Irritability</t>
  </si>
  <si>
    <t>0.0110093</t>
  </si>
  <si>
    <t>HP:0000750</t>
  </si>
  <si>
    <t>Delayed speech and language development</t>
  </si>
  <si>
    <t>0.00738941</t>
  </si>
  <si>
    <t>HP:0011463</t>
  </si>
  <si>
    <t>Childhood onset</t>
  </si>
  <si>
    <t>0.00540025</t>
  </si>
  <si>
    <t>HP:0002500</t>
  </si>
  <si>
    <t>Abnormal cerebral white matter morphology</t>
  </si>
  <si>
    <t>0.00452887</t>
  </si>
  <si>
    <t>HP:0002063</t>
  </si>
  <si>
    <t>Rigidity</t>
  </si>
  <si>
    <t>0.00452626</t>
  </si>
  <si>
    <t>0.00451477</t>
  </si>
  <si>
    <t>HP:0001337</t>
  </si>
  <si>
    <t>Tremor</t>
  </si>
  <si>
    <t>0.00450773</t>
  </si>
  <si>
    <t>HP:0000573</t>
  </si>
  <si>
    <t>Retinal hemorrhage</t>
  </si>
  <si>
    <t>HP:0002072</t>
  </si>
  <si>
    <t>Chorea</t>
  </si>
  <si>
    <t>0.00450068</t>
  </si>
  <si>
    <t>HP:0002119</t>
  </si>
  <si>
    <t>Ventriculomegaly</t>
  </si>
  <si>
    <t>0.00448658</t>
  </si>
  <si>
    <t>0.00447954</t>
  </si>
  <si>
    <t>HP:0012469</t>
  </si>
  <si>
    <t>Infantile spasms</t>
  </si>
  <si>
    <t>HP:0007185</t>
  </si>
  <si>
    <t>Loss of consciousness</t>
  </si>
  <si>
    <t>0.00447249</t>
  </si>
  <si>
    <t>HP:0002086</t>
  </si>
  <si>
    <t>Abnormality of the respiratory system</t>
  </si>
  <si>
    <t>HP:0003546</t>
  </si>
  <si>
    <t>Exercise intolerance</t>
  </si>
  <si>
    <t>HP:0003162</t>
  </si>
  <si>
    <t>Fasting hypoglycemia</t>
  </si>
  <si>
    <t>HP:0001373</t>
  </si>
  <si>
    <t>Joint dislocation</t>
  </si>
  <si>
    <t>HP:0002451</t>
  </si>
  <si>
    <t>Limb dystonia</t>
  </si>
  <si>
    <t>HP:0006829</t>
  </si>
  <si>
    <t>Severe muscular hypotonia</t>
  </si>
  <si>
    <t>HP:0002321</t>
  </si>
  <si>
    <t>Vertigo</t>
  </si>
  <si>
    <t>HP:0000238</t>
  </si>
  <si>
    <t>Hydrocephalus</t>
  </si>
  <si>
    <t>0.00394726</t>
  </si>
  <si>
    <t>HP:0002059</t>
  </si>
  <si>
    <t>Cerebral atrophy</t>
  </si>
  <si>
    <t>0.00369947</t>
  </si>
  <si>
    <t>HP:0003621</t>
  </si>
  <si>
    <t>Juvenile onset</t>
  </si>
  <si>
    <t>0.00146421</t>
  </si>
  <si>
    <t>HP:0009830</t>
  </si>
  <si>
    <t>Peripheral neuropathy</t>
  </si>
  <si>
    <t>0.000542165</t>
  </si>
  <si>
    <t>HP:0003623</t>
  </si>
  <si>
    <t>Neonatal onset</t>
  </si>
  <si>
    <t>0.000508391</t>
  </si>
  <si>
    <t>HP:0012622</t>
  </si>
  <si>
    <t>Chronic kidney disease</t>
  </si>
  <si>
    <t>0.00050693</t>
  </si>
  <si>
    <t>HP:0100022</t>
  </si>
  <si>
    <t>Abnormality of movement</t>
  </si>
  <si>
    <t>0.000260738</t>
  </si>
  <si>
    <t>=HYPERLINK("https://www.biovista.com/db/link/%5B%5B%22Disease%7CGlutaric%20aciduria%201%22%5D,%20%5B%22Human%20Phenotype%7CIncreased%20reactive%20oxygen%20species%20production%22%5D%5D?strength-weight-map=%257B%2522MEDLINE_STRENGTH_AB%2522:1.0,%2522HPO%2522:100.0%257D"; "Show Evidence...")</t>
  </si>
  <si>
    <t>HP:0001263</t>
  </si>
  <si>
    <t>Global developmental delay</t>
  </si>
  <si>
    <t>0.000260426</t>
  </si>
  <si>
    <t>0.000225503</t>
  </si>
  <si>
    <t>HP:0002180</t>
  </si>
  <si>
    <t>Neurodegeneration</t>
  </si>
  <si>
    <t>0.000211097</t>
  </si>
  <si>
    <t>HP:0033820</t>
  </si>
  <si>
    <t>Apical</t>
  </si>
  <si>
    <t>0.000204362</t>
  </si>
  <si>
    <t>HP:0002156</t>
  </si>
  <si>
    <t>Homocystinuria</t>
  </si>
  <si>
    <t>0.000197315</t>
  </si>
  <si>
    <t>HP:0032368</t>
  </si>
  <si>
    <t>Acidemia</t>
  </si>
  <si>
    <t>0.000190268</t>
  </si>
  <si>
    <t>HP:0012072</t>
  </si>
  <si>
    <t>Aciduria</t>
  </si>
  <si>
    <t>HP:0002912</t>
  </si>
  <si>
    <t>Methylmalonic acidemia</t>
  </si>
  <si>
    <t>HP:0003571</t>
  </si>
  <si>
    <t>Propionic acidemia</t>
  </si>
  <si>
    <t>HP:0012120</t>
  </si>
  <si>
    <t>Methylmalonic aciduria</t>
  </si>
  <si>
    <t>0.000183221</t>
  </si>
  <si>
    <t>HP:0003530</t>
  </si>
  <si>
    <t>Elevated circulating glutaric acid concentration</t>
  </si>
  <si>
    <t>0.000168816</t>
  </si>
  <si>
    <t>=HYPERLINK("https://www.biovista.com/db/link/%5B%5B%22Disease%7CGlutaric%20aciduria%201%22%5D,%20%5B%22Human%20Phenotype%7CElevated%20circulating%20glutaric%20acid%20concentration%22%5D%5D?strength-weight-map=%257B%2522MEDLINE_STRENGTH_AB%2522:1.0,%2522HPO%2522:100.0%257D"; "Show Evidence...")</t>
  </si>
  <si>
    <t>HP:0001992</t>
  </si>
  <si>
    <t>Organic aciduria</t>
  </si>
  <si>
    <t>HP:0100021</t>
  </si>
  <si>
    <t>Cerebral palsy</t>
  </si>
  <si>
    <t>0.000133892</t>
  </si>
  <si>
    <t>HP:0100660</t>
  </si>
  <si>
    <t>Dyskinesia</t>
  </si>
  <si>
    <t>HP:0031797</t>
  </si>
  <si>
    <t>Clinical course</t>
  </si>
  <si>
    <t>HP:0001266</t>
  </si>
  <si>
    <t>Choreoathetosis</t>
  </si>
  <si>
    <t>0.000126534</t>
  </si>
  <si>
    <t>HP:0001945</t>
  </si>
  <si>
    <t>Fever</t>
  </si>
  <si>
    <t>HP:0025204</t>
  </si>
  <si>
    <t>Triggered by</t>
  </si>
  <si>
    <t>0.000112751</t>
  </si>
  <si>
    <t>HP:0000979</t>
  </si>
  <si>
    <t>Purpura</t>
  </si>
  <si>
    <t>HP:0003510</t>
  </si>
  <si>
    <t>Severe short stature</t>
  </si>
  <si>
    <t>HP:0012444</t>
  </si>
  <si>
    <t>Brain atrophy</t>
  </si>
  <si>
    <t>HP:0001943</t>
  </si>
  <si>
    <t>Hypoglycemia</t>
  </si>
  <si>
    <t>0.000105393</t>
  </si>
  <si>
    <t>HP:0001257</t>
  </si>
  <si>
    <t>Spasticity</t>
  </si>
  <si>
    <t>HP:0001941</t>
  </si>
  <si>
    <t>Acidosis</t>
  </si>
  <si>
    <t>HP:0002172</t>
  </si>
  <si>
    <t>Postural instability</t>
  </si>
  <si>
    <t>HP:0003287</t>
  </si>
  <si>
    <t>Abnormality of mitochondrial metabolism</t>
  </si>
  <si>
    <t>HP:0001942</t>
  </si>
  <si>
    <t>Metabolic acidosis</t>
  </si>
  <si>
    <t>0.0000842519</t>
  </si>
  <si>
    <t>HP:0100702</t>
  </si>
  <si>
    <t>Arachnoid cyst</t>
  </si>
  <si>
    <t>0.0000775167</t>
  </si>
  <si>
    <t>HP:0003587</t>
  </si>
  <si>
    <t>Insidious onset</t>
  </si>
  <si>
    <t>HP:0002529</t>
  </si>
  <si>
    <t>Neuronal loss in central nervous system</t>
  </si>
  <si>
    <t>HP:0002071</t>
  </si>
  <si>
    <t>Abnormality of extrapyramidal motor function</t>
  </si>
  <si>
    <t>=HYPERLINK("https://www.biovista.com/db/link/%5B%5B%22Disease%7CGlutaric%20aciduria%201%22%5D,%20%5B%22Human%20Phenotype%7CAbnormality%20of%20extrapyramidal%20motor%20function%22%5D%5D?strength-weight-map=%257B%2522MEDLINE_STRENGTH_AB%2522:1.0,%2522HPO%2522:100.0%257D"; "Show Evidence...")</t>
  </si>
  <si>
    <t>HP:0002171</t>
  </si>
  <si>
    <t>Gliosis</t>
  </si>
  <si>
    <t>HP:0002415</t>
  </si>
  <si>
    <t>Leukodystrophy</t>
  </si>
  <si>
    <t>HP:0001944</t>
  </si>
  <si>
    <t>Dehydration</t>
  </si>
  <si>
    <t>GO:0007588</t>
  </si>
  <si>
    <t>excretion</t>
  </si>
  <si>
    <t>0.000514429</t>
  </si>
  <si>
    <t>0.000331207</t>
  </si>
  <si>
    <t>=HYPERLINK("https://www.biovista.com/db/link/%5B%5B%22Disease%7CGlutaric%20aciduria%201%22%5D,%20%5B%22Pathway%7Cvegetative%20to%20reproductive%20phase%20transition%20of%20meristem%22%5D%5D?strength-weight-map=%257B%2522MEDLINE_STRENGTH_AB%2522:1.0,%2522HPO%2522:100.0%257D"; "Show Evidence...")</t>
  </si>
  <si>
    <t>0.000324161</t>
  </si>
  <si>
    <t>GO:0009056</t>
  </si>
  <si>
    <t>catabolic process</t>
  </si>
  <si>
    <t>0.000253691</t>
  </si>
  <si>
    <t>GO:0009686</t>
  </si>
  <si>
    <t>gibberellin biosynthetic process</t>
  </si>
  <si>
    <t>0.00023255</t>
  </si>
  <si>
    <t>GO:0009845</t>
  </si>
  <si>
    <t>seed germination</t>
  </si>
  <si>
    <t>GO:0030431</t>
  </si>
  <si>
    <t>sleep</t>
  </si>
  <si>
    <t>GO:0007420</t>
  </si>
  <si>
    <t>brain development</t>
  </si>
  <si>
    <t>GO:0042552</t>
  </si>
  <si>
    <t>myelination</t>
  </si>
  <si>
    <t>GO:0006568</t>
  </si>
  <si>
    <t>tryptophan metabolic process</t>
  </si>
  <si>
    <t>GO:0009685</t>
  </si>
  <si>
    <t>gibberellin metabolic process</t>
  </si>
  <si>
    <t>GO:0019395</t>
  </si>
  <si>
    <t>fatty acid oxidation</t>
  </si>
  <si>
    <t>GO:0006554</t>
  </si>
  <si>
    <t>lysine catabolic process</t>
  </si>
  <si>
    <t>GO:0006082</t>
  </si>
  <si>
    <t>organic acid metabolic process</t>
  </si>
  <si>
    <t>GO:0010154</t>
  </si>
  <si>
    <t>fruit development</t>
  </si>
  <si>
    <t>GO:0010162</t>
  </si>
  <si>
    <t>seed dormancy process</t>
  </si>
  <si>
    <t>GO:0044403</t>
  </si>
  <si>
    <t>biological process involved in symbiotic interaction</t>
  </si>
  <si>
    <t>=HYPERLINK("https://www.biovista.com/db/link/%5B%5B%22Disease%7CGlutaric%20aciduria%201%22%5D,%20%5B%22Pathway%7Cbiological%20process%20involved%20in%20symbiotic%20interaction%22%5D%5D?strength-weight-map=%257B%2522MEDLINE_STRENGTH_AB%2522:1.0,%2522HPO%2522:100.0%257D"; "Show Evidence...")</t>
  </si>
  <si>
    <t>GO:0150103</t>
  </si>
  <si>
    <t>reactive gliosis</t>
  </si>
  <si>
    <t>GO:0006569</t>
  </si>
  <si>
    <t>tryptophan catabolic process</t>
  </si>
  <si>
    <t>GO:0006553</t>
  </si>
  <si>
    <t>lysine metabolic process</t>
  </si>
  <si>
    <t>=HYPERLINK("https://www.biovista.com/db/link/%5B%5B%22Disease%7CGlutaric%20aciduria%201%22%5D,%20%5B%22Pathway%7Cregulatory%20ncRNA-mediated%20post-transcriptional%20gene%20silencing%22%5D%5D?strength-weight-map=%257B%2522MEDLINE_STRENGTH_AB%2522:1.0,%2522HPO%2522:100.0%257D"; "Show Evidence...")</t>
  </si>
  <si>
    <t>GO:0009826</t>
  </si>
  <si>
    <t>unidimensional cell growth</t>
  </si>
  <si>
    <t>GO:0097207</t>
  </si>
  <si>
    <t>bud dormancy process</t>
  </si>
  <si>
    <t>GO:0098754</t>
  </si>
  <si>
    <t>detoxification</t>
  </si>
  <si>
    <t>GO:0036065</t>
  </si>
  <si>
    <t>fucosylation</t>
  </si>
  <si>
    <t>GO:0001574</t>
  </si>
  <si>
    <t>ganglioside biosynthetic process</t>
  </si>
  <si>
    <t>GO:0042445</t>
  </si>
  <si>
    <t>hormone metabolic process</t>
  </si>
  <si>
    <t>GO:0043526</t>
  </si>
  <si>
    <t>neuroprotection</t>
  </si>
  <si>
    <t>GO:0048316</t>
  </si>
  <si>
    <t>seed development</t>
  </si>
  <si>
    <t>GO:0010431</t>
  </si>
  <si>
    <t>seed maturation</t>
  </si>
  <si>
    <t>GO:0010149</t>
  </si>
  <si>
    <t>senescence</t>
  </si>
  <si>
    <t>GO:0000050</t>
  </si>
  <si>
    <t>urea cycle</t>
  </si>
  <si>
    <t>GO:0140115</t>
  </si>
  <si>
    <t>export across plasma membrane</t>
  </si>
  <si>
    <t>GO:0006631</t>
  </si>
  <si>
    <t>fatty acid metabolic process</t>
  </si>
  <si>
    <t>GO:0009835</t>
  </si>
  <si>
    <t>fruit ripening</t>
  </si>
  <si>
    <t>GO:0009247</t>
  </si>
  <si>
    <t>glycolipid biosynthetic process</t>
  </si>
  <si>
    <t>GO:0042446</t>
  </si>
  <si>
    <t>hormone biosynthetic process</t>
  </si>
  <si>
    <t>GO:0019477</t>
  </si>
  <si>
    <t>L-lysine catabolic process</t>
  </si>
  <si>
    <t>GO:0015819</t>
  </si>
  <si>
    <t>lysine transport</t>
  </si>
  <si>
    <t>GO:0043687</t>
  </si>
  <si>
    <t>post-translational protein modification</t>
  </si>
  <si>
    <t>GO:0006457</t>
  </si>
  <si>
    <t>protein folding</t>
  </si>
  <si>
    <t>GO:1903409</t>
  </si>
  <si>
    <t>reactive oxygen species biosynthetic process</t>
  </si>
  <si>
    <t>GO:0009414</t>
  </si>
  <si>
    <t>response to water deprivation</t>
  </si>
  <si>
    <t>GO:0005985</t>
  </si>
  <si>
    <t>sucrose metabolic process</t>
  </si>
  <si>
    <t>GO:0016032</t>
  </si>
  <si>
    <t>viral process</t>
  </si>
  <si>
    <t>GO:0009838</t>
  </si>
  <si>
    <t>abscission</t>
  </si>
  <si>
    <t>GO:0000128</t>
  </si>
  <si>
    <t>flocculation</t>
  </si>
  <si>
    <t>GO:0048460</t>
  </si>
  <si>
    <t>flower formation</t>
  </si>
  <si>
    <t>GO:0046323</t>
  </si>
  <si>
    <t>glucose import</t>
  </si>
  <si>
    <t>GO:0006959</t>
  </si>
  <si>
    <t>humoral immune response</t>
  </si>
  <si>
    <t>GO:0014889</t>
  </si>
  <si>
    <t>muscle atrophy</t>
  </si>
  <si>
    <t>GO:0009617</t>
  </si>
  <si>
    <t>response to bacterium</t>
  </si>
  <si>
    <t>GO:0010262</t>
  </si>
  <si>
    <t>somatic embryogenesis</t>
  </si>
  <si>
    <t>GO:0016477</t>
  </si>
  <si>
    <t>cell migration</t>
  </si>
  <si>
    <t>GO:0009691</t>
  </si>
  <si>
    <t>cytokinin biosynthetic process</t>
  </si>
  <si>
    <t>GO:0016102</t>
  </si>
  <si>
    <t>diterpenoid biosynthetic process</t>
  </si>
  <si>
    <t>GO:0009630</t>
  </si>
  <si>
    <t>gravitropism</t>
  </si>
  <si>
    <t>GO:0009399</t>
  </si>
  <si>
    <t>nitrogen fixation</t>
  </si>
  <si>
    <t>GO:0019748</t>
  </si>
  <si>
    <t>secondary metabolic process</t>
  </si>
  <si>
    <t>GO:0009641</t>
  </si>
  <si>
    <t>shade avoidance</t>
  </si>
  <si>
    <t>GO:0016114</t>
  </si>
  <si>
    <t>terpenoid biosynthetic process</t>
  </si>
  <si>
    <t>C0268467</t>
  </si>
  <si>
    <t>GTPCH deficiency</t>
  </si>
  <si>
    <t>C003402</t>
  </si>
  <si>
    <t>sapropterin</t>
  </si>
  <si>
    <t>0.00648686</t>
  </si>
  <si>
    <t>0.00375555</t>
  </si>
  <si>
    <t>0.00290201</t>
  </si>
  <si>
    <t>D002230</t>
  </si>
  <si>
    <t>Carbidopa</t>
  </si>
  <si>
    <t>0.00153636</t>
  </si>
  <si>
    <t>0.00119495</t>
  </si>
  <si>
    <t>0.00102424</t>
  </si>
  <si>
    <t>D006916</t>
  </si>
  <si>
    <t>5-Hydroxytryptophan</t>
  </si>
  <si>
    <t>0.000682827</t>
  </si>
  <si>
    <t>0.00051212</t>
  </si>
  <si>
    <t>C009265</t>
  </si>
  <si>
    <t>carbidopa, levodopa drug combination</t>
  </si>
  <si>
    <t>0.000341413</t>
  </si>
  <si>
    <t>D004295</t>
  </si>
  <si>
    <t>Dihydroxyphenylalanine</t>
  </si>
  <si>
    <t>D005492</t>
  </si>
  <si>
    <t>Folic Acid</t>
  </si>
  <si>
    <t>C031349</t>
  </si>
  <si>
    <t>7-hydroxy-2-N,N-dipropylaminotetralin</t>
  </si>
  <si>
    <t>0.000170707</t>
  </si>
  <si>
    <t>C056165</t>
  </si>
  <si>
    <t>acetovanillone</t>
  </si>
  <si>
    <t>D000547</t>
  </si>
  <si>
    <t>Amantadine</t>
  </si>
  <si>
    <t>D004318</t>
  </si>
  <si>
    <t>Doxycycline</t>
  </si>
  <si>
    <t>D004745</t>
  </si>
  <si>
    <t>Enkephalins</t>
  </si>
  <si>
    <t>D008454</t>
  </si>
  <si>
    <t>Mazindol</t>
  </si>
  <si>
    <t>D010835</t>
  </si>
  <si>
    <t>Phytohemagglutinins</t>
  </si>
  <si>
    <t>D013134</t>
  </si>
  <si>
    <t>Spiperone</t>
  </si>
  <si>
    <t>D015320</t>
  </si>
  <si>
    <t>Tachykinins</t>
  </si>
  <si>
    <t>D014527</t>
  </si>
  <si>
    <t>Uric Acid</t>
  </si>
  <si>
    <t>GCH1</t>
  </si>
  <si>
    <t>0.101931</t>
  </si>
  <si>
    <t>GTP cyclohydrolase</t>
  </si>
  <si>
    <t>0.00682827</t>
  </si>
  <si>
    <t>GTP cyclohydrolase I</t>
  </si>
  <si>
    <t>0.00392625</t>
  </si>
  <si>
    <t>GTPCH</t>
  </si>
  <si>
    <t>0.00341413</t>
  </si>
  <si>
    <t>dihydropteridine reductase</t>
  </si>
  <si>
    <t>0.00136565</t>
  </si>
  <si>
    <t>6-pyruvoyltetrahydropterin synthase</t>
  </si>
  <si>
    <t>6-pyruvoyl-tetrahydropterin synthase</t>
  </si>
  <si>
    <t>DHPR</t>
  </si>
  <si>
    <t>sepiapterin reductase</t>
  </si>
  <si>
    <t>GTP cyclohydrolase 1</t>
  </si>
  <si>
    <t>HPH-1</t>
  </si>
  <si>
    <t>phenylalanine hydroxylase</t>
  </si>
  <si>
    <t>pterin-4a-carbinolamine dehydratase</t>
  </si>
  <si>
    <t>QDPR</t>
  </si>
  <si>
    <t>SAOUHSC_00720</t>
  </si>
  <si>
    <t>tyrosine 3-monooxygenase</t>
  </si>
  <si>
    <t>gch-1</t>
  </si>
  <si>
    <t>PCBD1</t>
  </si>
  <si>
    <t>AADC</t>
  </si>
  <si>
    <t>aromatic amino acid decarboxylase</t>
  </si>
  <si>
    <t>aromatic L-amino acid decarboxylase</t>
  </si>
  <si>
    <t>c-Myc</t>
  </si>
  <si>
    <t>D1</t>
  </si>
  <si>
    <t>DBH</t>
  </si>
  <si>
    <t>DDA1</t>
  </si>
  <si>
    <t>D014445</t>
  </si>
  <si>
    <t>Decarboxylase, Tyrosine</t>
  </si>
  <si>
    <t>dila</t>
  </si>
  <si>
    <t>DNAAF3</t>
  </si>
  <si>
    <t>dopamine beta-hydroxylase</t>
  </si>
  <si>
    <t>EDIL3</t>
  </si>
  <si>
    <t>GCH</t>
  </si>
  <si>
    <t>GCHFR</t>
  </si>
  <si>
    <t>GFRP</t>
  </si>
  <si>
    <t>glyceryl-ether monooxygenase</t>
  </si>
  <si>
    <t>Ins2</t>
  </si>
  <si>
    <t>KLF4</t>
  </si>
  <si>
    <t>kruppel-like factor 4</t>
  </si>
  <si>
    <t>MAOA</t>
  </si>
  <si>
    <t>MEP</t>
  </si>
  <si>
    <t>NADPH oxidase</t>
  </si>
  <si>
    <t>nitric oxide synthase</t>
  </si>
  <si>
    <t>nitric oxide synthase 3</t>
  </si>
  <si>
    <t>nNOS</t>
  </si>
  <si>
    <t>C496321</t>
  </si>
  <si>
    <t>Nos1 protein, mouse</t>
  </si>
  <si>
    <t>NOS3</t>
  </si>
  <si>
    <t>NSCL</t>
  </si>
  <si>
    <t>PAH</t>
  </si>
  <si>
    <t>PENK</t>
  </si>
  <si>
    <t>phenylethanolamine N-methyltransferase</t>
  </si>
  <si>
    <t>PKU</t>
  </si>
  <si>
    <t>PNMT</t>
  </si>
  <si>
    <t>POU5F1</t>
  </si>
  <si>
    <t>PPT</t>
  </si>
  <si>
    <t>preproinsulin</t>
  </si>
  <si>
    <t>preprotachykinin</t>
  </si>
  <si>
    <t>pterin-4-alpha-carbinolamine dehydratase</t>
  </si>
  <si>
    <t>D004093</t>
  </si>
  <si>
    <t>Reductase, Dihydropteridine</t>
  </si>
  <si>
    <t>SOX2</t>
  </si>
  <si>
    <t>SPR</t>
  </si>
  <si>
    <t>sulfite oxidase</t>
  </si>
  <si>
    <t>xanthine oxidase</t>
  </si>
  <si>
    <t>0.0296694</t>
  </si>
  <si>
    <t>HP:0004923</t>
  </si>
  <si>
    <t>Hyperphenylalaninemia</t>
  </si>
  <si>
    <t>0.0286452</t>
  </si>
  <si>
    <t>0.0265967</t>
  </si>
  <si>
    <t>0.026426</t>
  </si>
  <si>
    <t>0.0259139</t>
  </si>
  <si>
    <t>0.0257432</t>
  </si>
  <si>
    <t>HP:0001290</t>
  </si>
  <si>
    <t>Generalized hypotonia</t>
  </si>
  <si>
    <t>HP:0040417</t>
  </si>
  <si>
    <t>Decreased urinary biopterin level</t>
  </si>
  <si>
    <t>HP:0040420</t>
  </si>
  <si>
    <t>Decreased urinary neopterin level</t>
  </si>
  <si>
    <t>HP:0500223</t>
  </si>
  <si>
    <t>Increased CSF phenylalanine concentration</t>
  </si>
  <si>
    <t>HP:0000006</t>
  </si>
  <si>
    <t>Autosomal dominant inheritance</t>
  </si>
  <si>
    <t>0.00204848</t>
  </si>
  <si>
    <t>HP:0025302</t>
  </si>
  <si>
    <t>Diurnal</t>
  </si>
  <si>
    <t>0.000853534</t>
  </si>
  <si>
    <t>HP:0008936</t>
  </si>
  <si>
    <t>Axial hypotonia</t>
  </si>
  <si>
    <t>HP:0001300</t>
  </si>
  <si>
    <t>Parkinsonism</t>
  </si>
  <si>
    <t>HP:0000007</t>
  </si>
  <si>
    <t>Autosomal recessive inheritance</t>
  </si>
  <si>
    <t>0.000355196</t>
  </si>
  <si>
    <t>HP:0001276</t>
  </si>
  <si>
    <t>Hypertonia</t>
  </si>
  <si>
    <t>HP:0002448</t>
  </si>
  <si>
    <t>Progressive encephalopathy</t>
  </si>
  <si>
    <t>HP:0002013</t>
  </si>
  <si>
    <t>Vomiting</t>
  </si>
  <si>
    <t>0.000184489</t>
  </si>
  <si>
    <t>HP:0012332</t>
  </si>
  <si>
    <t>Abnormal autonomic nervous system physiology</t>
  </si>
  <si>
    <t>HP:0000718</t>
  </si>
  <si>
    <t>Aggressive behavior</t>
  </si>
  <si>
    <t>HP:0002511</t>
  </si>
  <si>
    <t>Alzheimer disease</t>
  </si>
  <si>
    <t>HP:0001662</t>
  </si>
  <si>
    <t>Bradycardia</t>
  </si>
  <si>
    <t>HP:0002067</t>
  </si>
  <si>
    <t>Bradykinesia</t>
  </si>
  <si>
    <t>HP:0001348</t>
  </si>
  <si>
    <t>Brisk reflexes</t>
  </si>
  <si>
    <t>HP:0410030</t>
  </si>
  <si>
    <t>Cleft lip</t>
  </si>
  <si>
    <t>HP:0000175</t>
  </si>
  <si>
    <t>Cleft palate</t>
  </si>
  <si>
    <t>HP:0007281</t>
  </si>
  <si>
    <t>Developmental stagnation</t>
  </si>
  <si>
    <t>HP:0002307</t>
  </si>
  <si>
    <t>Drooling</t>
  </si>
  <si>
    <t>HP:0041092</t>
  </si>
  <si>
    <t>Emotional hypersensitivity</t>
  </si>
  <si>
    <t>HP:0031914</t>
  </si>
  <si>
    <t>Fluctuating</t>
  </si>
  <si>
    <t>HP:0001510</t>
  </si>
  <si>
    <t>Growth delay</t>
  </si>
  <si>
    <t>HP:0003231</t>
  </si>
  <si>
    <t>Hypertyrosinemia</t>
  </si>
  <si>
    <t>HP:0002375</t>
  </si>
  <si>
    <t>Hypokinesia</t>
  </si>
  <si>
    <t>HP:0000338</t>
  </si>
  <si>
    <t>Hypomimic face</t>
  </si>
  <si>
    <t>HP:0032654</t>
  </si>
  <si>
    <t>Impaired flow-mediated arterial dilatation</t>
  </si>
  <si>
    <t>HP:0007105</t>
  </si>
  <si>
    <t>Infantile encephalopathy</t>
  </si>
  <si>
    <t>HP:0002354</t>
  </si>
  <si>
    <t>Memory impairment</t>
  </si>
  <si>
    <t>HP:0000252</t>
  </si>
  <si>
    <t>Microcephaly</t>
  </si>
  <si>
    <t>HP:0001336</t>
  </si>
  <si>
    <t>Myoclonus</t>
  </si>
  <si>
    <t>HP:0010865</t>
  </si>
  <si>
    <t>Oppositional defiant disorder</t>
  </si>
  <si>
    <t>HP:0008897</t>
  </si>
  <si>
    <t>Postnatal growth retardation</t>
  </si>
  <si>
    <t>HP:0002191</t>
  </si>
  <si>
    <t>Progressive spasticity</t>
  </si>
  <si>
    <t>HP:0002297</t>
  </si>
  <si>
    <t>Red hair</t>
  </si>
  <si>
    <t>HP:0000473</t>
  </si>
  <si>
    <t>Torticollis</t>
  </si>
  <si>
    <t>HP:0000496</t>
  </si>
  <si>
    <t>Abnormality of eye movement</t>
  </si>
  <si>
    <t>0.0000137822</t>
  </si>
  <si>
    <t>HP:6000120</t>
  </si>
  <si>
    <t>Elevated urinary sulfatide level</t>
  </si>
  <si>
    <t>HP:0003781</t>
  </si>
  <si>
    <t>Excessive salivation</t>
  </si>
  <si>
    <t>HP:0002487</t>
  </si>
  <si>
    <t>Hyperkinetic movements</t>
  </si>
  <si>
    <t>HP:0006887</t>
  </si>
  <si>
    <t>Intellectual disability, progressive</t>
  </si>
  <si>
    <t>HP:0001254</t>
  </si>
  <si>
    <t>Lethargy</t>
  </si>
  <si>
    <t>HP:0002509</t>
  </si>
  <si>
    <t>Limb hypertonia</t>
  </si>
  <si>
    <t>HP:0002344</t>
  </si>
  <si>
    <t>Progressive neurologic deterioration</t>
  </si>
  <si>
    <t>HP:0001954</t>
  </si>
  <si>
    <t>Recurrent fever</t>
  </si>
  <si>
    <t>GO:0042133</t>
  </si>
  <si>
    <t>neurotransmitter metabolic process</t>
  </si>
  <si>
    <t>GO:1905144</t>
  </si>
  <si>
    <t>response to acetylcholine</t>
  </si>
  <si>
    <t>GO:0042137</t>
  </si>
  <si>
    <t>sequestering of neurotransmitter</t>
  </si>
  <si>
    <t>GO:0042427</t>
  </si>
  <si>
    <t>serotonin biosynthetic process</t>
  </si>
  <si>
    <t>GO:0002118</t>
  </si>
  <si>
    <t>aggressive behavior</t>
  </si>
  <si>
    <t>GO:0042423</t>
  </si>
  <si>
    <t>catecholamine biosynthetic process</t>
  </si>
  <si>
    <t>GO:0051188</t>
  </si>
  <si>
    <t>cofactor biosynthetic process</t>
  </si>
  <si>
    <t>GO:0042416</t>
  </si>
  <si>
    <t>dopamine biosynthetic process</t>
  </si>
  <si>
    <t>GO:0006559</t>
  </si>
  <si>
    <t>L-phenylalanine catabolic process</t>
  </si>
  <si>
    <t>GO:0006558</t>
  </si>
  <si>
    <t>L-phenylalanine metabolic process</t>
  </si>
  <si>
    <t>GO:0051179</t>
  </si>
  <si>
    <t>localization</t>
  </si>
  <si>
    <t>GO:0019889</t>
  </si>
  <si>
    <t>pteridine metabolic process</t>
  </si>
  <si>
    <t>GO:0006729</t>
  </si>
  <si>
    <t>tetrahydrobiopterin biosynthetic process</t>
  </si>
  <si>
    <t>GO:0046146</t>
  </si>
  <si>
    <t>tetrahydrobiopterin metabolic process</t>
  </si>
  <si>
    <t>C0023264</t>
  </si>
  <si>
    <t>Leigh Syndrome</t>
  </si>
  <si>
    <t>0.000906795</t>
  </si>
  <si>
    <t>D013831</t>
  </si>
  <si>
    <t>Thiamine</t>
  </si>
  <si>
    <t>0.000386147</t>
  </si>
  <si>
    <t>0.000151856</t>
  </si>
  <si>
    <t>D013835</t>
  </si>
  <si>
    <t>Thiamine Pyrophosphate</t>
  </si>
  <si>
    <t>0.0000997909</t>
  </si>
  <si>
    <t>C024989</t>
  </si>
  <si>
    <t>coenzyme Q10</t>
  </si>
  <si>
    <t>0.0000911134</t>
  </si>
  <si>
    <t>D013838</t>
  </si>
  <si>
    <t>Thiamine Triphosphate</t>
  </si>
  <si>
    <t>0.0000737585</t>
  </si>
  <si>
    <t>C065640</t>
  </si>
  <si>
    <t>pyruvate dehydrogenase E1alpha subunit</t>
  </si>
  <si>
    <t>0.0000694197</t>
  </si>
  <si>
    <t>0.000065081</t>
  </si>
  <si>
    <t>D008063</t>
  </si>
  <si>
    <t>Thioctic Acid</t>
  </si>
  <si>
    <t>0.0000607423</t>
  </si>
  <si>
    <t>0.0000477261</t>
  </si>
  <si>
    <t>C036619</t>
  </si>
  <si>
    <t>idebenone</t>
  </si>
  <si>
    <t>0.0000390486</t>
  </si>
  <si>
    <t>0.0000303711</t>
  </si>
  <si>
    <t>D012402</t>
  </si>
  <si>
    <t>Rotenone</t>
  </si>
  <si>
    <t>0.0000260324</t>
  </si>
  <si>
    <t>D009840</t>
  </si>
  <si>
    <t>Oligomycins</t>
  </si>
  <si>
    <t>0.0000216937</t>
  </si>
  <si>
    <t>D003543</t>
  </si>
  <si>
    <t>Cysteamine</t>
  </si>
  <si>
    <t>D006862</t>
  </si>
  <si>
    <t>Hydrogen Sulfide</t>
  </si>
  <si>
    <t>D007530</t>
  </si>
  <si>
    <t>Isoflurane</t>
  </si>
  <si>
    <t>D008775</t>
  </si>
  <si>
    <t>Methylprednisolone</t>
  </si>
  <si>
    <t>C000600259</t>
  </si>
  <si>
    <t>pexidartinib</t>
  </si>
  <si>
    <t>0.0000173549</t>
  </si>
  <si>
    <t>D001629</t>
  </si>
  <si>
    <t>Bezafibrate</t>
  </si>
  <si>
    <t>D000077149</t>
  </si>
  <si>
    <t>Sevoflurane</t>
  </si>
  <si>
    <t>D013311</t>
  </si>
  <si>
    <t>Streptozocin</t>
  </si>
  <si>
    <t>D014810</t>
  </si>
  <si>
    <t>Vitamin E</t>
  </si>
  <si>
    <t>D001058</t>
  </si>
  <si>
    <t>Apomorphine</t>
  </si>
  <si>
    <t>0.0000130162</t>
  </si>
  <si>
    <t>D016572</t>
  </si>
  <si>
    <t>Cyclosporine</t>
  </si>
  <si>
    <t>D000069349</t>
  </si>
  <si>
    <t>Linezolid</t>
  </si>
  <si>
    <t>D008727</t>
  </si>
  <si>
    <t>Methotrexate</t>
  </si>
  <si>
    <t>D009525</t>
  </si>
  <si>
    <t>Niacin</t>
  </si>
  <si>
    <t>C551441</t>
  </si>
  <si>
    <t>perampanel</t>
  </si>
  <si>
    <t>D019690</t>
  </si>
  <si>
    <t>Technetium Tc 99m Exametazime</t>
  </si>
  <si>
    <t>D015632</t>
  </si>
  <si>
    <t>1-Methyl-4-phenyl-1,2,3,6-tetrahydropyridine</t>
  </si>
  <si>
    <t>0.00000867747</t>
  </si>
  <si>
    <t>D019297</t>
  </si>
  <si>
    <t>2,4-Dinitrophenol</t>
  </si>
  <si>
    <t>D001647</t>
  </si>
  <si>
    <t>Bile Acids and Salts</t>
  </si>
  <si>
    <t>D001663</t>
  </si>
  <si>
    <t>Bilirubin</t>
  </si>
  <si>
    <t>D019274</t>
  </si>
  <si>
    <t>Botulinum Toxins, Type A</t>
  </si>
  <si>
    <t>D001920</t>
  </si>
  <si>
    <t>Bradykinin</t>
  </si>
  <si>
    <t>D002220</t>
  </si>
  <si>
    <t>Carbamazepine</t>
  </si>
  <si>
    <t>D002746</t>
  </si>
  <si>
    <t>Chlorpromazine</t>
  </si>
  <si>
    <t>D003520</t>
  </si>
  <si>
    <t>Cyclophosphamide</t>
  </si>
  <si>
    <t>D004656</t>
  </si>
  <si>
    <t>Enalapril</t>
  </si>
  <si>
    <t>C044447</t>
  </si>
  <si>
    <t>enramycin</t>
  </si>
  <si>
    <t>D005934</t>
  </si>
  <si>
    <t>Glucagon</t>
  </si>
  <si>
    <t>D007372</t>
  </si>
  <si>
    <t>Interferons</t>
  </si>
  <si>
    <t>D008012</t>
  </si>
  <si>
    <t>Lidocaine</t>
  </si>
  <si>
    <t>D061466</t>
  </si>
  <si>
    <t>Lopinavir</t>
  </si>
  <si>
    <t>D008559</t>
  </si>
  <si>
    <t>Memantine</t>
  </si>
  <si>
    <t>D008751</t>
  </si>
  <si>
    <t>Methylene Blue</t>
  </si>
  <si>
    <t>D009536</t>
  </si>
  <si>
    <t>Niacinamide</t>
  </si>
  <si>
    <t>D010634</t>
  </si>
  <si>
    <t>Phenobarbital</t>
  </si>
  <si>
    <t>D011433</t>
  </si>
  <si>
    <t>Propranolol</t>
  </si>
  <si>
    <t>D013148</t>
  </si>
  <si>
    <t>Spironolactone</t>
  </si>
  <si>
    <t>D013752</t>
  </si>
  <si>
    <t>Tetracycline</t>
  </si>
  <si>
    <t>D000069896</t>
  </si>
  <si>
    <t>Transcription Activator-Like Effector Nucleases</t>
  </si>
  <si>
    <t>C030571</t>
  </si>
  <si>
    <t>ubiquinone 9</t>
  </si>
  <si>
    <t>D014750</t>
  </si>
  <si>
    <t>Vincristine</t>
  </si>
  <si>
    <t>D014812</t>
  </si>
  <si>
    <t>Vitamin K</t>
  </si>
  <si>
    <t>C051360</t>
  </si>
  <si>
    <t>1,3-dipropyl-8-cyclopentylxanthine</t>
  </si>
  <si>
    <t>0.00000433873</t>
  </si>
  <si>
    <t>D017311</t>
  </si>
  <si>
    <t>Amlodipine</t>
  </si>
  <si>
    <t>C091590</t>
  </si>
  <si>
    <t>Antral</t>
  </si>
  <si>
    <t>D011745</t>
  </si>
  <si>
    <t>Pyrithiamine</t>
  </si>
  <si>
    <t>C059659</t>
  </si>
  <si>
    <t>technetium Tc 99m bicisate</t>
  </si>
  <si>
    <t>C487773</t>
  </si>
  <si>
    <t>trans-sodium crocetinate</t>
  </si>
  <si>
    <t>0.00121485</t>
  </si>
  <si>
    <t>D042967</t>
  </si>
  <si>
    <t>Electron Transport Complex I</t>
  </si>
  <si>
    <t>0.00110204</t>
  </si>
  <si>
    <t>cytochrome c oxidase</t>
  </si>
  <si>
    <t>0.000642133</t>
  </si>
  <si>
    <t>SURF1</t>
  </si>
  <si>
    <t>0.000637794</t>
  </si>
  <si>
    <t>0.000564035</t>
  </si>
  <si>
    <t>COX1</t>
  </si>
  <si>
    <t>0.000533664</t>
  </si>
  <si>
    <t>NADH dehydrogenase</t>
  </si>
  <si>
    <t>0.000472922</t>
  </si>
  <si>
    <t>ace-4</t>
  </si>
  <si>
    <t>0.000442551</t>
  </si>
  <si>
    <t>NDUFS4</t>
  </si>
  <si>
    <t>0.000433873</t>
  </si>
  <si>
    <t>ATP6</t>
  </si>
  <si>
    <t>0.000390486</t>
  </si>
  <si>
    <t>NDUFV1</t>
  </si>
  <si>
    <t>0.000299373</t>
  </si>
  <si>
    <t>MT-ATP6</t>
  </si>
  <si>
    <t>0.000216937</t>
  </si>
  <si>
    <t>ND-51</t>
  </si>
  <si>
    <t>0.000195243</t>
  </si>
  <si>
    <t>LRPPRC</t>
  </si>
  <si>
    <t>0.000177888</t>
  </si>
  <si>
    <t>LS</t>
  </si>
  <si>
    <t>ND5</t>
  </si>
  <si>
    <t>0.000169211</t>
  </si>
  <si>
    <t>poxB</t>
  </si>
  <si>
    <t>ECHS1</t>
  </si>
  <si>
    <t>0.000156194</t>
  </si>
  <si>
    <t>PDHA1</t>
  </si>
  <si>
    <t>Cytochrome oxidase</t>
  </si>
  <si>
    <t>0.000134501</t>
  </si>
  <si>
    <t>succinate dehydrogenase</t>
  </si>
  <si>
    <t>NARP</t>
  </si>
  <si>
    <t>0.000130162</t>
  </si>
  <si>
    <t>ND6</t>
  </si>
  <si>
    <t>ATP synthase</t>
  </si>
  <si>
    <t>0.000125823</t>
  </si>
  <si>
    <t>SLC19A3</t>
  </si>
  <si>
    <t>D042963</t>
  </si>
  <si>
    <t>Electron Transport Complex II</t>
  </si>
  <si>
    <t>0.000117146</t>
  </si>
  <si>
    <t>enoyl-CoA hydratase</t>
  </si>
  <si>
    <t>0.000112807</t>
  </si>
  <si>
    <t>ND3</t>
  </si>
  <si>
    <t>SCO2</t>
  </si>
  <si>
    <t>cytochrome c</t>
  </si>
  <si>
    <t>0.0000954521</t>
  </si>
  <si>
    <t>Short-chain enoyl-CoA hydratase</t>
  </si>
  <si>
    <t>complex I subunit</t>
  </si>
  <si>
    <t>POLG</t>
  </si>
  <si>
    <t>D030481</t>
  </si>
  <si>
    <t>Pyruvate Dehydrogenase (Lipoamide)</t>
  </si>
  <si>
    <t>MT-ND5</t>
  </si>
  <si>
    <t>0.0000867747</t>
  </si>
  <si>
    <t>ND1</t>
  </si>
  <si>
    <t>NDUFAF6</t>
  </si>
  <si>
    <t>pyruvate carboxylase</t>
  </si>
  <si>
    <t>NDUFS8</t>
  </si>
  <si>
    <t>0.0000780972</t>
  </si>
  <si>
    <t>PDH</t>
  </si>
  <si>
    <t>COX10</t>
  </si>
  <si>
    <t>MT-ND3</t>
  </si>
  <si>
    <t>UQCR-14L</t>
  </si>
  <si>
    <t>HIBCH</t>
  </si>
  <si>
    <t>MTFMT</t>
  </si>
  <si>
    <t>NDUFS1</t>
  </si>
  <si>
    <t>MTATP6</t>
  </si>
  <si>
    <t>NDUFS7</t>
  </si>
  <si>
    <t>C043426</t>
  </si>
  <si>
    <t>inner membrane protein, E coli</t>
  </si>
  <si>
    <t>NDUFAF5</t>
  </si>
  <si>
    <t>ATPase6</t>
  </si>
  <si>
    <t>0.0000564035</t>
  </si>
  <si>
    <t>D014450</t>
  </si>
  <si>
    <t>Electron Transport Complex III</t>
  </si>
  <si>
    <t>MT-ND1</t>
  </si>
  <si>
    <t>MT-ND6</t>
  </si>
  <si>
    <t>ND4</t>
  </si>
  <si>
    <t>SDH</t>
  </si>
  <si>
    <t>dihydrolipoamide dehydrogenase</t>
  </si>
  <si>
    <t>0.0000520648</t>
  </si>
  <si>
    <t>E3</t>
  </si>
  <si>
    <t>IARS2</t>
  </si>
  <si>
    <t>MRS</t>
  </si>
  <si>
    <t>NAD(P)H dehydrogenase (quinone)</t>
  </si>
  <si>
    <t>PDC</t>
  </si>
  <si>
    <t>SDHA</t>
  </si>
  <si>
    <t>cytochrome-c oxidase</t>
  </si>
  <si>
    <t>DNA polymerase gamma</t>
  </si>
  <si>
    <t>ERH3</t>
  </si>
  <si>
    <t>FXN</t>
  </si>
  <si>
    <t>mitochondrial ATP synthase</t>
  </si>
  <si>
    <t>NDUFA12</t>
  </si>
  <si>
    <t>NDUFAF2</t>
  </si>
  <si>
    <t>NDUFS2</t>
  </si>
  <si>
    <t>E1 alpha</t>
  </si>
  <si>
    <t>0.0000433873</t>
  </si>
  <si>
    <t>MTOR</t>
  </si>
  <si>
    <t>NARS2</t>
  </si>
  <si>
    <t>pyruvate decarboxylase</t>
  </si>
  <si>
    <t>SERAC1</t>
  </si>
  <si>
    <t>aspartate-tRNA ligase</t>
  </si>
  <si>
    <t>COX15</t>
  </si>
  <si>
    <t>DNA-directed DNA polymerase</t>
  </si>
  <si>
    <t>ND2</t>
  </si>
  <si>
    <t>NDUFS6</t>
  </si>
  <si>
    <t>SCO1</t>
  </si>
  <si>
    <t>SUCLG1</t>
  </si>
  <si>
    <t>3-hydroxyisobutyryl-CoA hydrolase</t>
  </si>
  <si>
    <t>0.0000347099</t>
  </si>
  <si>
    <t>ATP synthase subunit 6</t>
  </si>
  <si>
    <t>biotinidase</t>
  </si>
  <si>
    <t>CS</t>
  </si>
  <si>
    <t>FOXRED1</t>
  </si>
  <si>
    <t>D006680</t>
  </si>
  <si>
    <t>HLA Antigens</t>
  </si>
  <si>
    <t>OPA1</t>
  </si>
  <si>
    <t>TPK1</t>
  </si>
  <si>
    <t>DLD</t>
  </si>
  <si>
    <t>E1</t>
  </si>
  <si>
    <t>Mechanistic target of rapamycin</t>
  </si>
  <si>
    <t>SDHB</t>
  </si>
  <si>
    <t>SHY1</t>
  </si>
  <si>
    <t>SOD2</t>
  </si>
  <si>
    <t>SUCLA2</t>
  </si>
  <si>
    <t>TK2</t>
  </si>
  <si>
    <t>0.0402903</t>
  </si>
  <si>
    <t>0.039774</t>
  </si>
  <si>
    <t>0.0255941</t>
  </si>
  <si>
    <t>HP:0003128</t>
  </si>
  <si>
    <t>Lactic acidosis</t>
  </si>
  <si>
    <t>0.0238336</t>
  </si>
  <si>
    <t>0.0230791</t>
  </si>
  <si>
    <t>HP:0002151</t>
  </si>
  <si>
    <t>Increased circulating lactate concentration</t>
  </si>
  <si>
    <t>0.0230483</t>
  </si>
  <si>
    <t>HP:0002490</t>
  </si>
  <si>
    <t>Increased CSF lactate</t>
  </si>
  <si>
    <t>0.0230396</t>
  </si>
  <si>
    <t>=HYPERLINK("https://www.biovista.com/db/link/%5B%5B%22Disease%7CLeigh%20Syndrome%22%5D,%20%5B%22Human%20Phenotype%7CAbnormal%20circulating%20enzyme%20concentration%20or%20activity%22%5D%5D?strength-weight-map=%257B%2522MEDLINE_STRENGTH_AB%2522:1.0,%2522HPO%2522:100.0%257D"; "Show Evidence...")</t>
  </si>
  <si>
    <t>HP:0008947</t>
  </si>
  <si>
    <t>Infantile muscular hypotonia</t>
  </si>
  <si>
    <t>HP:0003648</t>
  </si>
  <si>
    <t>Lacticaciduria</t>
  </si>
  <si>
    <t>HP:0000648</t>
  </si>
  <si>
    <t>Optic atrophy</t>
  </si>
  <si>
    <t>0.0144235</t>
  </si>
  <si>
    <t>HP:0001508</t>
  </si>
  <si>
    <t>Failure to thrive</t>
  </si>
  <si>
    <t>0.014276</t>
  </si>
  <si>
    <t>0.0142717</t>
  </si>
  <si>
    <t>HP:0001639</t>
  </si>
  <si>
    <t>Hypertrophic cardiomyopathy</t>
  </si>
  <si>
    <t>0.0142548</t>
  </si>
  <si>
    <t>0.0142331</t>
  </si>
  <si>
    <t>0.0142283</t>
  </si>
  <si>
    <t>0.0141767</t>
  </si>
  <si>
    <t>0.0141723</t>
  </si>
  <si>
    <t>0.014142</t>
  </si>
  <si>
    <t>HP:0000998</t>
  </si>
  <si>
    <t>Hypertrichosis</t>
  </si>
  <si>
    <t>0.0141372</t>
  </si>
  <si>
    <t>HP:0002928</t>
  </si>
  <si>
    <t>Decreased activity of the pyruvate dehydrogenase complex</t>
  </si>
  <si>
    <t>0.0141333</t>
  </si>
  <si>
    <t>=HYPERLINK("https://www.biovista.com/db/link/%5B%5B%22Disease%7CLeigh%20Syndrome%22%5D,%20%5B%22Human%20Phenotype%7CDecreased%20activity%20of%20the%20pyruvate%20dehydrogenase%20complex%22%5D%5D?strength-weight-map=%257B%2522MEDLINE_STRENGTH_AB%2522:1.0,%2522HPO%2522:100.0%257D"; "Show Evidence...")</t>
  </si>
  <si>
    <t>0.0141116</t>
  </si>
  <si>
    <t>HP:0004305</t>
  </si>
  <si>
    <t>Involuntary movements</t>
  </si>
  <si>
    <t>0.0140682</t>
  </si>
  <si>
    <t>HP:0011923</t>
  </si>
  <si>
    <t>Decreased activity of mitochondrial complex I</t>
  </si>
  <si>
    <t>0.0140639</t>
  </si>
  <si>
    <t>HP:0012707</t>
  </si>
  <si>
    <t>Elevated brain lactate level by MRS</t>
  </si>
  <si>
    <t>HP:0007183</t>
  </si>
  <si>
    <t>Focal T2 hyperintense basal ganglia lesion</t>
  </si>
  <si>
    <t>HP:0012751</t>
  </si>
  <si>
    <t>Abnormal basal ganglia MRI signal intensity</t>
  </si>
  <si>
    <t>HP:0012747</t>
  </si>
  <si>
    <t>Abnormal brainstem MRI signal intensity</t>
  </si>
  <si>
    <t>HP:0100321</t>
  </si>
  <si>
    <t>Abnormal dentate nucleus morphology</t>
  </si>
  <si>
    <t>HP:0000587</t>
  </si>
  <si>
    <t>Abnormal optic nerve morphology</t>
  </si>
  <si>
    <t>HP:0012696</t>
  </si>
  <si>
    <t>Abnormal thalamic MRI signal intensity</t>
  </si>
  <si>
    <t>HP:0410263</t>
  </si>
  <si>
    <t>Brain imaging abnormality</t>
  </si>
  <si>
    <t>HP:0008336</t>
  </si>
  <si>
    <t>Complex organic aciduria</t>
  </si>
  <si>
    <t>HP:0008972</t>
  </si>
  <si>
    <t>Decreased activity of mitochondrial respiratory chain</t>
  </si>
  <si>
    <t>=HYPERLINK("https://www.biovista.com/db/link/%5B%5B%22Disease%7CLeigh%20Syndrome%22%5D,%20%5B%22Human%20Phenotype%7CDecreased%20activity%20of%20mitochondrial%20respiratory%20chain%22%5D%5D?strength-weight-map=%257B%2522MEDLINE_STRENGTH_AB%2522:1.0,%2522HPO%2522:100.0%257D"; "Show Evidence...")</t>
  </si>
  <si>
    <t>HP:0006943</t>
  </si>
  <si>
    <t>Diffuse spongiform leukoencephalopathy</t>
  </si>
  <si>
    <t>HP:0012748</t>
  </si>
  <si>
    <t>Focal T2 hyperintense brainstem lesion</t>
  </si>
  <si>
    <t>HP:0031691</t>
  </si>
  <si>
    <t>Severe viral infection</t>
  </si>
  <si>
    <t>HP:0002493</t>
  </si>
  <si>
    <t>Upper motor neuron dysfunction</t>
  </si>
  <si>
    <t>0.00533708</t>
  </si>
  <si>
    <t>0.00524597</t>
  </si>
  <si>
    <t>0.00498564</t>
  </si>
  <si>
    <t>0.00477349</t>
  </si>
  <si>
    <t>HP:0002878</t>
  </si>
  <si>
    <t>Respiratory failure</t>
  </si>
  <si>
    <t>0.00472098</t>
  </si>
  <si>
    <t>0.00470841</t>
  </si>
  <si>
    <t>0.00467325</t>
  </si>
  <si>
    <t>0.00462987</t>
  </si>
  <si>
    <t>0.00462164</t>
  </si>
  <si>
    <t>0.00461251</t>
  </si>
  <si>
    <t>0.00454788</t>
  </si>
  <si>
    <t>HP:0003535</t>
  </si>
  <si>
    <t>3-Methylglutaconic aciduria</t>
  </si>
  <si>
    <t>0.00453052</t>
  </si>
  <si>
    <t>0.00452619</t>
  </si>
  <si>
    <t>0.00452185</t>
  </si>
  <si>
    <t>HP:0001399</t>
  </si>
  <si>
    <t>Hepatic failure</t>
  </si>
  <si>
    <t>HP:0001903</t>
  </si>
  <si>
    <t>Anemia</t>
  </si>
  <si>
    <t>0.00451317</t>
  </si>
  <si>
    <t>HP:0003202</t>
  </si>
  <si>
    <t>Skeletal muscle atrophy</t>
  </si>
  <si>
    <t>HP:0001274</t>
  </si>
  <si>
    <t>Agenesis of corpus callosum</t>
  </si>
  <si>
    <t>0.00449148</t>
  </si>
  <si>
    <t>HP:0002793</t>
  </si>
  <si>
    <t>Abnormal pattern of respiration</t>
  </si>
  <si>
    <t>0.00449103</t>
  </si>
  <si>
    <t>0.00448714</t>
  </si>
  <si>
    <t>0.0044828</t>
  </si>
  <si>
    <t>HP:0000924</t>
  </si>
  <si>
    <t>Abnormality of the skeletal system</t>
  </si>
  <si>
    <t>0.00447846</t>
  </si>
  <si>
    <t>HP:0002079</t>
  </si>
  <si>
    <t>Hypoplasia of the corpus callosum</t>
  </si>
  <si>
    <t>HP:0002521</t>
  </si>
  <si>
    <t>Hypsarrhythmia</t>
  </si>
  <si>
    <t>HP:0003348</t>
  </si>
  <si>
    <t>Hyperalaninemia</t>
  </si>
  <si>
    <t>0.00446978</t>
  </si>
  <si>
    <t>HP:0001993</t>
  </si>
  <si>
    <t>Ketoacidosis</t>
  </si>
  <si>
    <t>HP:0011924</t>
  </si>
  <si>
    <t>Decreased activity of mitochondrial complex III</t>
  </si>
  <si>
    <t>HP:0008347</t>
  </si>
  <si>
    <t>Decreased activity of mitochondrial complex IV</t>
  </si>
  <si>
    <t>HP:0410145</t>
  </si>
  <si>
    <t>Decreased circulating biotinidase concentration</t>
  </si>
  <si>
    <t>HP:0002460</t>
  </si>
  <si>
    <t>Distal muscle weakness</t>
  </si>
  <si>
    <t>HP:0003219</t>
  </si>
  <si>
    <t>Ethylmalonic aciduria</t>
  </si>
  <si>
    <t>HP:0002909</t>
  </si>
  <si>
    <t>Generalized aminoaciduria</t>
  </si>
  <si>
    <t>HP:0002828</t>
  </si>
  <si>
    <t>Multiple joint contractures</t>
  </si>
  <si>
    <t>HP:0200147</t>
  </si>
  <si>
    <t>Neuronal loss in basal ganglia</t>
  </si>
  <si>
    <t>HP:0002542</t>
  </si>
  <si>
    <t>Olivopontocerebellar atrophy</t>
  </si>
  <si>
    <t>HP:0003390</t>
  </si>
  <si>
    <t>Sensory axonal neuropathy</t>
  </si>
  <si>
    <t>HP:0001264</t>
  </si>
  <si>
    <t>Spastic diplegia</t>
  </si>
  <si>
    <t>HP:0040197</t>
  </si>
  <si>
    <t>Encephalomalacia</t>
  </si>
  <si>
    <t>0.000794917</t>
  </si>
  <si>
    <t>0.000629116</t>
  </si>
  <si>
    <t>0.000586495</t>
  </si>
  <si>
    <t>HP:0001272</t>
  </si>
  <si>
    <t>Cerebellar atrophy</t>
  </si>
  <si>
    <t>0.000573642</t>
  </si>
  <si>
    <t>HP:0000518</t>
  </si>
  <si>
    <t>Cataract</t>
  </si>
  <si>
    <t>0.000564964</t>
  </si>
  <si>
    <t>0.000551948</t>
  </si>
  <si>
    <t>HP:0002133</t>
  </si>
  <si>
    <t>Status epilepticus</t>
  </si>
  <si>
    <t>0.00054327</t>
  </si>
  <si>
    <t>0.000525916</t>
  </si>
  <si>
    <t>HP:0001511</t>
  </si>
  <si>
    <t>Intrauterine growth retardation</t>
  </si>
  <si>
    <t>HP:0001999</t>
  </si>
  <si>
    <t>Abnormal facial shape</t>
  </si>
  <si>
    <t>0.000521577</t>
  </si>
  <si>
    <t>HP:0001875</t>
  </si>
  <si>
    <t>Neutropenia</t>
  </si>
  <si>
    <t>HP:0001947</t>
  </si>
  <si>
    <t>Renal tubular acidosis</t>
  </si>
  <si>
    <t>0.000517238</t>
  </si>
  <si>
    <t>HP:0000100</t>
  </si>
  <si>
    <t>Nephrotic syndrome</t>
  </si>
  <si>
    <t>0.000512899</t>
  </si>
  <si>
    <t>HP:0002579</t>
  </si>
  <si>
    <t>Gastrointestinal dysmotility</t>
  </si>
  <si>
    <t>0.000508561</t>
  </si>
  <si>
    <t>HP:0001596</t>
  </si>
  <si>
    <t>Alopecia</t>
  </si>
  <si>
    <t>0.000504222</t>
  </si>
  <si>
    <t>HP:0008314</t>
  </si>
  <si>
    <t>Decreased activity of mitochondrial complex II</t>
  </si>
  <si>
    <t>HP:0000964</t>
  </si>
  <si>
    <t>Eczematoid dermatitis</t>
  </si>
  <si>
    <t>HP:0011335</t>
  </si>
  <si>
    <t>Frontal hirsutism</t>
  </si>
  <si>
    <t>HP:0000348</t>
  </si>
  <si>
    <t>High forehead</t>
  </si>
  <si>
    <t>HP:0000400</t>
  </si>
  <si>
    <t>Macrotia</t>
  </si>
  <si>
    <t>0.000854731</t>
  </si>
  <si>
    <t>0.000425196</t>
  </si>
  <si>
    <t>0.000373131</t>
  </si>
  <si>
    <t>GO:0002082</t>
  </si>
  <si>
    <t>regulation of oxidative phosphorylation</t>
  </si>
  <si>
    <t>0.000347099</t>
  </si>
  <si>
    <t>0.000225614</t>
  </si>
  <si>
    <t>GO:0032543</t>
  </si>
  <si>
    <t>mitochondrial translation</t>
  </si>
  <si>
    <t>0.000138839</t>
  </si>
  <si>
    <t>GO:0006754</t>
  </si>
  <si>
    <t>ATP biosynthetic process</t>
  </si>
  <si>
    <t>0.00010413</t>
  </si>
  <si>
    <t>GO:0006090</t>
  </si>
  <si>
    <t>pyruvate metabolic process</t>
  </si>
  <si>
    <t>0.0000824359</t>
  </si>
  <si>
    <t>GO:0022904</t>
  </si>
  <si>
    <t>respiratory electron transport chain</t>
  </si>
  <si>
    <t>GO:0042775</t>
  </si>
  <si>
    <t>mitochondrial ATP synthesis coupled electron transport</t>
  </si>
  <si>
    <t>=HYPERLINK("https://www.biovista.com/db/link/%5B%5B%22Disease%7CLeigh%20Syndrome%22%5D,%20%5B%22Pathway%7Cregulatory%20ncRNA-mediated%20post-transcriptional%20gene%20silencing%22%5D%5D?strength-weight-map=%257B%2522MEDLINE_STRENGTH_AB%2522:1.0,%2522HPO%2522:100.0%257D"; "Show Evidence...")</t>
  </si>
  <si>
    <t>GO:0007005</t>
  </si>
  <si>
    <t>mitochondrion organization</t>
  </si>
  <si>
    <t>GO:0006574</t>
  </si>
  <si>
    <t>valine catabolic process</t>
  </si>
  <si>
    <t>GO:0006573</t>
  </si>
  <si>
    <t>valine metabolic process</t>
  </si>
  <si>
    <t>GO:0006635</t>
  </si>
  <si>
    <t>fatty acid beta-oxidation</t>
  </si>
  <si>
    <t>GO:0032981</t>
  </si>
  <si>
    <t>mitochondrial respiratory chain complex I assembly</t>
  </si>
  <si>
    <t>GO:0006200</t>
  </si>
  <si>
    <t>ATP catabolic process</t>
  </si>
  <si>
    <t>GO:0000266</t>
  </si>
  <si>
    <t>mitochondrial fission</t>
  </si>
  <si>
    <t>GO:0044237</t>
  </si>
  <si>
    <t>cellular metabolic process</t>
  </si>
  <si>
    <t>GO:0097009</t>
  </si>
  <si>
    <t>energy homeostasis</t>
  </si>
  <si>
    <t>GO:0006784</t>
  </si>
  <si>
    <t>heme A biosynthetic process</t>
  </si>
  <si>
    <t>GO:0006264</t>
  </si>
  <si>
    <t>mitochondrial DNA replication</t>
  </si>
  <si>
    <t>GO:0048477</t>
  </si>
  <si>
    <t>oogenesis</t>
  </si>
  <si>
    <t>GO:0051259</t>
  </si>
  <si>
    <t>protein complex oligomerization</t>
  </si>
  <si>
    <t>GO:0009063</t>
  </si>
  <si>
    <t>amino acid catabolic process</t>
  </si>
  <si>
    <t>GO:0019725</t>
  </si>
  <si>
    <t>cellular homeostasis</t>
  </si>
  <si>
    <t>GO:0006094</t>
  </si>
  <si>
    <t>gluconeogenesis</t>
  </si>
  <si>
    <t>GO:0008610</t>
  </si>
  <si>
    <t>lipid biosynthetic process</t>
  </si>
  <si>
    <t>GO:0006390</t>
  </si>
  <si>
    <t>mitochondrial transcription</t>
  </si>
  <si>
    <t>GO:0034514</t>
  </si>
  <si>
    <t>mitochondrial unfolded protein response</t>
  </si>
  <si>
    <t>GO:0000423</t>
  </si>
  <si>
    <t>mitophagy</t>
  </si>
  <si>
    <t>GO:0009444</t>
  </si>
  <si>
    <t>pyruvate oxidation</t>
  </si>
  <si>
    <t>GO:0006413</t>
  </si>
  <si>
    <t>translational initiation</t>
  </si>
  <si>
    <t>GO:0110148</t>
  </si>
  <si>
    <t>biomineralization</t>
  </si>
  <si>
    <t>GO:0007417</t>
  </si>
  <si>
    <t>central nervous system development</t>
  </si>
  <si>
    <t>GO:0048565</t>
  </si>
  <si>
    <t>digestive tract development</t>
  </si>
  <si>
    <t>GO:0097707</t>
  </si>
  <si>
    <t>ferroptosis</t>
  </si>
  <si>
    <t>GO:0006006</t>
  </si>
  <si>
    <t>glucose metabolic process</t>
  </si>
  <si>
    <t>GO:0008053</t>
  </si>
  <si>
    <t>mitochondrial fusion</t>
  </si>
  <si>
    <t>GO:0006730</t>
  </si>
  <si>
    <t>one-carbon metabolic process</t>
  </si>
  <si>
    <t>GO:0045851</t>
  </si>
  <si>
    <t>pH reduction</t>
  </si>
  <si>
    <t>GO:0006909</t>
  </si>
  <si>
    <t>phagocytosis</t>
  </si>
  <si>
    <t>GO:0045821</t>
  </si>
  <si>
    <t>positive regulation of glycolytic process</t>
  </si>
  <si>
    <t>GO:0016070</t>
  </si>
  <si>
    <t>RNA metabolic process</t>
  </si>
  <si>
    <t>GO:0000394</t>
  </si>
  <si>
    <t>RNA splicing, via endonucleolytic cleavage and ligation</t>
  </si>
  <si>
    <t>GO:0006772</t>
  </si>
  <si>
    <t>thiamine metabolic process</t>
  </si>
  <si>
    <t>GO:0015888</t>
  </si>
  <si>
    <t>thiamine transport</t>
  </si>
  <si>
    <t>GO:0006309</t>
  </si>
  <si>
    <t>apoptotic DNA fragmentation</t>
  </si>
  <si>
    <t>UMLS:Disease or Syndrome:SNOMEDCT_US</t>
  </si>
  <si>
    <t>C0027126</t>
  </si>
  <si>
    <t>Myotonic dystrophy type 1</t>
  </si>
  <si>
    <t>0.0000656462</t>
  </si>
  <si>
    <t>0.0000553487</t>
  </si>
  <si>
    <t>0.0000527744</t>
  </si>
  <si>
    <t>D005640</t>
  </si>
  <si>
    <t>Follicle Stimulating Hormone</t>
  </si>
  <si>
    <t>0.0000450513</t>
  </si>
  <si>
    <t>D008801</t>
  </si>
  <si>
    <t>Mexiletine</t>
  </si>
  <si>
    <t>0.0000424769</t>
  </si>
  <si>
    <t>0.000036041</t>
  </si>
  <si>
    <t>D010672</t>
  </si>
  <si>
    <t>Phenytoin</t>
  </si>
  <si>
    <t>D013390</t>
  </si>
  <si>
    <t>Succinylcholine</t>
  </si>
  <si>
    <t>0.0000334667</t>
  </si>
  <si>
    <t>D011342</t>
  </si>
  <si>
    <t>Procainamide</t>
  </si>
  <si>
    <t>0.0000321795</t>
  </si>
  <si>
    <t>0.0000296051</t>
  </si>
  <si>
    <t>0.000028318</t>
  </si>
  <si>
    <t>D009609</t>
  </si>
  <si>
    <t>Nitrous Oxide</t>
  </si>
  <si>
    <t>0.0000244564</t>
  </si>
  <si>
    <t>D000077123</t>
  </si>
  <si>
    <t>Rocuronium</t>
  </si>
  <si>
    <t>D000077122</t>
  </si>
  <si>
    <t>Sugammadex</t>
  </si>
  <si>
    <t>0.0000231692</t>
  </si>
  <si>
    <t>D014673</t>
  </si>
  <si>
    <t>Vecuronium Bromide</t>
  </si>
  <si>
    <t>D005283</t>
  </si>
  <si>
    <t>Fentanyl</t>
  </si>
  <si>
    <t>0.0000218821</t>
  </si>
  <si>
    <t>D008687</t>
  </si>
  <si>
    <t>Metformin</t>
  </si>
  <si>
    <t>D000077408</t>
  </si>
  <si>
    <t>Modafinil</t>
  </si>
  <si>
    <t>D013874</t>
  </si>
  <si>
    <t>Thiopental</t>
  </si>
  <si>
    <t>0.0000205949</t>
  </si>
  <si>
    <t>D010419</t>
  </si>
  <si>
    <t>Pentamidine</t>
  </si>
  <si>
    <t>0.0000193077</t>
  </si>
  <si>
    <t>0.0000180205</t>
  </si>
  <si>
    <t>0.0000167333</t>
  </si>
  <si>
    <t>D007987</t>
  </si>
  <si>
    <t>Gonadotropin-Releasing Hormone</t>
  </si>
  <si>
    <t>D010281</t>
  </si>
  <si>
    <t>Parathyroid Hormone</t>
  </si>
  <si>
    <t>D011803</t>
  </si>
  <si>
    <t>Quinine</t>
  </si>
  <si>
    <t>D003620</t>
  </si>
  <si>
    <t>Dantrolene</t>
  </si>
  <si>
    <t>0.0000154462</t>
  </si>
  <si>
    <t>D003687</t>
  </si>
  <si>
    <t>Dehydroepiandrosterone</t>
  </si>
  <si>
    <t>D008774</t>
  </si>
  <si>
    <t>Methylphenidate</t>
  </si>
  <si>
    <t>D010042</t>
  </si>
  <si>
    <t>Ouabain</t>
  </si>
  <si>
    <t>D002045</t>
  </si>
  <si>
    <t>Bupivacaine</t>
  </si>
  <si>
    <t>0.000014159</t>
  </si>
  <si>
    <t>D006221</t>
  </si>
  <si>
    <t>Halothane</t>
  </si>
  <si>
    <t>D007545</t>
  </si>
  <si>
    <t>Isoproterenol</t>
  </si>
  <si>
    <t>D001285</t>
  </si>
  <si>
    <t>Atropine</t>
  </si>
  <si>
    <t>0.0000128718</t>
  </si>
  <si>
    <t>D013973</t>
  </si>
  <si>
    <t>Thyrotropin-Releasing Hormone</t>
  </si>
  <si>
    <t>0.0000115846</t>
  </si>
  <si>
    <t>D006063</t>
  </si>
  <si>
    <t>Chorionic Gonadotropin</t>
  </si>
  <si>
    <t>D011189</t>
  </si>
  <si>
    <t>Potassium Chloride</t>
  </si>
  <si>
    <t>D014044</t>
  </si>
  <si>
    <t>Tolbutamide</t>
  </si>
  <si>
    <t>D001279</t>
  </si>
  <si>
    <t>Atracurium</t>
  </si>
  <si>
    <t>0.0000102974</t>
  </si>
  <si>
    <t>D009270</t>
  </si>
  <si>
    <t>Naloxone</t>
  </si>
  <si>
    <t>D012643</t>
  </si>
  <si>
    <t>Selenium</t>
  </si>
  <si>
    <t>D013806</t>
  </si>
  <si>
    <t>Theophylline</t>
  </si>
  <si>
    <t>C520571</t>
  </si>
  <si>
    <t>tideglusib</t>
  </si>
  <si>
    <t>D014284</t>
  </si>
  <si>
    <t>Triiodothyronine</t>
  </si>
  <si>
    <t>D000628</t>
  </si>
  <si>
    <t>Aminophylline</t>
  </si>
  <si>
    <t>0.00000901026</t>
  </si>
  <si>
    <t>D002110</t>
  </si>
  <si>
    <t>Caffeine</t>
  </si>
  <si>
    <t>D050759</t>
  </si>
  <si>
    <t>Cyclin-Dependent Kinase Inhibitor p21</t>
  </si>
  <si>
    <t>D019382</t>
  </si>
  <si>
    <t>Human Growth Hormone</t>
  </si>
  <si>
    <t>D009543</t>
  </si>
  <si>
    <t>Nifedipine</t>
  </si>
  <si>
    <t>D000404</t>
  </si>
  <si>
    <t>Ajmaline</t>
  </si>
  <si>
    <t>0.00000772308</t>
  </si>
  <si>
    <t>D017963</t>
  </si>
  <si>
    <t>Azithromycin</t>
  </si>
  <si>
    <t>C050199</t>
  </si>
  <si>
    <t>digoxin antibodies Fab fragments</t>
  </si>
  <si>
    <t>D005424</t>
  </si>
  <si>
    <t>Flecainide</t>
  </si>
  <si>
    <t>D019793</t>
  </si>
  <si>
    <t>Fluorescein</t>
  </si>
  <si>
    <t>D006065</t>
  </si>
  <si>
    <t>Gonadotropins, Pituitary</t>
  </si>
  <si>
    <t>D006632</t>
  </si>
  <si>
    <t>Histamine</t>
  </si>
  <si>
    <t>D008787</t>
  </si>
  <si>
    <t>Metoclopramide</t>
  </si>
  <si>
    <t>D010197</t>
  </si>
  <si>
    <t>Pancuronium</t>
  </si>
  <si>
    <t>D012312</t>
  </si>
  <si>
    <t>Ritodrine</t>
  </si>
  <si>
    <t>D014403</t>
  </si>
  <si>
    <t>Tubocurarine</t>
  </si>
  <si>
    <t>D014667</t>
  </si>
  <si>
    <t>Vasopressins</t>
  </si>
  <si>
    <t>0.0000064359</t>
  </si>
  <si>
    <t>D003348</t>
  </si>
  <si>
    <t>Cortisone</t>
  </si>
  <si>
    <t>D003847</t>
  </si>
  <si>
    <t>Deoxyglucose</t>
  </si>
  <si>
    <t>D003913</t>
  </si>
  <si>
    <t>Dextroamphetamine</t>
  </si>
  <si>
    <t>D004917</t>
  </si>
  <si>
    <t>Erythromycin</t>
  </si>
  <si>
    <t>D005442</t>
  </si>
  <si>
    <t>Flumazenil</t>
  </si>
  <si>
    <t>D012642</t>
  </si>
  <si>
    <t>Selegiline</t>
  </si>
  <si>
    <t>DMPK</t>
  </si>
  <si>
    <t>0.0785891</t>
  </si>
  <si>
    <t>DM1</t>
  </si>
  <si>
    <t>0.000949939</t>
  </si>
  <si>
    <t>myotonin-protein kinase</t>
  </si>
  <si>
    <t>0.000828944</t>
  </si>
  <si>
    <t>MBNL1</t>
  </si>
  <si>
    <t>0.000490416</t>
  </si>
  <si>
    <t>DM2</t>
  </si>
  <si>
    <t>0.00034239</t>
  </si>
  <si>
    <t>CCTG</t>
  </si>
  <si>
    <t>0.000207236</t>
  </si>
  <si>
    <t>Myotonic dystrophy protein kinase</t>
  </si>
  <si>
    <t>0.0002008</t>
  </si>
  <si>
    <t>CNBP</t>
  </si>
  <si>
    <t>0.000190503</t>
  </si>
  <si>
    <t>0.000180205</t>
  </si>
  <si>
    <t>0.000149313</t>
  </si>
  <si>
    <t>D065636</t>
  </si>
  <si>
    <t>DM Kinase</t>
  </si>
  <si>
    <t>0.000142877</t>
  </si>
  <si>
    <t>CELF1</t>
  </si>
  <si>
    <t>0.000136441</t>
  </si>
  <si>
    <t>dystrophia myotonica protein kinase</t>
  </si>
  <si>
    <t>0.000115846</t>
  </si>
  <si>
    <t>D000067879</t>
  </si>
  <si>
    <t>CELF1 Protein</t>
  </si>
  <si>
    <t>0.000108123</t>
  </si>
  <si>
    <t>muscleblind-like 1</t>
  </si>
  <si>
    <t>0.0000952513</t>
  </si>
  <si>
    <t>CLCN1</t>
  </si>
  <si>
    <t>0.0000939642</t>
  </si>
  <si>
    <t>ZNF9</t>
  </si>
  <si>
    <t>0.000092677</t>
  </si>
  <si>
    <t>0.0000849539</t>
  </si>
  <si>
    <t>D000072260</t>
  </si>
  <si>
    <t>RNA Splicing Factors</t>
  </si>
  <si>
    <t>0.0000810924</t>
  </si>
  <si>
    <t>rhp57</t>
  </si>
  <si>
    <t>0.0000798052</t>
  </si>
  <si>
    <t>SIX5</t>
  </si>
  <si>
    <t>0.0000772308</t>
  </si>
  <si>
    <t>insulin receptor</t>
  </si>
  <si>
    <t>0.0000733693</t>
  </si>
  <si>
    <t>MBNL2</t>
  </si>
  <si>
    <t>DM protein kinase</t>
  </si>
  <si>
    <t>0.0000720821</t>
  </si>
  <si>
    <t>CUGBP1</t>
  </si>
  <si>
    <t>0.0000707949</t>
  </si>
  <si>
    <t>D011972</t>
  </si>
  <si>
    <t>Receptor, Insulin</t>
  </si>
  <si>
    <t>0.0000695077</t>
  </si>
  <si>
    <t>PROMM</t>
  </si>
  <si>
    <t>0.0000617847</t>
  </si>
  <si>
    <t>dystrophin</t>
  </si>
  <si>
    <t>0.0000604975</t>
  </si>
  <si>
    <t>APOC2</t>
  </si>
  <si>
    <t>0.0000489129</t>
  </si>
  <si>
    <t>GNRH1</t>
  </si>
  <si>
    <t>D016875</t>
  </si>
  <si>
    <t>tau Proteins</t>
  </si>
  <si>
    <t>0.0000476257</t>
  </si>
  <si>
    <t>0.0000463385</t>
  </si>
  <si>
    <t>Growth hormone</t>
  </si>
  <si>
    <t>TAU</t>
  </si>
  <si>
    <t>CELF</t>
  </si>
  <si>
    <t>0.0000411898</t>
  </si>
  <si>
    <t>FSHB</t>
  </si>
  <si>
    <t>AR</t>
  </si>
  <si>
    <t>0.0000373282</t>
  </si>
  <si>
    <t>ATXN1</t>
  </si>
  <si>
    <t>CUG-BP</t>
  </si>
  <si>
    <t>MRCK</t>
  </si>
  <si>
    <t>Zinc finger protein 9</t>
  </si>
  <si>
    <t>ATXN3</t>
  </si>
  <si>
    <t>0.0000347539</t>
  </si>
  <si>
    <t>C9orf72</t>
  </si>
  <si>
    <t>CKMM</t>
  </si>
  <si>
    <t>D000067878</t>
  </si>
  <si>
    <t>CELF Proteins</t>
  </si>
  <si>
    <t>0.0000308923</t>
  </si>
  <si>
    <t>clC-1</t>
  </si>
  <si>
    <t>LOC107826841</t>
  </si>
  <si>
    <t>MBL</t>
  </si>
  <si>
    <t>ACTH</t>
  </si>
  <si>
    <t>actin</t>
  </si>
  <si>
    <t>CDC42</t>
  </si>
  <si>
    <t>MBNL3</t>
  </si>
  <si>
    <t>neurofibromatosis 1</t>
  </si>
  <si>
    <t>Sxl</t>
  </si>
  <si>
    <t>TNNT2</t>
  </si>
  <si>
    <t>BY367451</t>
  </si>
  <si>
    <t>0.0000270308</t>
  </si>
  <si>
    <t>desmin</t>
  </si>
  <si>
    <t>FMR1</t>
  </si>
  <si>
    <t>INSR</t>
  </si>
  <si>
    <t>MYOD</t>
  </si>
  <si>
    <t>0.0000257436</t>
  </si>
  <si>
    <t>MAPT</t>
  </si>
  <si>
    <t>MSH2</t>
  </si>
  <si>
    <t>myosin</t>
  </si>
  <si>
    <t>ATP2A1</t>
  </si>
  <si>
    <t>CDC42BPA</t>
  </si>
  <si>
    <t>DM1 protein kinase</t>
  </si>
  <si>
    <t>GAA</t>
  </si>
  <si>
    <t>Hsa</t>
  </si>
  <si>
    <t>SCN5A</t>
  </si>
  <si>
    <t>glucagon</t>
  </si>
  <si>
    <t>myogenin</t>
  </si>
  <si>
    <t>DMWD</t>
  </si>
  <si>
    <t>HTT</t>
  </si>
  <si>
    <t>myosin heavy chain</t>
  </si>
  <si>
    <t>prolactin</t>
  </si>
  <si>
    <t>ROK</t>
  </si>
  <si>
    <t>SERCA1</t>
  </si>
  <si>
    <t>troponin T</t>
  </si>
  <si>
    <t>apolipoprotein C-II</t>
  </si>
  <si>
    <t>D001056</t>
  </si>
  <si>
    <t>Apolipoproteins C</t>
  </si>
  <si>
    <t>CDC42 GTP-binding protein</t>
  </si>
  <si>
    <t>gamma-glutamyltransferase</t>
  </si>
  <si>
    <t>GSK3B</t>
  </si>
  <si>
    <t>D017570</t>
  </si>
  <si>
    <t>MyoD Protein</t>
  </si>
  <si>
    <t>TNR</t>
  </si>
  <si>
    <t>ATN1</t>
  </si>
  <si>
    <t>muscleblind-like protein 1</t>
  </si>
  <si>
    <t>RHO</t>
  </si>
  <si>
    <t>L-lactate dehydrogenase</t>
  </si>
  <si>
    <t>protein kinase C</t>
  </si>
  <si>
    <t>RBP</t>
  </si>
  <si>
    <t>HP:0031546</t>
  </si>
  <si>
    <t>Cardiac conduction abnormality</t>
  </si>
  <si>
    <t>0.0230977</t>
  </si>
  <si>
    <t>0.0230256</t>
  </si>
  <si>
    <t>HP:0007787</t>
  </si>
  <si>
    <t>Posterior subcapsular cataract</t>
  </si>
  <si>
    <t>0.0230218</t>
  </si>
  <si>
    <t>HP:0100284</t>
  </si>
  <si>
    <t>EMG: myotonic discharges</t>
  </si>
  <si>
    <t>HP:0003740</t>
  </si>
  <si>
    <t>Myotonia with warm-up phenomenon</t>
  </si>
  <si>
    <t>0.0142488</t>
  </si>
  <si>
    <t>0.0142385</t>
  </si>
  <si>
    <t>HP:0003326</t>
  </si>
  <si>
    <t>Myalgia</t>
  </si>
  <si>
    <t>0.0141188</t>
  </si>
  <si>
    <t>HP:0100786</t>
  </si>
  <si>
    <t>Hypersomnia</t>
  </si>
  <si>
    <t>0.014111</t>
  </si>
  <si>
    <t>0.0140917</t>
  </si>
  <si>
    <t>0.0140904</t>
  </si>
  <si>
    <t>HP:0030319</t>
  </si>
  <si>
    <t>Weakness of facial musculature</t>
  </si>
  <si>
    <t>0.0140866</t>
  </si>
  <si>
    <t>0.014075</t>
  </si>
  <si>
    <t>HP:0006677</t>
  </si>
  <si>
    <t>Prolonged QRS complex</t>
  </si>
  <si>
    <t>0.0140686</t>
  </si>
  <si>
    <t>HP:0012248</t>
  </si>
  <si>
    <t>Prolonged PR interval</t>
  </si>
  <si>
    <t>0.0140647</t>
  </si>
  <si>
    <t>HP:0009027</t>
  </si>
  <si>
    <t>Foot dorsiflexor weakness</t>
  </si>
  <si>
    <t>0.0140634</t>
  </si>
  <si>
    <t>HP:0002494</t>
  </si>
  <si>
    <t>Abnormal rapid eye movement sleep</t>
  </si>
  <si>
    <t>0.0140608</t>
  </si>
  <si>
    <t>HP:0410011</t>
  </si>
  <si>
    <t>Abnormality of masticatory muscle</t>
  </si>
  <si>
    <t>HP:0030192</t>
  </si>
  <si>
    <t>Fatigable weakness of bulbar muscles</t>
  </si>
  <si>
    <t>=HYPERLINK("https://www.biovista.com/db/link/%5B%5B%22Disease%7CMyotonic%20dystrophy%20type%201%22%5D,%20%5B%22Human%20Phenotype%7CFatigable%20weakness%20of%20bulbar%20muscles%22%5D%5D?strength-weight-map=%257B%2522MEDLINE_STRENGTH_AB%2522:1.0,%2522HPO%2522:100.0%257D"; "Show Evidence...")</t>
  </si>
  <si>
    <t>HP:0031466</t>
  </si>
  <si>
    <t>Impairment in personality functioning</t>
  </si>
  <si>
    <t>HP:0007010</t>
  </si>
  <si>
    <t>Poor fine motor coordination</t>
  </si>
  <si>
    <t>0.0132809</t>
  </si>
  <si>
    <t>HP:0001262</t>
  </si>
  <si>
    <t>Excessive daytime somnolence</t>
  </si>
  <si>
    <t>0.0116117</t>
  </si>
  <si>
    <t>HP:0005110</t>
  </si>
  <si>
    <t>Atrial fibrillation</t>
  </si>
  <si>
    <t>0.0094411</t>
  </si>
  <si>
    <t>HP:0004749</t>
  </si>
  <si>
    <t>Atrial flutter</t>
  </si>
  <si>
    <t>0.00934434</t>
  </si>
  <si>
    <t>0.00491853</t>
  </si>
  <si>
    <t>HP:0002093</t>
  </si>
  <si>
    <t>Respiratory insufficiency</t>
  </si>
  <si>
    <t>0.00465208</t>
  </si>
  <si>
    <t>HP:0000855</t>
  </si>
  <si>
    <t>Insulin resistance</t>
  </si>
  <si>
    <t>0.00459159</t>
  </si>
  <si>
    <t>0.00458773</t>
  </si>
  <si>
    <t>0.00455297</t>
  </si>
  <si>
    <t>0.0045401</t>
  </si>
  <si>
    <t>0.00453366</t>
  </si>
  <si>
    <t>0.00452079</t>
  </si>
  <si>
    <t>HP:0012899</t>
  </si>
  <si>
    <t>Handgrip myotonia</t>
  </si>
  <si>
    <t>0.00451307</t>
  </si>
  <si>
    <t>HP:0002747</t>
  </si>
  <si>
    <t>Respiratory insufficiency due to muscle weakness</t>
  </si>
  <si>
    <t>0.00450406</t>
  </si>
  <si>
    <t>=HYPERLINK("https://www.biovista.com/db/link/%5B%5B%22Disease%7CMyotonic%20dystrophy%20type%201%22%5D,%20%5B%22Human%20Phenotype%7CRespiratory%20insufficiency%20due%20to%20muscle%20weakness%22%5D%5D?strength-weight-map=%257B%2522MEDLINE_STRENGTH_AB%2522:1.0,%2522HPO%2522:100.0%257D"; "Show Evidence...")</t>
  </si>
  <si>
    <t>HP:0001762</t>
  </si>
  <si>
    <t>Talipes equinovarus</t>
  </si>
  <si>
    <t>0.00449891</t>
  </si>
  <si>
    <t>0.00449505</t>
  </si>
  <si>
    <t>=HYPERLINK("https://www.biovista.com/db/link/%5B%5B%22Disease%7CMyotonic%20dystrophy%20type%201%22%5D,%20%5B%22Human%20Phenotype%7CAbnormal%20cerebral%20white%20matter%20morphology%22%5D%5D?strength-weight-map=%257B%2522MEDLINE_STRENGTH_AB%2522:1.0,%2522HPO%2522:100.0%257D"; "Show Evidence...")</t>
  </si>
  <si>
    <t>HP:0000842</t>
  </si>
  <si>
    <t>Hyperinsulinemia</t>
  </si>
  <si>
    <t>HP:0002019</t>
  </si>
  <si>
    <t>Constipation</t>
  </si>
  <si>
    <t>0.00449376</t>
  </si>
  <si>
    <t>0.00449119</t>
  </si>
  <si>
    <t>0.0044899</t>
  </si>
  <si>
    <t>HP:0002014</t>
  </si>
  <si>
    <t>Diarrhea</t>
  </si>
  <si>
    <t>0.00448861</t>
  </si>
  <si>
    <t>HP:0004389</t>
  </si>
  <si>
    <t>Intestinal pseudo-obstruction</t>
  </si>
  <si>
    <t>HP:0001268</t>
  </si>
  <si>
    <t>Mental deterioration</t>
  </si>
  <si>
    <t>0.00448604</t>
  </si>
  <si>
    <t>HP:0025169</t>
  </si>
  <si>
    <t>Left ventricular systolic dysfunction</t>
  </si>
  <si>
    <t>0.00448475</t>
  </si>
  <si>
    <t>HP:0001319</t>
  </si>
  <si>
    <t>Neonatal hypotonia</t>
  </si>
  <si>
    <t>HP:0000729</t>
  </si>
  <si>
    <t>Autistic behavior</t>
  </si>
  <si>
    <t>0.00448346</t>
  </si>
  <si>
    <t>HP:0000815</t>
  </si>
  <si>
    <t>Hypergonadotropic hypogonadism</t>
  </si>
  <si>
    <t>0.00448089</t>
  </si>
  <si>
    <t>HP:0200136</t>
  </si>
  <si>
    <t>Oral-pharyngeal dysphagia</t>
  </si>
  <si>
    <t>0.0044796</t>
  </si>
  <si>
    <t>HP:0001488</t>
  </si>
  <si>
    <t>Bilateral ptosis</t>
  </si>
  <si>
    <t>0.00447574</t>
  </si>
  <si>
    <t>HP:0002120</t>
  </si>
  <si>
    <t>Cerebral cortical atrophy</t>
  </si>
  <si>
    <t>HP:0003124</t>
  </si>
  <si>
    <t>Hypercholesterolemia</t>
  </si>
  <si>
    <t>0.00447445</t>
  </si>
  <si>
    <t>HP:0004755</t>
  </si>
  <si>
    <t>Supraventricular tachycardia</t>
  </si>
  <si>
    <t>HP:0000026</t>
  </si>
  <si>
    <t>Male hypogonadism</t>
  </si>
  <si>
    <t>0.00447317</t>
  </si>
  <si>
    <t>0.00447059</t>
  </si>
  <si>
    <t>HP:0002910</t>
  </si>
  <si>
    <t>Elevated circulating hepatic transaminase concentration</t>
  </si>
  <si>
    <t>=HYPERLINK("https://www.biovista.com/db/link/%5B%5B%22Disease%7CMyotonic%20dystrophy%20type%201%22%5D,%20%5B%22Human%20Phenotype%7CElevated%20circulating%20hepatic%20transaminase%20concentration%22%5D%5D?strength-weight-map=%257B%2522MEDLINE_STRENGTH_AB%2522:1.0,%2522HPO%2522:100.0%257D"; "Show Evidence...")</t>
  </si>
  <si>
    <t>HP:0000802</t>
  </si>
  <si>
    <t>Impotence</t>
  </si>
  <si>
    <t>HP:0000540</t>
  </si>
  <si>
    <t>Hypermetropia</t>
  </si>
  <si>
    <t>0.0044693</t>
  </si>
  <si>
    <t>HP:0001256</t>
  </si>
  <si>
    <t>Intellectual disability, mild</t>
  </si>
  <si>
    <t>HP:0010804</t>
  </si>
  <si>
    <t>Tented upper lip vermilion</t>
  </si>
  <si>
    <t>HP:0000712</t>
  </si>
  <si>
    <t>Emotional lability</t>
  </si>
  <si>
    <t>0.00446802</t>
  </si>
  <si>
    <t>HP:0007663</t>
  </si>
  <si>
    <t>Reduced visual acuity</t>
  </si>
  <si>
    <t>HP:0002926</t>
  </si>
  <si>
    <t>Abnormality of thyroid physiology</t>
  </si>
  <si>
    <t>0.00446673</t>
  </si>
  <si>
    <t>HP:0000483</t>
  </si>
  <si>
    <t>Astigmatism</t>
  </si>
  <si>
    <t>HP:0000144</t>
  </si>
  <si>
    <t>Decreased fertility</t>
  </si>
  <si>
    <t>HP:0009113</t>
  </si>
  <si>
    <t>Diaphragmatic weakness</t>
  </si>
  <si>
    <t>HP:0003722</t>
  </si>
  <si>
    <t>Neck flexor weakness</t>
  </si>
  <si>
    <t>HP:0000867</t>
  </si>
  <si>
    <t>Secondary hyperparathyroidism</t>
  </si>
  <si>
    <t>HP:0040173</t>
  </si>
  <si>
    <t>Abnormality of the tongue muscle</t>
  </si>
  <si>
    <t>HP:0040171</t>
  </si>
  <si>
    <t>Decreased serum testosterone concentration</t>
  </si>
  <si>
    <t>=HYPERLINK("https://www.biovista.com/db/link/%5B%5B%22Disease%7CMyotonic%20dystrophy%20type%201%22%5D,%20%5B%22Human%20Phenotype%7CDecreased%20serum%20testosterone%20concentration%22%5D%5D?strength-weight-map=%257B%2522MEDLINE_STRENGTH_AB%2522:1.0,%2522HPO%2522:100.0%257D"; "Show Evidence...")</t>
  </si>
  <si>
    <t>HP:0002234</t>
  </si>
  <si>
    <t>Early balding</t>
  </si>
  <si>
    <t>HP:0002527</t>
  </si>
  <si>
    <t>Falls</t>
  </si>
  <si>
    <t>HP:0010794</t>
  </si>
  <si>
    <t>Impaired visuospatial constructive cognition</t>
  </si>
  <si>
    <t>=HYPERLINK("https://www.biovista.com/db/link/%5B%5B%22Disease%7CMyotonic%20dystrophy%20type%201%22%5D,%20%5B%22Human%20Phenotype%7CImpaired%20visuospatial%20constructive%20cognition%22%5D%5D?strength-weight-map=%257B%2522MEDLINE_STRENGTH_AB%2522:1.0,%2522HPO%2522:100.0%257D"; "Show Evidence...")</t>
  </si>
  <si>
    <t>HP:0006889</t>
  </si>
  <si>
    <t>Intellectual disability, borderline</t>
  </si>
  <si>
    <t>HP:0007941</t>
  </si>
  <si>
    <t>Limited extraocular movements</t>
  </si>
  <si>
    <t>HP:0010952</t>
  </si>
  <si>
    <t>Mild fetal ventriculomegaly</t>
  </si>
  <si>
    <t>HP:0012901</t>
  </si>
  <si>
    <t>Myotonia of the jaw</t>
  </si>
  <si>
    <t>HP:0012903</t>
  </si>
  <si>
    <t>Myotonia of the upper limb</t>
  </si>
  <si>
    <t>HP:0011470</t>
  </si>
  <si>
    <t>Nasogastric tube feeding in infancy</t>
  </si>
  <si>
    <t>HP:0011999</t>
  </si>
  <si>
    <t>Paranoia</t>
  </si>
  <si>
    <t>HP:0004887</t>
  </si>
  <si>
    <t>Respiratory failure requiring assisted ventilation</t>
  </si>
  <si>
    <t>=HYPERLINK("https://www.biovista.com/db/link/%5B%5B%22Disease%7CMyotonic%20dystrophy%20type%201%22%5D,%20%5B%22Human%20Phenotype%7CRespiratory%20failure%20requiring%20assisted%20ventilation%22%5D%5D?strength-weight-map=%257B%2522MEDLINE_STRENGTH_AB%2522:1.0,%2522HPO%2522:100.0%257D"; "Show Evidence...")</t>
  </si>
  <si>
    <t>HP:0000736</t>
  </si>
  <si>
    <t>Short attention span</t>
  </si>
  <si>
    <t>HP:0001328</t>
  </si>
  <si>
    <t>Specific learning disability</t>
  </si>
  <si>
    <t>0.00233092</t>
  </si>
  <si>
    <t>HP:0000029</t>
  </si>
  <si>
    <t>Testicular atrophy</t>
  </si>
  <si>
    <t>0.00228587</t>
  </si>
  <si>
    <t>HP:0001349</t>
  </si>
  <si>
    <t>Facial diplegia</t>
  </si>
  <si>
    <t>0.00227557</t>
  </si>
  <si>
    <t>HP:0001081</t>
  </si>
  <si>
    <t>Cholelithiasis</t>
  </si>
  <si>
    <t>0.002273</t>
  </si>
  <si>
    <t>0.00226914</t>
  </si>
  <si>
    <t>HP:0008872</t>
  </si>
  <si>
    <t>Feeding difficulties in infancy</t>
  </si>
  <si>
    <t>0.0022524</t>
  </si>
  <si>
    <t>HP:0002486</t>
  </si>
  <si>
    <t>Myotonia</t>
  </si>
  <si>
    <t>0.00108472</t>
  </si>
  <si>
    <t>HP:0003560</t>
  </si>
  <si>
    <t>Muscular dystrophy</t>
  </si>
  <si>
    <t>0.000733693</t>
  </si>
  <si>
    <t>0.000567646</t>
  </si>
  <si>
    <t>HP:0001644</t>
  </si>
  <si>
    <t>Dilated cardiomyopathy</t>
  </si>
  <si>
    <t>0.000566816</t>
  </si>
  <si>
    <t>HP:0000717</t>
  </si>
  <si>
    <t>Autism</t>
  </si>
  <si>
    <t>0.000521765</t>
  </si>
  <si>
    <t>HP:0003477</t>
  </si>
  <si>
    <t>Peripheral axonal neuropathy</t>
  </si>
  <si>
    <t>0.000510181</t>
  </si>
  <si>
    <t>HP:0008069</t>
  </si>
  <si>
    <t>Neoplasm of the skin</t>
  </si>
  <si>
    <t>0.000506319</t>
  </si>
  <si>
    <t>0.000646164</t>
  </si>
  <si>
    <t>0.000226544</t>
  </si>
  <si>
    <t>0.000195651</t>
  </si>
  <si>
    <t>0.000158323</t>
  </si>
  <si>
    <t>0.000139015</t>
  </si>
  <si>
    <t>0.000131292</t>
  </si>
  <si>
    <t>0.000118421</t>
  </si>
  <si>
    <t>0.000117133</t>
  </si>
  <si>
    <t>GO:0006281</t>
  </si>
  <si>
    <t>DNA repair</t>
  </si>
  <si>
    <t>=HYPERLINK("https://www.biovista.com/db/link/%5B%5B%22Disease%7CMyotonic%20dystrophy%20type%201%22%5D,%20%5B%22Pathway%7CRNA%20splicing,%20via%20endonucleolytic%20cleavage%20and%20ligation%22%5D%5D?strength-weight-map=%257B%2522MEDLINE_STRENGTH_AB%2522:1.0,%2522HPO%2522:100.0%257D"; "Show Evidence...")</t>
  </si>
  <si>
    <t>GO:0007519</t>
  </si>
  <si>
    <t>skeletal muscle tissue development</t>
  </si>
  <si>
    <t>GO:0006260</t>
  </si>
  <si>
    <t>DNA replication</t>
  </si>
  <si>
    <t>0.000064359</t>
  </si>
  <si>
    <t>=HYPERLINK("https://www.biovista.com/db/link/%5B%5B%22Disease%7CMyotonic%20dystrophy%20type%201%22%5D,%20%5B%22Pathway%7Cregulatory%20ncRNA-mediated%20post-transcriptional%20gene%20silencing%22%5D%5D?strength-weight-map=%257B%2522MEDLINE_STRENGTH_AB%2522:1.0,%2522HPO%2522:100.0%257D"; "Show Evidence...")</t>
  </si>
  <si>
    <t>GO:0061337</t>
  </si>
  <si>
    <t>cardiac conduction</t>
  </si>
  <si>
    <t>0.0000566359</t>
  </si>
  <si>
    <t>0.0000514872</t>
  </si>
  <si>
    <t>=HYPERLINK("https://www.biovista.com/db/link/%5B%5B%22Disease%7CMyotonic%20dystrophy%20type%201%22%5D,%20%5B%22Pathway%7Cchromosomal%20DNA%20methylation%20maintenance%20following%20DNA%20replication%22%5D%5D?strength-weight-map=%257B%2522MEDLINE_STRENGTH_AB%2522:1.0,%2522HPO%2522:100.0%257D"; "Show Evidence...")</t>
  </si>
  <si>
    <t>0.0000437641</t>
  </si>
  <si>
    <t>GO:0051235</t>
  </si>
  <si>
    <t>maintenance of location</t>
  </si>
  <si>
    <t>GO:0030073</t>
  </si>
  <si>
    <t>insulin secretion</t>
  </si>
  <si>
    <t>GO:0071514</t>
  </si>
  <si>
    <t>genomic imprinting</t>
  </si>
  <si>
    <t>GO:0071626</t>
  </si>
  <si>
    <t>mastication</t>
  </si>
  <si>
    <t>GO:0045445</t>
  </si>
  <si>
    <t>myoblast differentiation</t>
  </si>
  <si>
    <t>GO:0140014</t>
  </si>
  <si>
    <t>mitotic nuclear division</t>
  </si>
  <si>
    <t>GO:0006397</t>
  </si>
  <si>
    <t>mRNA processing</t>
  </si>
  <si>
    <t>GO:0060384</t>
  </si>
  <si>
    <t>innervation</t>
  </si>
  <si>
    <t>GO:0051641</t>
  </si>
  <si>
    <t>cellular localization</t>
  </si>
  <si>
    <t>GO:0090398</t>
  </si>
  <si>
    <t>cellular senescence</t>
  </si>
  <si>
    <t>GO:0016310</t>
  </si>
  <si>
    <t>phosphorylation</t>
  </si>
  <si>
    <t>GO:0048468</t>
  </si>
  <si>
    <t>cell development</t>
  </si>
  <si>
    <t>GO:0000747</t>
  </si>
  <si>
    <t>conjugation with cellular fusion</t>
  </si>
  <si>
    <t>GO:0035483</t>
  </si>
  <si>
    <t>gastric emptying</t>
  </si>
  <si>
    <t>GO:0051168</t>
  </si>
  <si>
    <t>nuclear export</t>
  </si>
  <si>
    <t>GO:0030432</t>
  </si>
  <si>
    <t>peristalsis</t>
  </si>
  <si>
    <t>GO:0002524</t>
  </si>
  <si>
    <t>hypersensitivity</t>
  </si>
  <si>
    <t>GO:0050892</t>
  </si>
  <si>
    <t>intestinal absorption</t>
  </si>
  <si>
    <t>GO:0110134</t>
  </si>
  <si>
    <t>meiotic drive</t>
  </si>
  <si>
    <t>GO:0006811</t>
  </si>
  <si>
    <t>monoatomic ion transport</t>
  </si>
  <si>
    <t>GO:0014896</t>
  </si>
  <si>
    <t>muscle hypertrophy</t>
  </si>
  <si>
    <t>GO:0070527</t>
  </si>
  <si>
    <t>platelet aggregation</t>
  </si>
  <si>
    <t>GO:0030163</t>
  </si>
  <si>
    <t>protein catabolic process</t>
  </si>
  <si>
    <t>GO:0014732</t>
  </si>
  <si>
    <t>skeletal muscle atrophy</t>
  </si>
  <si>
    <t>GO:0003006</t>
  </si>
  <si>
    <t>developmental process involved in reproduction</t>
  </si>
  <si>
    <t>=HYPERLINK("https://www.biovista.com/db/link/%5B%5B%22Disease%7CMyotonic%20dystrophy%20type%201%22%5D,%20%5B%22Pathway%7Cdevelopmental%20process%20involved%20in%20reproduction%22%5D%5D?strength-weight-map=%257B%2522MEDLINE_STRENGTH_AB%2522:1.0,%2522HPO%2522:100.0%257D"; "Show Evidence...")</t>
  </si>
  <si>
    <t>GO:0071897</t>
  </si>
  <si>
    <t>DNA biosynthetic process</t>
  </si>
  <si>
    <t>GO:0007163</t>
  </si>
  <si>
    <t>establishment or maintenance of cell polarity</t>
  </si>
  <si>
    <t>=HYPERLINK("https://www.biovista.com/db/link/%5B%5B%22Disease%7CMyotonic%20dystrophy%20type%201%22%5D,%20%5B%22Pathway%7Cestablishment%20or%20maintenance%20of%20cell%20polarity%22%5D%5D?strength-weight-map=%257B%2522MEDLINE_STRENGTH_AB%2522:1.0,%2522HPO%2522:100.0%257D"; "Show Evidence...")</t>
  </si>
  <si>
    <t>GO:0035822</t>
  </si>
  <si>
    <t>gene conversion</t>
  </si>
  <si>
    <t>GO:0050801</t>
  </si>
  <si>
    <t>monoatomic ion homeostasis</t>
  </si>
  <si>
    <t>GO:0007520</t>
  </si>
  <si>
    <t>myoblast fusion</t>
  </si>
  <si>
    <t>GO:0031175</t>
  </si>
  <si>
    <t>neuron projection development</t>
  </si>
  <si>
    <t>GO:0007283</t>
  </si>
  <si>
    <t>spermatogenesis</t>
  </si>
  <si>
    <t>GO:0006338</t>
  </si>
  <si>
    <t>chromatin remodeling</t>
  </si>
  <si>
    <t>GO:0006402</t>
  </si>
  <si>
    <t>mRNA catabolic process</t>
  </si>
  <si>
    <t>C0349653</t>
  </si>
  <si>
    <t>PMM2 deficiency</t>
  </si>
  <si>
    <t>D011486</t>
  </si>
  <si>
    <t>Protein C</t>
  </si>
  <si>
    <t>0.000285855</t>
  </si>
  <si>
    <t>D017293</t>
  </si>
  <si>
    <t>Protein S</t>
  </si>
  <si>
    <t>0.000181908</t>
  </si>
  <si>
    <t>D000990</t>
  </si>
  <si>
    <t>Antithrombin III</t>
  </si>
  <si>
    <t>0.000155921</t>
  </si>
  <si>
    <t>D000515</t>
  </si>
  <si>
    <t>alpha 1-Antitrypsin</t>
  </si>
  <si>
    <t>0.000129934</t>
  </si>
  <si>
    <t>C038131</t>
  </si>
  <si>
    <t>epalrestat</t>
  </si>
  <si>
    <t>D003981</t>
  </si>
  <si>
    <t>Diazoxide</t>
  </si>
  <si>
    <t>0.000103947</t>
  </si>
  <si>
    <t>D013012</t>
  </si>
  <si>
    <t>Sorbitol</t>
  </si>
  <si>
    <t>D014415</t>
  </si>
  <si>
    <t>Tunicamycin</t>
  </si>
  <si>
    <t>0.0000519737</t>
  </si>
  <si>
    <t>D013917</t>
  </si>
  <si>
    <t>Thrombin</t>
  </si>
  <si>
    <t>0.0000259869</t>
  </si>
  <si>
    <t>C072553</t>
  </si>
  <si>
    <t>benzyloxycarbonylleucyl-leucyl-leucine aldehyde</t>
  </si>
  <si>
    <t>D001965</t>
  </si>
  <si>
    <t>Bromides</t>
  </si>
  <si>
    <t>D004002</t>
  </si>
  <si>
    <t>Clodronic Acid</t>
  </si>
  <si>
    <t>D003181</t>
  </si>
  <si>
    <t>Complement C4</t>
  </si>
  <si>
    <t>D003871</t>
  </si>
  <si>
    <t>Dermatan Sulfate</t>
  </si>
  <si>
    <t>D004164</t>
  </si>
  <si>
    <t>Diphosphonates</t>
  </si>
  <si>
    <t>C036309</t>
  </si>
  <si>
    <t>fibrin fragment D</t>
  </si>
  <si>
    <t>D007072</t>
  </si>
  <si>
    <t>Immunoglobulin D</t>
  </si>
  <si>
    <t>D007976</t>
  </si>
  <si>
    <t>Leupeptins</t>
  </si>
  <si>
    <t>D011479</t>
  </si>
  <si>
    <t>Protamines</t>
  </si>
  <si>
    <t>D053491</t>
  </si>
  <si>
    <t>Proteinase Inhibitory Proteins, Secretory</t>
  </si>
  <si>
    <t>C033110</t>
  </si>
  <si>
    <t>RV 538</t>
  </si>
  <si>
    <t>D000075462</t>
  </si>
  <si>
    <t>Serum Albumin, Human</t>
  </si>
  <si>
    <t>C016766</t>
  </si>
  <si>
    <t>sulforaphane</t>
  </si>
  <si>
    <t>D014994</t>
  </si>
  <si>
    <t>Xylose</t>
  </si>
  <si>
    <t>PMM2</t>
  </si>
  <si>
    <t>0.55742</t>
  </si>
  <si>
    <t>D017875</t>
  </si>
  <si>
    <t>Phosphotransferases (Phosphomutases)</t>
  </si>
  <si>
    <t>0.00540526</t>
  </si>
  <si>
    <t>phosphomannomutase</t>
  </si>
  <si>
    <t>0.00350822</t>
  </si>
  <si>
    <t>phosphomannomutase 2</t>
  </si>
  <si>
    <t>0.00155921</t>
  </si>
  <si>
    <t>transferrin</t>
  </si>
  <si>
    <t>0.00153322</t>
  </si>
  <si>
    <t>PMM</t>
  </si>
  <si>
    <t>0.000935527</t>
  </si>
  <si>
    <t>TF</t>
  </si>
  <si>
    <t>0.000779606</t>
  </si>
  <si>
    <t>manC</t>
  </si>
  <si>
    <t>0.00041579</t>
  </si>
  <si>
    <t>antithrombin</t>
  </si>
  <si>
    <t>mannose-6-phosphate isomerase</t>
  </si>
  <si>
    <t>Phosphomannose isomerase</t>
  </si>
  <si>
    <t>0.000259869</t>
  </si>
  <si>
    <t>PMM1</t>
  </si>
  <si>
    <t>protein C</t>
  </si>
  <si>
    <t>ALG6</t>
  </si>
  <si>
    <t>0.000233882</t>
  </si>
  <si>
    <t>MPI</t>
  </si>
  <si>
    <t>CDS1</t>
  </si>
  <si>
    <t>ALG1</t>
  </si>
  <si>
    <t>ALG3</t>
  </si>
  <si>
    <t>antithrombin III</t>
  </si>
  <si>
    <t>factor XI</t>
  </si>
  <si>
    <t>protein S</t>
  </si>
  <si>
    <t>ERG</t>
  </si>
  <si>
    <t>ICAM1</t>
  </si>
  <si>
    <t>phosphoglucomutase</t>
  </si>
  <si>
    <t>SERPINA1</t>
  </si>
  <si>
    <t>chitobiosyldiphosphodolichol beta-mannosyltransferase</t>
  </si>
  <si>
    <t>IGF2R</t>
  </si>
  <si>
    <t>lectin</t>
  </si>
  <si>
    <t>acyl carrier protein</t>
  </si>
  <si>
    <t>0.0000779606</t>
  </si>
  <si>
    <t>albumin</t>
  </si>
  <si>
    <t>aldose reductase</t>
  </si>
  <si>
    <t>APOC3</t>
  </si>
  <si>
    <t>beta-hexosaminidase</t>
  </si>
  <si>
    <t>DPM1</t>
  </si>
  <si>
    <t>F11</t>
  </si>
  <si>
    <t>glucosyltransferase</t>
  </si>
  <si>
    <t>haptoglobin</t>
  </si>
  <si>
    <t>D013002</t>
  </si>
  <si>
    <t>insulin-like growth factor</t>
  </si>
  <si>
    <t>mannose phosphate isomerase</t>
  </si>
  <si>
    <t>PGM1</t>
  </si>
  <si>
    <t>PMI</t>
  </si>
  <si>
    <t>D043524</t>
  </si>
  <si>
    <t>PNGase A</t>
  </si>
  <si>
    <t>D011973</t>
  </si>
  <si>
    <t>Receptors, LDL</t>
  </si>
  <si>
    <t>RFT1</t>
  </si>
  <si>
    <t>SERPINA7</t>
  </si>
  <si>
    <t>SRD5A3</t>
  </si>
  <si>
    <t>TCIRG1</t>
  </si>
  <si>
    <t>D061250</t>
  </si>
  <si>
    <t>Transferrins</t>
  </si>
  <si>
    <t>Aldehyde reductase</t>
  </si>
  <si>
    <t>ALG12</t>
  </si>
  <si>
    <t>alpha fucosidase</t>
  </si>
  <si>
    <t>Alpha-1</t>
  </si>
  <si>
    <t>alpha-mannosidase</t>
  </si>
  <si>
    <t>ATP6V0A2</t>
  </si>
  <si>
    <t>CACNA1A</t>
  </si>
  <si>
    <t>calnexin</t>
  </si>
  <si>
    <t>CAV2.1</t>
  </si>
  <si>
    <t>CCDC115</t>
  </si>
  <si>
    <t>clusterin</t>
  </si>
  <si>
    <t>COG6</t>
  </si>
  <si>
    <t>DNASE1</t>
  </si>
  <si>
    <t>dolichol kinase</t>
  </si>
  <si>
    <t>DOLK</t>
  </si>
  <si>
    <t>EIF2AK2</t>
  </si>
  <si>
    <t>factor IX</t>
  </si>
  <si>
    <t>factor X</t>
  </si>
  <si>
    <t>fibrinogen</t>
  </si>
  <si>
    <t>glc-1</t>
  </si>
  <si>
    <t>GPI</t>
  </si>
  <si>
    <t>HEXA</t>
  </si>
  <si>
    <t>HMPREF1120_07827</t>
  </si>
  <si>
    <t>IGF</t>
  </si>
  <si>
    <t>IGF1</t>
  </si>
  <si>
    <t>IGFBP3</t>
  </si>
  <si>
    <t>INR</t>
  </si>
  <si>
    <t>LDL receptor</t>
  </si>
  <si>
    <t>D008077</t>
  </si>
  <si>
    <t>Low-Density Lipoprotein</t>
  </si>
  <si>
    <t>MT1</t>
  </si>
  <si>
    <t>ORM1</t>
  </si>
  <si>
    <t>Peptide-N4-(N-acetyl-beta-glucosaminyl) Asparagine Amidase</t>
  </si>
  <si>
    <t>D055519</t>
  </si>
  <si>
    <t>Photoreceptors, Plant</t>
  </si>
  <si>
    <t>D055607</t>
  </si>
  <si>
    <t>Receptors, Natural Killer Cell</t>
  </si>
  <si>
    <t>TBG</t>
  </si>
  <si>
    <t>thrombin</t>
  </si>
  <si>
    <t>Wnt</t>
  </si>
  <si>
    <t>alanine aminotransferase</t>
  </si>
  <si>
    <t>B4GALT1</t>
  </si>
  <si>
    <t>factor XII</t>
  </si>
  <si>
    <t>hsp70</t>
  </si>
  <si>
    <t>MAN1B1</t>
  </si>
  <si>
    <t>npc1b</t>
  </si>
  <si>
    <t>VLDLR</t>
  </si>
  <si>
    <t>ZNF143</t>
  </si>
  <si>
    <t>0.0383546</t>
  </si>
  <si>
    <t>HP:0001321</t>
  </si>
  <si>
    <t>Cerebellar hypoplasia</t>
  </si>
  <si>
    <t>0.0376571</t>
  </si>
  <si>
    <t>0.0311157</t>
  </si>
  <si>
    <t>HP:0001395</t>
  </si>
  <si>
    <t>Hepatic fibrosis</t>
  </si>
  <si>
    <t>0.0302056</t>
  </si>
  <si>
    <t>0.0290172</t>
  </si>
  <si>
    <t>0.0255984</t>
  </si>
  <si>
    <t>HP:0007874</t>
  </si>
  <si>
    <t>Almond-shaped palpebral fissure</t>
  </si>
  <si>
    <t>HPO</t>
  </si>
  <si>
    <t>HP:6000781</t>
  </si>
  <si>
    <t>Reduced tissue phosphomannomutase activity</t>
  </si>
  <si>
    <t>HP:0003642</t>
  </si>
  <si>
    <t>Type I transferrin isoform profile</t>
  </si>
  <si>
    <t>HP:0000486</t>
  </si>
  <si>
    <t>Strabismus</t>
  </si>
  <si>
    <t>0.0234038</t>
  </si>
  <si>
    <t>0.02304</t>
  </si>
  <si>
    <t>HP:0000582</t>
  </si>
  <si>
    <t>Upslanted palpebral fissure</t>
  </si>
  <si>
    <t>0.0217987</t>
  </si>
  <si>
    <t>0.0216669</t>
  </si>
  <si>
    <t>HP:0001320</t>
  </si>
  <si>
    <t>Cerebellar vermis hypoplasia</t>
  </si>
  <si>
    <t>0.0215216</t>
  </si>
  <si>
    <t>0.0211832</t>
  </si>
  <si>
    <t>0.021123</t>
  </si>
  <si>
    <t>0.0192024</t>
  </si>
  <si>
    <t>HP:0000107</t>
  </si>
  <si>
    <t>Renal cyst</t>
  </si>
  <si>
    <t>0.0176293</t>
  </si>
  <si>
    <t>HP:0020045</t>
  </si>
  <si>
    <t>Esodeviation</t>
  </si>
  <si>
    <t>0.0170963</t>
  </si>
  <si>
    <t>HP:0002198</t>
  </si>
  <si>
    <t>Dilated fourth ventricle</t>
  </si>
  <si>
    <t>0.0170444</t>
  </si>
  <si>
    <t>HP:0002240</t>
  </si>
  <si>
    <t>Hepatomegaly</t>
  </si>
  <si>
    <t>0.0155726</t>
  </si>
  <si>
    <t>HP:0003186</t>
  </si>
  <si>
    <t>Inverted nipples</t>
  </si>
  <si>
    <t>0.014696</t>
  </si>
  <si>
    <t>0.0142414</t>
  </si>
  <si>
    <t>HP:0009125</t>
  </si>
  <si>
    <t>Lipodystrophy</t>
  </si>
  <si>
    <t>0.0141895</t>
  </si>
  <si>
    <t>HP:0000938</t>
  </si>
  <si>
    <t>Osteopenia</t>
  </si>
  <si>
    <t>0.0141891</t>
  </si>
  <si>
    <t>0.0141635</t>
  </si>
  <si>
    <t>0.0141375</t>
  </si>
  <si>
    <t>0.0141371</t>
  </si>
  <si>
    <t>0.0141115</t>
  </si>
  <si>
    <t>HP:0000939</t>
  </si>
  <si>
    <t>Osteoporosis</t>
  </si>
  <si>
    <t>0.0141111</t>
  </si>
  <si>
    <t>0.0140855</t>
  </si>
  <si>
    <t>HP:0100807</t>
  </si>
  <si>
    <t>Long fingers</t>
  </si>
  <si>
    <t>HP:0000343</t>
  </si>
  <si>
    <t>Long philtrum</t>
  </si>
  <si>
    <t>HP:0000154</t>
  </si>
  <si>
    <t>Wide mouth</t>
  </si>
  <si>
    <t>HP:0007552</t>
  </si>
  <si>
    <t>Abnormal subcutaneous fat tissue distribution</t>
  </si>
  <si>
    <t>0.0140851</t>
  </si>
  <si>
    <t>HP:0011220</t>
  </si>
  <si>
    <t>Prominent forehead</t>
  </si>
  <si>
    <t>HP:0000219</t>
  </si>
  <si>
    <t>Thin upper lip vermilion</t>
  </si>
  <si>
    <t>HP:0000463</t>
  </si>
  <si>
    <t>Anteverted nares</t>
  </si>
  <si>
    <t>HP:0012448</t>
  </si>
  <si>
    <t>Delayed myelination</t>
  </si>
  <si>
    <t>HP:0000286</t>
  </si>
  <si>
    <t>Epicanthus</t>
  </si>
  <si>
    <t>HP:0000316</t>
  </si>
  <si>
    <t>Hypertelorism</t>
  </si>
  <si>
    <t>HP:0000303</t>
  </si>
  <si>
    <t>Mandibular prognathia</t>
  </si>
  <si>
    <t>HP:0001763</t>
  </si>
  <si>
    <t>Pes planus</t>
  </si>
  <si>
    <t>HP:0000448</t>
  </si>
  <si>
    <t>Prominent nose</t>
  </si>
  <si>
    <t>HP:0000278</t>
  </si>
  <si>
    <t>Retrognathia</t>
  </si>
  <si>
    <t>HP:0002280</t>
  </si>
  <si>
    <t>Enlarged cisterna magna</t>
  </si>
  <si>
    <t>0.0129935</t>
  </si>
  <si>
    <t>HP:0011473</t>
  </si>
  <si>
    <t>Villous atrophy</t>
  </si>
  <si>
    <t>0.0128063</t>
  </si>
  <si>
    <t>0.00913997</t>
  </si>
  <si>
    <t>0.00856826</t>
  </si>
  <si>
    <t>HP:0001310</t>
  </si>
  <si>
    <t>Dysmetria</t>
  </si>
  <si>
    <t>0.00851628</t>
  </si>
  <si>
    <t>HP:0003577</t>
  </si>
  <si>
    <t>Congenital onset</t>
  </si>
  <si>
    <t>HP:0002197</t>
  </si>
  <si>
    <t>Generalized-onset seizure</t>
  </si>
  <si>
    <t>HP:0001347</t>
  </si>
  <si>
    <t>Hyperreflexia</t>
  </si>
  <si>
    <t>HP:0002080</t>
  </si>
  <si>
    <t>Intention tremor</t>
  </si>
  <si>
    <t>HP:0001701</t>
  </si>
  <si>
    <t>Pericarditis</t>
  </si>
  <si>
    <t>0.00692193</t>
  </si>
  <si>
    <t>0.00643624</t>
  </si>
  <si>
    <t>HP:0001522</t>
  </si>
  <si>
    <t>Death in infancy</t>
  </si>
  <si>
    <t>0.00510505</t>
  </si>
  <si>
    <t>0.00506314</t>
  </si>
  <si>
    <t>0.00488123</t>
  </si>
  <si>
    <t>HP:0001698</t>
  </si>
  <si>
    <t>Pericardial effusion</t>
  </si>
  <si>
    <t>0.00488083</t>
  </si>
  <si>
    <t>HP:0000510</t>
  </si>
  <si>
    <t>Rod-cone dystrophy</t>
  </si>
  <si>
    <t>0.00472491</t>
  </si>
  <si>
    <t>HP:0003073</t>
  </si>
  <si>
    <t>Hypoalbuminemia</t>
  </si>
  <si>
    <t>0.00462096</t>
  </si>
  <si>
    <t>0.00456939</t>
  </si>
  <si>
    <t>0.00456899</t>
  </si>
  <si>
    <t>=HYPERLINK("https://www.biovista.com/db/link/%5B%5B%22Disease%7CPMM2%20deficiency%22%5D,%20%5B%22Human%20Phenotype%7CElevated%20circulating%20hepatic%20transaminase%20concentration%22%5D%5D?strength-weight-map=%257B%2522MEDLINE_STRENGTH_AB%2522:1.0,%2522HPO%2522:100.0%257D"; "Show Evidence...")</t>
  </si>
  <si>
    <t>HP:0001976</t>
  </si>
  <si>
    <t>Reduced antithrombin III activity</t>
  </si>
  <si>
    <t>HP:0000545</t>
  </si>
  <si>
    <t>Myopia</t>
  </si>
  <si>
    <t>0.0045434</t>
  </si>
  <si>
    <t>HP:0000093</t>
  </si>
  <si>
    <t>Proteinuria</t>
  </si>
  <si>
    <t>0.004543</t>
  </si>
  <si>
    <t>HP:0001929</t>
  </si>
  <si>
    <t>Reduced factor XI activity</t>
  </si>
  <si>
    <t>0.00451742</t>
  </si>
  <si>
    <t>HP:0008734</t>
  </si>
  <si>
    <t>Decreased testicular size</t>
  </si>
  <si>
    <t>0.00449143</t>
  </si>
  <si>
    <t>HP:0000044</t>
  </si>
  <si>
    <t>Hypogonadotropic hypogonadism</t>
  </si>
  <si>
    <t>HP:0030146</t>
  </si>
  <si>
    <t>Abnormal liver parenchyma morphology</t>
  </si>
  <si>
    <t>HP:0000377</t>
  </si>
  <si>
    <t>Abnormal pinna morphology</t>
  </si>
  <si>
    <t>HP:0000091</t>
  </si>
  <si>
    <t>Abnormal renal tubule morphology</t>
  </si>
  <si>
    <t>HP:0011842</t>
  </si>
  <si>
    <t>Abnormal skeletal morphology</t>
  </si>
  <si>
    <t>HP:0011443</t>
  </si>
  <si>
    <t>Abnormality of coordination</t>
  </si>
  <si>
    <t>HP:0010463</t>
  </si>
  <si>
    <t>Aplasia of the ovary</t>
  </si>
  <si>
    <t>HP:0011951</t>
  </si>
  <si>
    <t>Aspiration pneumonia</t>
  </si>
  <si>
    <t>HP:0000845</t>
  </si>
  <si>
    <t>Elevated circulating growth hormone concentration</t>
  </si>
  <si>
    <t>HP:0002925</t>
  </si>
  <si>
    <t>Elevated circulating thyroid-stimulating hormone concentration</t>
  </si>
  <si>
    <t>=HYPERLINK("https://www.biovista.com/db/link/%5B%5B%22Disease%7CPMM2%20deficiency%22%5D,%20%5B%22Human%20Phenotype%7CElevated%20circulating%20thyroid-stimulating%20hormone%20concentration%22%5D%5D?strength-weight-map=%257B%2522MEDLINE_STRENGTH_AB%2522:1.0,%2522HPO%2522:100.0%257D"; "Show Evidence...")</t>
  </si>
  <si>
    <t>HP:0012882</t>
  </si>
  <si>
    <t>Hyperplastic labia majora</t>
  </si>
  <si>
    <t>HP:0000870</t>
  </si>
  <si>
    <t>Increased circulating prolactin concentration</t>
  </si>
  <si>
    <t>HP:0005562</t>
  </si>
  <si>
    <t>Multiple renal cysts</t>
  </si>
  <si>
    <t>HP:0030609</t>
  </si>
  <si>
    <t>Photoreceptor layer loss on macular OCT</t>
  </si>
  <si>
    <t>HP:0000426</t>
  </si>
  <si>
    <t>Prominent nasal bridge</t>
  </si>
  <si>
    <t>HP:0011858</t>
  </si>
  <si>
    <t>Reduced factor IX activity</t>
  </si>
  <si>
    <t>HP:0012509</t>
  </si>
  <si>
    <t>Reduced thyroxin-binding globulin</t>
  </si>
  <si>
    <t>HP:0002098</t>
  </si>
  <si>
    <t>Respiratory distress</t>
  </si>
  <si>
    <t>HP:0001638</t>
  </si>
  <si>
    <t>Cardiomyopathy</t>
  </si>
  <si>
    <t>0.00285847</t>
  </si>
  <si>
    <t>0.00571711</t>
  </si>
  <si>
    <t>0.000545724</t>
  </si>
  <si>
    <t>0.00049375</t>
  </si>
  <si>
    <t>GO:0007596</t>
  </si>
  <si>
    <t>blood coagulation</t>
  </si>
  <si>
    <t>GO:0007599</t>
  </si>
  <si>
    <t>hemostasis</t>
  </si>
  <si>
    <t>GO:0030259</t>
  </si>
  <si>
    <t>lipid glycosylation</t>
  </si>
  <si>
    <t>GO:0006487</t>
  </si>
  <si>
    <t>protein N-linked glycosylation</t>
  </si>
  <si>
    <t>GO:0009101</t>
  </si>
  <si>
    <t>glycoprotein biosynthetic process</t>
  </si>
  <si>
    <t>GO:0034976</t>
  </si>
  <si>
    <t>response to endoplasmic reticulum stress</t>
  </si>
  <si>
    <t>GO:0019835</t>
  </si>
  <si>
    <t>cytolysis</t>
  </si>
  <si>
    <t>GO:0019348</t>
  </si>
  <si>
    <t>dolichol metabolic process</t>
  </si>
  <si>
    <t>GO:0097502</t>
  </si>
  <si>
    <t>mannosylation</t>
  </si>
  <si>
    <t>GO:0006491</t>
  </si>
  <si>
    <t>N-glycan processing</t>
  </si>
  <si>
    <t>GO:0000271</t>
  </si>
  <si>
    <t>polysaccharide biosynthetic process</t>
  </si>
  <si>
    <t>GO:0051216</t>
  </si>
  <si>
    <t>cartilage development</t>
  </si>
  <si>
    <t>GO:0007114</t>
  </si>
  <si>
    <t>cell budding</t>
  </si>
  <si>
    <t>GO:0006488</t>
  </si>
  <si>
    <t>dolichol-linked oligosaccharide biosynthetic process</t>
  </si>
  <si>
    <t>GO:0036503</t>
  </si>
  <si>
    <t>ERAD pathway</t>
  </si>
  <si>
    <t>GO:0042730</t>
  </si>
  <si>
    <t>fibrinolysis</t>
  </si>
  <si>
    <t>GO:0005980</t>
  </si>
  <si>
    <t>glycogen catabolic process</t>
  </si>
  <si>
    <t>GO:0009100</t>
  </si>
  <si>
    <t>glycoprotein metabolic process</t>
  </si>
  <si>
    <t>GO:0006688</t>
  </si>
  <si>
    <t>glycosphingolipid biosynthetic process</t>
  </si>
  <si>
    <t>GO:0045087</t>
  </si>
  <si>
    <t>innate immune response</t>
  </si>
  <si>
    <t>GO:0046907</t>
  </si>
  <si>
    <t>intracellular transport</t>
  </si>
  <si>
    <t>GO:0045190</t>
  </si>
  <si>
    <t>isotype switching</t>
  </si>
  <si>
    <t>GO:0006869</t>
  </si>
  <si>
    <t>lipid transport</t>
  </si>
  <si>
    <t>GO:0042116</t>
  </si>
  <si>
    <t>macrophage activation</t>
  </si>
  <si>
    <t>GO:0051651</t>
  </si>
  <si>
    <t>maintenance of location in cell</t>
  </si>
  <si>
    <t>GO:0019307</t>
  </si>
  <si>
    <t>mannose biosynthetic process</t>
  </si>
  <si>
    <t>GO:0006312</t>
  </si>
  <si>
    <t>mitotic recombination</t>
  </si>
  <si>
    <t>GO:0035264</t>
  </si>
  <si>
    <t>multicellular organism growth</t>
  </si>
  <si>
    <t>GO:0030101</t>
  </si>
  <si>
    <t>natural killer cell activation</t>
  </si>
  <si>
    <t>GO:0042267</t>
  </si>
  <si>
    <t>natural killer cell mediated cytotoxicity</t>
  </si>
  <si>
    <t>GO:0007399</t>
  </si>
  <si>
    <t>nervous system development</t>
  </si>
  <si>
    <t>GO:0072672</t>
  </si>
  <si>
    <t>neutrophil extravasation</t>
  </si>
  <si>
    <t>GO:0048599</t>
  </si>
  <si>
    <t>oocyte development</t>
  </si>
  <si>
    <t>GO:0043473</t>
  </si>
  <si>
    <t>pigmentation</t>
  </si>
  <si>
    <t>GO:0019751</t>
  </si>
  <si>
    <t>polyol metabolic process</t>
  </si>
  <si>
    <t>GO:0005976</t>
  </si>
  <si>
    <t>polysaccharide metabolic process</t>
  </si>
  <si>
    <t>GO:0040008</t>
  </si>
  <si>
    <t>regulation of growth</t>
  </si>
  <si>
    <t>GO:0033762</t>
  </si>
  <si>
    <t>response to glucagon</t>
  </si>
  <si>
    <t>GO:0032197</t>
  </si>
  <si>
    <t>retrotransposition</t>
  </si>
  <si>
    <t>GO:0051320</t>
  </si>
  <si>
    <t>S phase</t>
  </si>
  <si>
    <t>GO:0009888</t>
  </si>
  <si>
    <t>tissue development</t>
  </si>
  <si>
    <t>GO:0099537</t>
  </si>
  <si>
    <t>trans-synaptic signaling</t>
  </si>
  <si>
    <t>GO:0055085</t>
  </si>
  <si>
    <t>transmembrane transport</t>
  </si>
  <si>
    <t>UMLS:Disease or Syndrome:MEDCIN</t>
  </si>
  <si>
    <t>C1849508</t>
  </si>
  <si>
    <t>pyridoxine dependent epilepsy</t>
  </si>
  <si>
    <t>0.00697631</t>
  </si>
  <si>
    <t>D025101</t>
  </si>
  <si>
    <t>Vitamin B 6</t>
  </si>
  <si>
    <t>0.00166358</t>
  </si>
  <si>
    <t>0.00155625</t>
  </si>
  <si>
    <t>0.000885454</t>
  </si>
  <si>
    <t>0.000804959</t>
  </si>
  <si>
    <t>0.000375647</t>
  </si>
  <si>
    <t>0.000321983</t>
  </si>
  <si>
    <t>D011730</t>
  </si>
  <si>
    <t>Pyridoxal</t>
  </si>
  <si>
    <t>0.000187824</t>
  </si>
  <si>
    <t>0.000160992</t>
  </si>
  <si>
    <t>0.000107328</t>
  </si>
  <si>
    <t>D013763</t>
  </si>
  <si>
    <t>Tetrahydrofolates</t>
  </si>
  <si>
    <t>C570710</t>
  </si>
  <si>
    <t>asfotase alfa</t>
  </si>
  <si>
    <t>0.0000804959</t>
  </si>
  <si>
    <t>D011733</t>
  </si>
  <si>
    <t>Pyridoxamine</t>
  </si>
  <si>
    <t>0.0000536639</t>
  </si>
  <si>
    <t>D007538</t>
  </si>
  <si>
    <t>Isoniazid</t>
  </si>
  <si>
    <t>D010396</t>
  </si>
  <si>
    <t>Penicillamine</t>
  </si>
  <si>
    <t>C032727</t>
  </si>
  <si>
    <t>piperidine</t>
  </si>
  <si>
    <t>D000078305</t>
  </si>
  <si>
    <t>Zonisamide</t>
  </si>
  <si>
    <t>0.000026832</t>
  </si>
  <si>
    <t>D001622</t>
  </si>
  <si>
    <t>Betaine</t>
  </si>
  <si>
    <t>D020148</t>
  </si>
  <si>
    <t>Butyric Acid</t>
  </si>
  <si>
    <t>D000078306</t>
  </si>
  <si>
    <t>Clobazam</t>
  </si>
  <si>
    <t>D000078328</t>
  </si>
  <si>
    <t>Felbamate</t>
  </si>
  <si>
    <t>C105051</t>
  </si>
  <si>
    <t>ganaxolone</t>
  </si>
  <si>
    <t>C010597</t>
  </si>
  <si>
    <t>ketobemidone, N,N-dimethyl-3,3-diphenyl-1-methylallylamine drug combination</t>
  </si>
  <si>
    <t>=HYPERLINK("https://www.biovista.com/db/link/%5B%5B%22Disease%7Cpyridoxine%20dependent%20epilepsy%22%5D,%20%5B%22Drug%7Cketobemidone,%20N,N-dimethyl-3,3-diphenyl-1-methylallylamine%20drug%20combination%22%5D%5D?strength-weight-map=%257B%2522MEDLINE_STRENGTH_AB%2522:1.0,%2522HPO%2522:100.0%257D"; "Show Evidence...")</t>
  </si>
  <si>
    <t>C103494</t>
  </si>
  <si>
    <t>M23 urokinase</t>
  </si>
  <si>
    <t>D008614</t>
  </si>
  <si>
    <t>Meperidine</t>
  </si>
  <si>
    <t>D008874</t>
  </si>
  <si>
    <t>Midazolam</t>
  </si>
  <si>
    <t>D009567</t>
  </si>
  <si>
    <t>Nitrazepam</t>
  </si>
  <si>
    <t>C549445</t>
  </si>
  <si>
    <t>nulibry</t>
  </si>
  <si>
    <t>D000078330</t>
  </si>
  <si>
    <t>Oxcarbazepine</t>
  </si>
  <si>
    <t>D010830</t>
  </si>
  <si>
    <t>Physostigmine</t>
  </si>
  <si>
    <t>C030614</t>
  </si>
  <si>
    <t>picolinic acid</t>
  </si>
  <si>
    <t>D012110</t>
  </si>
  <si>
    <t>Reserpine</t>
  </si>
  <si>
    <t>D012978</t>
  </si>
  <si>
    <t>Sodium Oxybate</t>
  </si>
  <si>
    <t>D013747</t>
  </si>
  <si>
    <t>Tetrabenazine</t>
  </si>
  <si>
    <t>D000077236</t>
  </si>
  <si>
    <t>Topiramate</t>
  </si>
  <si>
    <t>D014212</t>
  </si>
  <si>
    <t>Tretinoin</t>
  </si>
  <si>
    <t>0.182701</t>
  </si>
  <si>
    <t>PLPBP</t>
  </si>
  <si>
    <t>0.114797</t>
  </si>
  <si>
    <t>aldehyde dehydrogenase</t>
  </si>
  <si>
    <t>0.00311251</t>
  </si>
  <si>
    <t>alpha-aminoadipic semialdehyde dehydrogenase</t>
  </si>
  <si>
    <t>0.00101961</t>
  </si>
  <si>
    <t>PLP</t>
  </si>
  <si>
    <t>0.00096595</t>
  </si>
  <si>
    <t>PNPO</t>
  </si>
  <si>
    <t>0.000482975</t>
  </si>
  <si>
    <t>D011734</t>
  </si>
  <si>
    <t>Pyridoxaminephosphate Oxidase</t>
  </si>
  <si>
    <t>glutamic acid decarboxylase</t>
  </si>
  <si>
    <t>0.000295151</t>
  </si>
  <si>
    <t>PROSC</t>
  </si>
  <si>
    <t>0.000241488</t>
  </si>
  <si>
    <t>ALPL</t>
  </si>
  <si>
    <t>ine</t>
  </si>
  <si>
    <t>KCNQ2</t>
  </si>
  <si>
    <t>0.00013416</t>
  </si>
  <si>
    <t>TNSALP</t>
  </si>
  <si>
    <t>ALP</t>
  </si>
  <si>
    <t>GAD1</t>
  </si>
  <si>
    <t>glucose transporter 1</t>
  </si>
  <si>
    <t>PA1253</t>
  </si>
  <si>
    <t>C041276</t>
  </si>
  <si>
    <t>pyridoxal 5'-phosphate-binding protein, human</t>
  </si>
  <si>
    <t>STXBP1</t>
  </si>
  <si>
    <t>4-aminobutyrate transaminase</t>
  </si>
  <si>
    <t>D002336</t>
  </si>
  <si>
    <t>Carnosine</t>
  </si>
  <si>
    <t>GAD2</t>
  </si>
  <si>
    <t>D051938</t>
  </si>
  <si>
    <t>Munc18 Proteins</t>
  </si>
  <si>
    <t>nonketotic hyperglycinemia</t>
  </si>
  <si>
    <t>pyridoxal phosphate homeostasis protein</t>
  </si>
  <si>
    <t>SCN1A</t>
  </si>
  <si>
    <t>SCN2A</t>
  </si>
  <si>
    <t>AASS</t>
  </si>
  <si>
    <t>ALDH5A1</t>
  </si>
  <si>
    <t>aminoadipic semialdehyde synthase</t>
  </si>
  <si>
    <t>anchor</t>
  </si>
  <si>
    <t>Folate receptor 1</t>
  </si>
  <si>
    <t>FOLR1</t>
  </si>
  <si>
    <t>HPP</t>
  </si>
  <si>
    <t>Iav</t>
  </si>
  <si>
    <t>D051658</t>
  </si>
  <si>
    <t>KCNQ2 Potassium Channel</t>
  </si>
  <si>
    <t>KCNT1</t>
  </si>
  <si>
    <t>kynureninase</t>
  </si>
  <si>
    <t>L-aminoadipate-semialdehyde dehydrogenase</t>
  </si>
  <si>
    <t>D008983</t>
  </si>
  <si>
    <t>Molybdoferredoxin</t>
  </si>
  <si>
    <t>PDXK</t>
  </si>
  <si>
    <t>phosphohydrolase</t>
  </si>
  <si>
    <t>pyridoxal kinase</t>
  </si>
  <si>
    <t>SCN8A</t>
  </si>
  <si>
    <t>SLC2A1</t>
  </si>
  <si>
    <t>squint</t>
  </si>
  <si>
    <t>succinate-semialdehyde dehydrogenase</t>
  </si>
  <si>
    <t>succinic semialdehyde dehydrogenase</t>
  </si>
  <si>
    <t>4-aminobutyrate aminotransferase</t>
  </si>
  <si>
    <t>6-pyruvoyl tetrahydrobiopterin synthase</t>
  </si>
  <si>
    <t>adiponectin</t>
  </si>
  <si>
    <t>ALDH1a</t>
  </si>
  <si>
    <t>Aldh1a7</t>
  </si>
  <si>
    <t>ALDH3A2</t>
  </si>
  <si>
    <t>alpha-aminoadipic semialdehyde synthase</t>
  </si>
  <si>
    <t>amino acid decarboxylase</t>
  </si>
  <si>
    <t>D026923</t>
  </si>
  <si>
    <t>Amino Acid Transport Systems, Basic</t>
  </si>
  <si>
    <t>aminotransferase ALD1</t>
  </si>
  <si>
    <t>catechol O-methyltransferase</t>
  </si>
  <si>
    <t>CHRNA4</t>
  </si>
  <si>
    <t>CLB</t>
  </si>
  <si>
    <t>EIF3K</t>
  </si>
  <si>
    <t>EMA</t>
  </si>
  <si>
    <t>folate receptor alpha</t>
  </si>
  <si>
    <t>GAD67</t>
  </si>
  <si>
    <t>GAMT</t>
  </si>
  <si>
    <t>D014453</t>
  </si>
  <si>
    <t>glucuronosyltransferase</t>
  </si>
  <si>
    <t>HSPA4L</t>
  </si>
  <si>
    <t>KCNA1</t>
  </si>
  <si>
    <t>L-pipecolate oxidase</t>
  </si>
  <si>
    <t>methylenetetrahydrofolate reductase</t>
  </si>
  <si>
    <t>MOCS2</t>
  </si>
  <si>
    <t>molybdopterin synthase</t>
  </si>
  <si>
    <t>D062551</t>
  </si>
  <si>
    <t>NAV1.2 Voltage-Gated Sodium Channel</t>
  </si>
  <si>
    <t>NCU04902</t>
  </si>
  <si>
    <t>NCU05165</t>
  </si>
  <si>
    <t>p4</t>
  </si>
  <si>
    <t>PCFT</t>
  </si>
  <si>
    <t>PIQ</t>
  </si>
  <si>
    <t>POLG1</t>
  </si>
  <si>
    <t>PROC</t>
  </si>
  <si>
    <t>D000091363</t>
  </si>
  <si>
    <t>Protocadherins</t>
  </si>
  <si>
    <t>D058979</t>
  </si>
  <si>
    <t>Proton Coupled Folate Transporter</t>
  </si>
  <si>
    <t>pyrroline-5-carboxylate reductase</t>
  </si>
  <si>
    <t>RETN</t>
  </si>
  <si>
    <t>SCN3A</t>
  </si>
  <si>
    <t>SCN7A</t>
  </si>
  <si>
    <t>SCN9A</t>
  </si>
  <si>
    <t>SLC9A2</t>
  </si>
  <si>
    <t>TAF8</t>
  </si>
  <si>
    <t>D013762</t>
  </si>
  <si>
    <t>Tetrahydrofolate Dehydrogenase</t>
  </si>
  <si>
    <t>0.0471655</t>
  </si>
  <si>
    <t>HP:0002643</t>
  </si>
  <si>
    <t>Neonatal respiratory distress</t>
  </si>
  <si>
    <t>0.0416163</t>
  </si>
  <si>
    <t>HP:0010851</t>
  </si>
  <si>
    <t>EEG with burst suppression</t>
  </si>
  <si>
    <t>0.0415626</t>
  </si>
  <si>
    <t>HP:0001557</t>
  </si>
  <si>
    <t>Prenatal movement abnormality</t>
  </si>
  <si>
    <t>0.0403102</t>
  </si>
  <si>
    <t>0.0281352</t>
  </si>
  <si>
    <t>0.0258139</t>
  </si>
  <si>
    <t>HP:0020221</t>
  </si>
  <si>
    <t>Clonic seizure</t>
  </si>
  <si>
    <t>0.0256261</t>
  </si>
  <si>
    <t>HP:0002069</t>
  </si>
  <si>
    <t>Bilateral tonic-clonic seizure</t>
  </si>
  <si>
    <t>HP:6000268</t>
  </si>
  <si>
    <t>Elevated circulating pipecolic acid concentration</t>
  </si>
  <si>
    <t>=HYPERLINK("https://www.biovista.com/db/link/%5B%5B%22Disease%7Cpyridoxine%20dependent%20epilepsy%22%5D,%20%5B%22Human%20Phenotype%7CElevated%20circulating%20pipecolic%20acid%20concentration%22%5D%5D?strength-weight-map=%257B%2522MEDLINE_STRENGTH_AB%2522:1.0,%2522HPO%2522:100.0%257D"; "Show Evidence...")</t>
  </si>
  <si>
    <t>0.0213621</t>
  </si>
  <si>
    <t>=HYPERLINK("https://www.biovista.com/db/link/%5B%5B%22Disease%7Cpyridoxine%20dependent%20epilepsy%22%5D,%20%5B%22Human%20Phenotype%7CDelayed%20speech%20and%20language%20development%22%5D%5D?strength-weight-map=%257B%2522MEDLINE_STRENGTH_AB%2522:1.0,%2522HPO%2522:100.0%257D"; "Show Evidence...")</t>
  </si>
  <si>
    <t>0.021283</t>
  </si>
  <si>
    <t>HP:0007359</t>
  </si>
  <si>
    <t>Focal-onset seizure</t>
  </si>
  <si>
    <t>0.0212562</t>
  </si>
  <si>
    <t>0.0211489</t>
  </si>
  <si>
    <t>HP:0012758</t>
  </si>
  <si>
    <t>Neurodevelopmental delay</t>
  </si>
  <si>
    <t>0.021122</t>
  </si>
  <si>
    <t>HP:0025116</t>
  </si>
  <si>
    <t>Fetal distress</t>
  </si>
  <si>
    <t>0.0211208</t>
  </si>
  <si>
    <t>HP:0011152</t>
  </si>
  <si>
    <t>Early onset absence seizures</t>
  </si>
  <si>
    <t>0.0210952</t>
  </si>
  <si>
    <t>HP:0010845</t>
  </si>
  <si>
    <t>EEG with generalized slow activity</t>
  </si>
  <si>
    <t>=HYPERLINK("https://www.biovista.com/db/link/%5B%5B%22Disease%7Cpyridoxine%20dependent%20epilepsy%22%5D,%20%5B%22Human%20Phenotype%7CEEG%20with%20generalized%20slow%20activity%22%5D%5D?strength-weight-map=%257B%2522MEDLINE_STRENGTH_AB%2522:1.0,%2522HPO%2522:100.0%257D"; "Show Evidence...")</t>
  </si>
  <si>
    <t>HP:0020217</t>
  </si>
  <si>
    <t>Focal aware motor seizure</t>
  </si>
  <si>
    <t>HP:0030917</t>
  </si>
  <si>
    <t>Low APGAR score</t>
  </si>
  <si>
    <t>0.0155534</t>
  </si>
  <si>
    <t>0.012834</t>
  </si>
  <si>
    <t>0.0103829</t>
  </si>
  <si>
    <t>0.00766877</t>
  </si>
  <si>
    <t>HP:0011097</t>
  </si>
  <si>
    <t>Epileptic spasm</t>
  </si>
  <si>
    <t>0.00697239</t>
  </si>
  <si>
    <t>0.00691872</t>
  </si>
  <si>
    <t>0.00683823</t>
  </si>
  <si>
    <t>0.00681139</t>
  </si>
  <si>
    <t>0.00675773</t>
  </si>
  <si>
    <t>HP:0010841</t>
  </si>
  <si>
    <t>Multifocal epileptiform discharges</t>
  </si>
  <si>
    <t>HP:0012768</t>
  </si>
  <si>
    <t>Neonatal asphyxia</t>
  </si>
  <si>
    <t>0.0067309</t>
  </si>
  <si>
    <t>HP:0012420</t>
  </si>
  <si>
    <t>Meconium stained amniotic fluid</t>
  </si>
  <si>
    <t>HP:0010819</t>
  </si>
  <si>
    <t>Atonic seizure</t>
  </si>
  <si>
    <t>0.00670407</t>
  </si>
  <si>
    <t>HP:0002188</t>
  </si>
  <si>
    <t>Delayed CNS myelination</t>
  </si>
  <si>
    <t>HP:0011198</t>
  </si>
  <si>
    <t>EEG with generalized epileptiform discharges</t>
  </si>
  <si>
    <t>=HYPERLINK("https://www.biovista.com/db/link/%5B%5B%22Disease%7Cpyridoxine%20dependent%20epilepsy%22%5D,%20%5B%22Human%20Phenotype%7CEEG%20with%20generalized%20epileptiform%20discharges%22%5D%5D?strength-weight-map=%257B%2522MEDLINE_STRENGTH_AB%2522:1.0,%2522HPO%2522:100.0%257D"; "Show Evidence...")</t>
  </si>
  <si>
    <t>HP:0011199</t>
  </si>
  <si>
    <t>EEG with generalized sharp slow waves</t>
  </si>
  <si>
    <t>=HYPERLINK("https://www.biovista.com/db/link/%5B%5B%22Disease%7Cpyridoxine%20dependent%20epilepsy%22%5D,%20%5B%22Human%20Phenotype%7CEEG%20with%20generalized%20sharp%20slow%20waves%22%5D%5D?strength-weight-map=%257B%2522MEDLINE_STRENGTH_AB%2522:1.0,%2522HPO%2522:100.0%257D"; "Show Evidence...")</t>
  </si>
  <si>
    <t>HP:0000273</t>
  </si>
  <si>
    <t>Facial grimacing</t>
  </si>
  <si>
    <t>HP:0011166</t>
  </si>
  <si>
    <t>Focal myoclonic seizure</t>
  </si>
  <si>
    <t>HP:0000711</t>
  </si>
  <si>
    <t>Restlessness</t>
  </si>
  <si>
    <t>0.0010334</t>
  </si>
  <si>
    <t>0.000889885</t>
  </si>
  <si>
    <t>HP:0031375</t>
  </si>
  <si>
    <t>Refractory</t>
  </si>
  <si>
    <t>0.000836222</t>
  </si>
  <si>
    <t>HP:0200134</t>
  </si>
  <si>
    <t>Epileptic encephalopathy</t>
  </si>
  <si>
    <t>0.000751295</t>
  </si>
  <si>
    <t>0.000456143</t>
  </si>
  <si>
    <t>HP:0033349</t>
  </si>
  <si>
    <t>Seizure cluster</t>
  </si>
  <si>
    <t>0.000402479</t>
  </si>
  <si>
    <t>HP:0030651</t>
  </si>
  <si>
    <t>Multifocal</t>
  </si>
  <si>
    <t>0.000214656</t>
  </si>
  <si>
    <t>HP:0008326</t>
  </si>
  <si>
    <t>Reduced circulating vitamin B6 circulating</t>
  </si>
  <si>
    <t>=HYPERLINK("https://www.biovista.com/db/link/%5B%5B%22Disease%7Cpyridoxine%20dependent%20epilepsy%22%5D,%20%5B%22Human%20Phenotype%7CReduced%20circulating%20vitamin%20B6%20circulating%22%5D%5D?strength-weight-map=%257B%2522MEDLINE_STRENGTH_AB%2522:1.0,%2522HPO%2522:100.0%257D"; "Show Evidence...")</t>
  </si>
  <si>
    <t>HP:0002748</t>
  </si>
  <si>
    <t>Rickets</t>
  </si>
  <si>
    <t>HP:0012446</t>
  </si>
  <si>
    <t>Decreased CSF 5-methyltetrahydrofolate concentration</t>
  </si>
  <si>
    <t>=HYPERLINK("https://www.biovista.com/db/link/%5B%5B%22Disease%7Cpyridoxine%20dependent%20epilepsy%22%5D,%20%5B%22Human%20Phenotype%7CDecreased%20CSF%205-methyltetrahydrofolate%20concentration%22%5D%5D?strength-weight-map=%257B%2522MEDLINE_STRENGTH_AB%2522:1.0,%2522HPO%2522:100.0%257D"; "Show Evidence...")</t>
  </si>
  <si>
    <t>=HYPERLINK("https://www.biovista.com/db/link/%5B%5B%22Disease%7Cpyridoxine%20dependent%20epilepsy%22%5D,%20%5B%22Human%20Phenotype%7CIncreased%20reactive%20oxygen%20species%20production%22%5D%5D?strength-weight-map=%257B%2522MEDLINE_STRENGTH_AB%2522:1.0,%2522HPO%2522:100.0%257D"; "Show Evidence...")</t>
  </si>
  <si>
    <t>HP:0003570</t>
  </si>
  <si>
    <t>Molybdenum cofactor deficiency</t>
  </si>
  <si>
    <t>HP:0032807</t>
  </si>
  <si>
    <t>Neonatal seizure</t>
  </si>
  <si>
    <t>=HYPERLINK("https://www.biovista.com/db/link/%5B%5B%22Disease%7Cpyridoxine%20dependent%20epilepsy%22%5D,%20%5B%22Human%20Phenotype%7CAbnormal%20cerebral%20white%20matter%20morphology%22%5D%5D?strength-weight-map=%257B%2522MEDLINE_STRENGTH_AB%2522:1.0,%2522HPO%2522:100.0%257D"; "Show Evidence...")</t>
  </si>
  <si>
    <t>HP:0025237</t>
  </si>
  <si>
    <t>Confusional arousal</t>
  </si>
  <si>
    <t>HP:0003072</t>
  </si>
  <si>
    <t>Hypercalcemia</t>
  </si>
  <si>
    <t>HP:0002749</t>
  </si>
  <si>
    <t>Osteomalacia</t>
  </si>
  <si>
    <t>HP:0003812</t>
  </si>
  <si>
    <t>Phenotypic variability</t>
  </si>
  <si>
    <t>HP:0002104</t>
  </si>
  <si>
    <t>Apnea</t>
  </si>
  <si>
    <t>HP:0011153</t>
  </si>
  <si>
    <t>Focal motor seizure</t>
  </si>
  <si>
    <t>HP:0010864</t>
  </si>
  <si>
    <t>Intellectual disability, severe</t>
  </si>
  <si>
    <t>=HYPERLINK("https://www.biovista.com/db/link/%5B%5B%22Disease%7Cpyridoxine%20dependent%20epilepsy%22%5D,%20%5B%22Human%20Phenotype%7CNeuronal%20loss%20in%20central%20nervous%20system%22%5D%5D?strength-weight-map=%257B%2522MEDLINE_STRENGTH_AB%2522:1.0,%2522HPO%2522:100.0%257D"; "Show Evidence...")</t>
  </si>
  <si>
    <t>HP:0008288</t>
  </si>
  <si>
    <t>Nonketotic hyperglycinemia</t>
  </si>
  <si>
    <t>HP:0000763</t>
  </si>
  <si>
    <t>Sensory neuropathy</t>
  </si>
  <si>
    <t>HP:0003643</t>
  </si>
  <si>
    <t>Sulfite oxidase deficiency</t>
  </si>
  <si>
    <t>HP:0000519</t>
  </si>
  <si>
    <t>Developmental cataract</t>
  </si>
  <si>
    <t>HP:0025357</t>
  </si>
  <si>
    <t>Erratic myoclonus</t>
  </si>
  <si>
    <t>HP:0032046</t>
  </si>
  <si>
    <t>Focal cortical dysplasia</t>
  </si>
  <si>
    <t>HP:0001987</t>
  </si>
  <si>
    <t>Hyperammonemia</t>
  </si>
  <si>
    <t>HP:0002154</t>
  </si>
  <si>
    <t>Hyperglycinemia</t>
  </si>
  <si>
    <t>HP:0006789</t>
  </si>
  <si>
    <t>Mitochondrial encephalopathy</t>
  </si>
  <si>
    <t>HP:0030222</t>
  </si>
  <si>
    <t>Visual agnosia</t>
  </si>
  <si>
    <t>0.00026832</t>
  </si>
  <si>
    <t>GO:0042816</t>
  </si>
  <si>
    <t>vitamin B6 metabolic process</t>
  </si>
  <si>
    <t>GO:0006081</t>
  </si>
  <si>
    <t>cellular aldehyde metabolic process</t>
  </si>
  <si>
    <t>GO:0015884</t>
  </si>
  <si>
    <t>folic acid transport</t>
  </si>
  <si>
    <t>GO:0019346</t>
  </si>
  <si>
    <t>transsulfuration</t>
  </si>
  <si>
    <t>GO:0008652</t>
  </si>
  <si>
    <t>amino acid biosynthetic process</t>
  </si>
  <si>
    <t>GO:0006529</t>
  </si>
  <si>
    <t>asparagine biosynthetic process</t>
  </si>
  <si>
    <t>GO:0006699</t>
  </si>
  <si>
    <t>bile acid biosynthetic process</t>
  </si>
  <si>
    <t>GO:0030282</t>
  </si>
  <si>
    <t>bone mineralization</t>
  </si>
  <si>
    <t>GO:0030574</t>
  </si>
  <si>
    <t>collagen catabolic process</t>
  </si>
  <si>
    <t>GO:0006600</t>
  </si>
  <si>
    <t>creatine metabolic process</t>
  </si>
  <si>
    <t>=HYPERLINK("https://www.biovista.com/db/link/%5B%5B%22Disease%7Cpyridoxine%20dependent%20epilepsy%22%5D,%20%5B%22Pathway%7Cdevelopmental%20process%20involved%20in%20reproduction%22%5D%5D?strength-weight-map=%257B%2522MEDLINE_STRENGTH_AB%2522:1.0,%2522HPO%2522:100.0%257D"; "Show Evidence...")</t>
  </si>
  <si>
    <t>GO:0046655</t>
  </si>
  <si>
    <t>folic acid metabolic process</t>
  </si>
  <si>
    <t>GO:0009448</t>
  </si>
  <si>
    <t>gamma-aminobutyric acid metabolic process</t>
  </si>
  <si>
    <t>GO:0006536</t>
  </si>
  <si>
    <t>glutamate metabolic process</t>
  </si>
  <si>
    <t>GO:0006546</t>
  </si>
  <si>
    <t>glycine catabolic process</t>
  </si>
  <si>
    <t>GO:0005977</t>
  </si>
  <si>
    <t>glycogen metabolic process</t>
  </si>
  <si>
    <t>GO:0046440</t>
  </si>
  <si>
    <t>L-lysine metabolic process</t>
  </si>
  <si>
    <t>GO:0016037</t>
  </si>
  <si>
    <t>light absorption</t>
  </si>
  <si>
    <t>GO:0051646</t>
  </si>
  <si>
    <t>mitochondrion localization</t>
  </si>
  <si>
    <t>GO:0007048</t>
  </si>
  <si>
    <t>oncogenesis</t>
  </si>
  <si>
    <t>GO:0006591</t>
  </si>
  <si>
    <t>ornithine metabolic process</t>
  </si>
  <si>
    <t>GO:0007567</t>
  </si>
  <si>
    <t>parturition</t>
  </si>
  <si>
    <t>GO:0055062</t>
  </si>
  <si>
    <t>phosphate ion homeostasis</t>
  </si>
  <si>
    <t>GO:0006596</t>
  </si>
  <si>
    <t>polyamine biosynthetic process</t>
  </si>
  <si>
    <t>GO:0008614</t>
  </si>
  <si>
    <t>pyridoxine metabolic process</t>
  </si>
  <si>
    <t>GO:0031923</t>
  </si>
  <si>
    <t>pyridoxine transport</t>
  </si>
  <si>
    <t>=HYPERLINK("https://www.biovista.com/db/link/%5B%5B%22Disease%7Cpyridoxine%20dependent%20epilepsy%22%5D,%20%5B%22Pathway%7CRNA%20splicing,%20via%20endonucleolytic%20cleavage%20and%20ligation%22%5D%5D?strength-weight-map=%257B%2522MEDLINE_STRENGTH_AB%2522:1.0,%2522HPO%2522:100.0%257D"; "Show Evidence...")</t>
  </si>
  <si>
    <t>GO:0006567</t>
  </si>
  <si>
    <t>threonine catabolic process</t>
  </si>
  <si>
    <t>GO:0006805</t>
  </si>
  <si>
    <t>xenobiotic metabolic process</t>
  </si>
  <si>
    <t>C0024408</t>
  </si>
  <si>
    <t>Spinocerebellar Ataxia Type 3</t>
  </si>
  <si>
    <t>0.000167577</t>
  </si>
  <si>
    <t>0.000130337</t>
  </si>
  <si>
    <t>0.0000465491</t>
  </si>
  <si>
    <t>0.0000372393</t>
  </si>
  <si>
    <t>D015662</t>
  </si>
  <si>
    <t>Trimethoprim, Sulfamethoxazole Drug Combination</t>
  </si>
  <si>
    <t>=HYPERLINK("https://www.biovista.com/db/link/%5B%5B%22Disease%7CSpinocerebellar%20Ataxia%20Type%203%22%5D,%20%5B%22Drug%7CTrimethoprim,%20Sulfamethoxazole%20Drug%20Combination%22%5D%5D?strength-weight-map=%257B%2522MEDLINE_STRENGTH_AB%2522:1.0,%2522HPO%2522:100.0%257D"; "Show Evidence...")</t>
  </si>
  <si>
    <t>0.0000325844</t>
  </si>
  <si>
    <t>C104196</t>
  </si>
  <si>
    <t>technetium Tc 99m TRODAT-1</t>
  </si>
  <si>
    <t>D000068580</t>
  </si>
  <si>
    <t>Varenicline</t>
  </si>
  <si>
    <t>C039304</t>
  </si>
  <si>
    <t>calpain inhibitors</t>
  </si>
  <si>
    <t>0.0000279295</t>
  </si>
  <si>
    <t>C055267</t>
  </si>
  <si>
    <t>tandospirone</t>
  </si>
  <si>
    <t>0.0000232745</t>
  </si>
  <si>
    <t>C033668</t>
  </si>
  <si>
    <t>calpastatin</t>
  </si>
  <si>
    <t>D000077185</t>
  </si>
  <si>
    <t>Resveratrol</t>
  </si>
  <si>
    <t>0.0000186196</t>
  </si>
  <si>
    <t>D016651</t>
  </si>
  <si>
    <t>Lithium Carbonate</t>
  </si>
  <si>
    <t>D018021</t>
  </si>
  <si>
    <t>Lithium Chloride</t>
  </si>
  <si>
    <t>D019782</t>
  </si>
  <si>
    <t>Riluzole</t>
  </si>
  <si>
    <t>C401859</t>
  </si>
  <si>
    <t>temsirolimus</t>
  </si>
  <si>
    <t>D019797</t>
  </si>
  <si>
    <t>3-Iodobenzylguanidine</t>
  </si>
  <si>
    <t>0.0000139647</t>
  </si>
  <si>
    <t>D002065</t>
  </si>
  <si>
    <t>Buspirone</t>
  </si>
  <si>
    <t>C043437</t>
  </si>
  <si>
    <t>fluorodopa F 18</t>
  </si>
  <si>
    <t>FDA Drugs</t>
  </si>
  <si>
    <t>4901d7c1b4e2aef6913d880bfc91240e</t>
  </si>
  <si>
    <t>IOFLUPANE I-123</t>
  </si>
  <si>
    <t>D013420</t>
  </si>
  <si>
    <t>Sulfamethoxazole</t>
  </si>
  <si>
    <t>D014295</t>
  </si>
  <si>
    <t>Trimethoprim</t>
  </si>
  <si>
    <t>C068239</t>
  </si>
  <si>
    <t>3-hydroxy-7-(hydroxyimino)cholanic acid</t>
  </si>
  <si>
    <t>0.00000930982</t>
  </si>
  <si>
    <t>C055743</t>
  </si>
  <si>
    <t>3-iodo-2-hydroxy-6-methoxy-N-((1-ethyl-2-pyrrolidinyl)methyl)benzamide</t>
  </si>
  <si>
    <t>=HYPERLINK("https://www.biovista.com/db/link/%5B%5B%22Disease%7CSpinocerebellar%20Ataxia%20Type%203%22%5D,%20%5B%22Drug%7C3-iodo-2-hydroxy-6-methoxy-N-((1-ethyl-2-pyrrolidinyl)methyl)benzamide%22%5D%5D?strength-weight-map=%257B%2522MEDLINE_STRENGTH_AB%2522:1.0,%2522HPO%2522:100.0%257D"; "Show Evidence...")</t>
  </si>
  <si>
    <t>D000590</t>
  </si>
  <si>
    <t>Amino Acid Chloromethyl Ketones</t>
  </si>
  <si>
    <t>C040048</t>
  </si>
  <si>
    <t>caffeic acid</t>
  </si>
  <si>
    <t>D002738</t>
  </si>
  <si>
    <t>Chloroquine</t>
  </si>
  <si>
    <t>D002753</t>
  </si>
  <si>
    <t>Chlorzoxazone</t>
  </si>
  <si>
    <t>C004742</t>
  </si>
  <si>
    <t>daidzein</t>
  </si>
  <si>
    <t>C045651</t>
  </si>
  <si>
    <t>epigallocatechin gallate</t>
  </si>
  <si>
    <t>D053590</t>
  </si>
  <si>
    <t>Interleukin 1 Receptor Antagonist Protein</t>
  </si>
  <si>
    <t>D020367</t>
  </si>
  <si>
    <t>Iofetamine</t>
  </si>
  <si>
    <t>D015759</t>
  </si>
  <si>
    <t>Ionomycin</t>
  </si>
  <si>
    <t>C067713</t>
  </si>
  <si>
    <t>lactacystin</t>
  </si>
  <si>
    <t>D020891</t>
  </si>
  <si>
    <t>Raclopride</t>
  </si>
  <si>
    <t>C021279</t>
  </si>
  <si>
    <t>(1R-(exo,exo))-3-(4-fluorophenyl)-8-methyl-8- azabicyclo(3.2.1)octane-2-carboxylic acid, methyl ester</t>
  </si>
  <si>
    <t>0.00000465491</t>
  </si>
  <si>
    <t>=HYPERLINK("https://www.biovista.com/db/link/%5B%5B%22Disease%7CSpinocerebellar%20Ataxia%20Type%203%22%5D,%20%5B%22Drug%7C(1R-(exo,exo))-3-(4-fluorophenyl)-8-methyl-8-%20azabicyclo(3.2.1)octane-2-carboxylic%20acid,%20methyl%20ester%22%5D%5D?strength-weight-map=%257B%2522MEDLINE_STRENGTH_AB%2522:1.0,%2522HPO%2522:100.0%257D"; "Show Evidence...")</t>
  </si>
  <si>
    <t>C008088</t>
  </si>
  <si>
    <t>alfacalcidol</t>
  </si>
  <si>
    <t>D000077237</t>
  </si>
  <si>
    <t>Arsenic Trioxide</t>
  </si>
  <si>
    <t>D018723</t>
  </si>
  <si>
    <t>Bethanechol</t>
  </si>
  <si>
    <t>D000077300</t>
  </si>
  <si>
    <t>Bosentan</t>
  </si>
  <si>
    <t>C081643</t>
  </si>
  <si>
    <t>candesartan</t>
  </si>
  <si>
    <t>C030123</t>
  </si>
  <si>
    <t>coumarin</t>
  </si>
  <si>
    <t>D017292</t>
  </si>
  <si>
    <t>Doxazosin</t>
  </si>
  <si>
    <t>D000077206</t>
  </si>
  <si>
    <t>Gabapentin</t>
  </si>
  <si>
    <t>D018664</t>
  </si>
  <si>
    <t>Interleukin-12</t>
  </si>
  <si>
    <t>D007792</t>
  </si>
  <si>
    <t>Lactulose</t>
  </si>
  <si>
    <t>D018020</t>
  </si>
  <si>
    <t>Lithium Compounds</t>
  </si>
  <si>
    <t>D008135</t>
  </si>
  <si>
    <t>Long-Acting Thyroid Stimulator</t>
  </si>
  <si>
    <t>D008139</t>
  </si>
  <si>
    <t>Loperamide</t>
  </si>
  <si>
    <t>C060152</t>
  </si>
  <si>
    <t>tyrphostin 47</t>
  </si>
  <si>
    <t>0.142594</t>
  </si>
  <si>
    <t>SCA3</t>
  </si>
  <si>
    <t>0.00424528</t>
  </si>
  <si>
    <t>ataxin-3</t>
  </si>
  <si>
    <t>0.00317465</t>
  </si>
  <si>
    <t>MJD</t>
  </si>
  <si>
    <t>0.00202023</t>
  </si>
  <si>
    <t>SCA2</t>
  </si>
  <si>
    <t>0.00161991</t>
  </si>
  <si>
    <t>SCA1</t>
  </si>
  <si>
    <t>0.00154077</t>
  </si>
  <si>
    <t>0.00126148</t>
  </si>
  <si>
    <t>SCA7</t>
  </si>
  <si>
    <t>0.000707546</t>
  </si>
  <si>
    <t>0.000609793</t>
  </si>
  <si>
    <t>D000067699</t>
  </si>
  <si>
    <t>SCA3 Protein</t>
  </si>
  <si>
    <t>0.000567899</t>
  </si>
  <si>
    <t>D000067528</t>
  </si>
  <si>
    <t>Ataxins</t>
  </si>
  <si>
    <t>0.000418942</t>
  </si>
  <si>
    <t>DRPLA</t>
  </si>
  <si>
    <t>0.000414287</t>
  </si>
  <si>
    <t>MJD1</t>
  </si>
  <si>
    <t>0.000400322</t>
  </si>
  <si>
    <t>ATXN2</t>
  </si>
  <si>
    <t>0.000386357</t>
  </si>
  <si>
    <t>SCA17</t>
  </si>
  <si>
    <t>0.000349118</t>
  </si>
  <si>
    <t>0.000321189</t>
  </si>
  <si>
    <t>ZFYVE9</t>
  </si>
  <si>
    <t>ataxin-1</t>
  </si>
  <si>
    <t>0.000269985</t>
  </si>
  <si>
    <t>SCA8</t>
  </si>
  <si>
    <t>0.000232745</t>
  </si>
  <si>
    <t>PPP2R2B</t>
  </si>
  <si>
    <t>0.000218781</t>
  </si>
  <si>
    <t>ATXN10</t>
  </si>
  <si>
    <t>0.000209471</t>
  </si>
  <si>
    <t>huntingtin</t>
  </si>
  <si>
    <t>0.000200161</t>
  </si>
  <si>
    <t>0.000190851</t>
  </si>
  <si>
    <t>ATXN7</t>
  </si>
  <si>
    <t>ataxin-2</t>
  </si>
  <si>
    <t>ataxin-7</t>
  </si>
  <si>
    <t>0.000121028</t>
  </si>
  <si>
    <t>atrophin-1</t>
  </si>
  <si>
    <t>DUB</t>
  </si>
  <si>
    <t>0.000116373</t>
  </si>
  <si>
    <t>TBP</t>
  </si>
  <si>
    <t>0.000111718</t>
  </si>
  <si>
    <t>SPTBN2</t>
  </si>
  <si>
    <t>0.000107063</t>
  </si>
  <si>
    <t>0.0000977531</t>
  </si>
  <si>
    <t>0.0000884433</t>
  </si>
  <si>
    <t>VCP</t>
  </si>
  <si>
    <t>0.0000837884</t>
  </si>
  <si>
    <t>ataxin 3</t>
  </si>
  <si>
    <t>SCA4</t>
  </si>
  <si>
    <t>atx-3</t>
  </si>
  <si>
    <t>0.0000791334</t>
  </si>
  <si>
    <t>calpain</t>
  </si>
  <si>
    <t>0.0000744785</t>
  </si>
  <si>
    <t>p62</t>
  </si>
  <si>
    <t>alpha-synuclein</t>
  </si>
  <si>
    <t>0.0000698236</t>
  </si>
  <si>
    <t>IRF2BPL</t>
  </si>
  <si>
    <t>PRKCG</t>
  </si>
  <si>
    <t>0.0000651687</t>
  </si>
  <si>
    <t>valosin containing protein</t>
  </si>
  <si>
    <t>0.0000605138</t>
  </si>
  <si>
    <t>AT3</t>
  </si>
  <si>
    <t>BECN1</t>
  </si>
  <si>
    <t>FRDA</t>
  </si>
  <si>
    <t>ITPR1</t>
  </si>
  <si>
    <t>neurofilament light chain</t>
  </si>
  <si>
    <t>SCA31</t>
  </si>
  <si>
    <t>TATA-box binding protein</t>
  </si>
  <si>
    <t>ADCA</t>
  </si>
  <si>
    <t>0.0000558589</t>
  </si>
  <si>
    <t>D054298</t>
  </si>
  <si>
    <t>Human Immunodeficiency Virus Proteins</t>
  </si>
  <si>
    <t>0.000051204</t>
  </si>
  <si>
    <t>ATX3</t>
  </si>
  <si>
    <t>DAT</t>
  </si>
  <si>
    <t>neurofilament light</t>
  </si>
  <si>
    <t>RAD23B</t>
  </si>
  <si>
    <t>TARDBP</t>
  </si>
  <si>
    <t>BAX</t>
  </si>
  <si>
    <t>0.0000418942</t>
  </si>
  <si>
    <t>C510153</t>
  </si>
  <si>
    <t>SPECT protein, Plasmodium berghei</t>
  </si>
  <si>
    <t>SPG4</t>
  </si>
  <si>
    <t>C000593752</t>
  </si>
  <si>
    <t>spinocerebellar ataxia 2</t>
  </si>
  <si>
    <t>Valosin-containing protein</t>
  </si>
  <si>
    <t>ATXN8OS</t>
  </si>
  <si>
    <t>BCL2</t>
  </si>
  <si>
    <t>frataxin</t>
  </si>
  <si>
    <t>D050956</t>
  </si>
  <si>
    <t>HSP40 Heat-Shock Proteins</t>
  </si>
  <si>
    <t>HSPB1</t>
  </si>
  <si>
    <t>MAP1LC3A</t>
  </si>
  <si>
    <t>NEFL</t>
  </si>
  <si>
    <t>SBMA</t>
  </si>
  <si>
    <t>SQSTM1</t>
  </si>
  <si>
    <t>ubiquitin ligase</t>
  </si>
  <si>
    <t>UPS</t>
  </si>
  <si>
    <t>androgen receptor</t>
  </si>
  <si>
    <t>APP</t>
  </si>
  <si>
    <t>LOC123168174</t>
  </si>
  <si>
    <t>RFC1</t>
  </si>
  <si>
    <t>SCA-2</t>
  </si>
  <si>
    <t>USP</t>
  </si>
  <si>
    <t>0.0285749</t>
  </si>
  <si>
    <t>0.0252179</t>
  </si>
  <si>
    <t>0.0232282</t>
  </si>
  <si>
    <t>0.0232002</t>
  </si>
  <si>
    <t>HP:0007256</t>
  </si>
  <si>
    <t>Abnormal pyramidal sign</t>
  </si>
  <si>
    <t>0.0231723</t>
  </si>
  <si>
    <t>0.0230745</t>
  </si>
  <si>
    <t>HP:0000590</t>
  </si>
  <si>
    <t>Progressive external ophthalmoplegia</t>
  </si>
  <si>
    <t>0.023042</t>
  </si>
  <si>
    <t>=HYPERLINK("https://www.biovista.com/db/link/%5B%5B%22Disease%7CSpinocerebellar%20Ataxia%20Type%203%22%5D,%20%5B%22Human%20Phenotype%7CProgressive%20external%20ophthalmoplegia%22%5D%5D?strength-weight-map=%257B%2522MEDLINE_STRENGTH_AB%2522:1.0,%2522HPO%2522:100.0%257D"; "Show Evidence...")</t>
  </si>
  <si>
    <t>HP:0002312</t>
  </si>
  <si>
    <t>Clumsiness</t>
  </si>
  <si>
    <t>0.023028</t>
  </si>
  <si>
    <t>=HYPERLINK("https://www.biovista.com/db/link/%5B%5B%22Disease%7CSpinocerebellar%20Ataxia%20Type%203%22%5D,%20%5B%22Human%20Phenotype%7CDelayed%20speech%20and%20language%20development%22%5D%5D?strength-weight-map=%257B%2522MEDLINE_STRENGTH_AB%2522:1.0,%2522HPO%2522:100.0%257D"; "Show Evidence...")</t>
  </si>
  <si>
    <t>0.0195551</t>
  </si>
  <si>
    <t>HP:0000640</t>
  </si>
  <si>
    <t>Gaze-evoked nystagmus</t>
  </si>
  <si>
    <t>0.0192509</t>
  </si>
  <si>
    <t>HP:0000544</t>
  </si>
  <si>
    <t>External ophthalmoplegia</t>
  </si>
  <si>
    <t>0.0152909</t>
  </si>
  <si>
    <t>HP:0002073</t>
  </si>
  <si>
    <t>Progressive cerebellar ataxia</t>
  </si>
  <si>
    <t>0.0118525</t>
  </si>
  <si>
    <t>0.0116803</t>
  </si>
  <si>
    <t>=HYPERLINK("https://www.biovista.com/db/link/%5B%5B%22Disease%7CSpinocerebellar%20Ataxia%20Type%203%22%5D,%20%5B%22Human%20Phenotype%7CAbnormality%20of%20extrapyramidal%20motor%20function%22%5D%5D?strength-weight-map=%257B%2522MEDLINE_STRENGTH_AB%2522:1.0,%2522HPO%2522:100.0%257D"; "Show Evidence...")</t>
  </si>
  <si>
    <t>0.0115872</t>
  </si>
  <si>
    <t>0.0115768</t>
  </si>
  <si>
    <t>HP:0000520</t>
  </si>
  <si>
    <t>Proptosis</t>
  </si>
  <si>
    <t>0.01155</t>
  </si>
  <si>
    <t>HP:0002380</t>
  </si>
  <si>
    <t>Fasciculations</t>
  </si>
  <si>
    <t>0.00545815</t>
  </si>
  <si>
    <t>0.00453527</t>
  </si>
  <si>
    <t>=HYPERLINK("https://www.biovista.com/db/link/%5B%5B%22Disease%7CSpinocerebellar%20Ataxia%20Type%203%22%5D,%20%5B%22Human%20Phenotype%7CAbnormal%20autonomic%20nervous%20system%20physiology%22%5D%5D?strength-weight-map=%257B%2522MEDLINE_STRENGTH_AB%2522:1.0,%2522HPO%2522:100.0%257D"; "Show Evidence...")</t>
  </si>
  <si>
    <t>HP:0001605</t>
  </si>
  <si>
    <t>Vocal cord paralysis</t>
  </si>
  <si>
    <t>0.00448406</t>
  </si>
  <si>
    <t>HP:0001751</t>
  </si>
  <si>
    <t>Abnormal vestibular function</t>
  </si>
  <si>
    <t>HP:0004370</t>
  </si>
  <si>
    <t>Abnormality of temperature regulation</t>
  </si>
  <si>
    <t>=HYPERLINK("https://www.biovista.com/db/link/%5B%5B%22Disease%7CSpinocerebellar%20Ataxia%20Type%203%22%5D,%20%5B%22Human%20Phenotype%7CAbnormality%20of%20temperature%20regulation%22%5D%5D?strength-weight-map=%257B%2522MEDLINE_STRENGTH_AB%2522:1.0,%2522HPO%2522:100.0%257D"; "Show Evidence...")</t>
  </si>
  <si>
    <t>0.00163731</t>
  </si>
  <si>
    <t>0.00157801</t>
  </si>
  <si>
    <t>0.000930982</t>
  </si>
  <si>
    <t>0.000288422</t>
  </si>
  <si>
    <t>0.000279295</t>
  </si>
  <si>
    <t>HP:0002503</t>
  </si>
  <si>
    <t>Spinocerebellar tract degeneration</t>
  </si>
  <si>
    <t>0.000274457</t>
  </si>
  <si>
    <t>0.000260675</t>
  </si>
  <si>
    <t>HP:0007354</t>
  </si>
  <si>
    <t>Amyotrophic lateral sclerosis</t>
  </si>
  <si>
    <t>HP:0032316</t>
  </si>
  <si>
    <t>Family history</t>
  </si>
  <si>
    <t>0.000186196</t>
  </si>
  <si>
    <t>=HYPERLINK("https://www.biovista.com/db/link/%5B%5B%22Disease%7CSpinocerebellar%20Ataxia%20Type%203%22%5D,%20%5B%22Human%20Phenotype%7CNeuronal%20loss%20in%20central%20nervous%20system%22%5D%5D?strength-weight-map=%257B%2522MEDLINE_STRENGTH_AB%2522:1.0,%2522HPO%2522:100.0%257D"; "Show Evidence...")</t>
  </si>
  <si>
    <t>0.000176704</t>
  </si>
  <si>
    <t>0.000172232</t>
  </si>
  <si>
    <t>=HYPERLINK("https://www.biovista.com/db/link/%5B%5B%22Disease%7CSpinocerebellar%20Ataxia%20Type%203%22%5D,%20%5B%22Human%20Phenotype%7CIncreased%20reactive%20oxygen%20species%20production%22%5D%5D?strength-weight-map=%257B%2522MEDLINE_STRENGTH_AB%2522:1.0,%2522HPO%2522:100.0%257D"; "Show Evidence...")</t>
  </si>
  <si>
    <t>HP:0002066</t>
  </si>
  <si>
    <t>Gait ataxia</t>
  </si>
  <si>
    <t>0.000153429</t>
  </si>
  <si>
    <t>0.000139647</t>
  </si>
  <si>
    <t>0.000111535</t>
  </si>
  <si>
    <t>HP:0003006</t>
  </si>
  <si>
    <t>Neuroblastoma</t>
  </si>
  <si>
    <t>0.0000975706</t>
  </si>
  <si>
    <t>0.0000930982</t>
  </si>
  <si>
    <t>HP:0000005</t>
  </si>
  <si>
    <t>Mode of inheritance</t>
  </si>
  <si>
    <t>HP:0012452</t>
  </si>
  <si>
    <t>Restless legs</t>
  </si>
  <si>
    <t>HP:0002145</t>
  </si>
  <si>
    <t>Frontotemporal dementia</t>
  </si>
  <si>
    <t>HP:0001271</t>
  </si>
  <si>
    <t>Polyneuropathy</t>
  </si>
  <si>
    <t>HP:5200291</t>
  </si>
  <si>
    <t>Sleep enactment</t>
  </si>
  <si>
    <t>0.0000836059</t>
  </si>
  <si>
    <t>=HYPERLINK("https://www.biovista.com/db/link/%5B%5B%22Disease%7CSpinocerebellar%20Ataxia%20Type%203%22%5D,%20%5B%22Human%20Phenotype%7CAbnormality%20of%20mitochondrial%20metabolism%22%5D%5D?strength-weight-map=%257B%2522MEDLINE_STRENGTH_AB%2522:1.0,%2522HPO%2522:100.0%257D"; "Show Evidence...")</t>
  </si>
  <si>
    <t>HP:0033429</t>
  </si>
  <si>
    <t>Neuroinflammation</t>
  </si>
  <si>
    <t>HP:0025287</t>
  </si>
  <si>
    <t>Axial</t>
  </si>
  <si>
    <t>HP:0001317</t>
  </si>
  <si>
    <t>Abnormal cerebellum morphology</t>
  </si>
  <si>
    <t>HP:0002360</t>
  </si>
  <si>
    <t>Sleep abnormality</t>
  </si>
  <si>
    <t>HP:0000514</t>
  </si>
  <si>
    <t>Slow saccadic eye movements</t>
  </si>
  <si>
    <t>HP:0001824</t>
  </si>
  <si>
    <t>Weight loss</t>
  </si>
  <si>
    <t>HP:0002070</t>
  </si>
  <si>
    <t>Limb ataxia</t>
  </si>
  <si>
    <t>0.0000649862</t>
  </si>
  <si>
    <t>HP:0003743</t>
  </si>
  <si>
    <t>Genetic anticipation</t>
  </si>
  <si>
    <t>0.0000603313</t>
  </si>
  <si>
    <t>HP:0000546</t>
  </si>
  <si>
    <t>Retinal degeneration</t>
  </si>
  <si>
    <t>HP:0030186</t>
  </si>
  <si>
    <t>Kinetic tremor</t>
  </si>
  <si>
    <t>HP:0010550</t>
  </si>
  <si>
    <t>Paraplegia</t>
  </si>
  <si>
    <t>HP:0007366</t>
  </si>
  <si>
    <t>Atrophy/Degeneration affecting the brainstem</t>
  </si>
  <si>
    <t>=HYPERLINK("https://www.biovista.com/db/link/%5B%5B%22Disease%7CSpinocerebellar%20Ataxia%20Type%203%22%5D,%20%5B%22Human%20Phenotype%7CAtrophy$$SLASH$$Degeneration%20affecting%20the%20brainstem%22%5D%5D?strength-weight-map=%257B%2522MEDLINE_STRENGTH_AB%2522:1.0,%2522HPO%2522:100.0%257D"; "Show Evidence...")</t>
  </si>
  <si>
    <t>HP:0002329</t>
  </si>
  <si>
    <t>Drowsiness</t>
  </si>
  <si>
    <t>HP:0100785</t>
  </si>
  <si>
    <t>Insomnia</t>
  </si>
  <si>
    <t>HP:0000597</t>
  </si>
  <si>
    <t>Ophthalmoparesis</t>
  </si>
  <si>
    <t>HP:0001258</t>
  </si>
  <si>
    <t>Spastic paraplegia</t>
  </si>
  <si>
    <t>HP:0045088</t>
  </si>
  <si>
    <t>Clinical relevance</t>
  </si>
  <si>
    <t>HP:0003470</t>
  </si>
  <si>
    <t>Paralysis</t>
  </si>
  <si>
    <t>HP:0011096</t>
  </si>
  <si>
    <t>Peripheral demyelination</t>
  </si>
  <si>
    <t>HP:0002174</t>
  </si>
  <si>
    <t>Postural tremor</t>
  </si>
  <si>
    <t>HP:0007263</t>
  </si>
  <si>
    <t>Spinocerebellar atrophy</t>
  </si>
  <si>
    <t>HP:0001756</t>
  </si>
  <si>
    <t>Vestibular hypofunction</t>
  </si>
  <si>
    <t>0.0000370568</t>
  </si>
  <si>
    <t>HP:0003394</t>
  </si>
  <si>
    <t>Muscle spasm</t>
  </si>
  <si>
    <t>0.000391012</t>
  </si>
  <si>
    <t>0.000311879</t>
  </si>
  <si>
    <t>0.000162922</t>
  </si>
  <si>
    <t>=HYPERLINK("https://www.biovista.com/db/link/%5B%5B%22Disease%7CSpinocerebellar%20Ataxia%20Type%203%22%5D,%20%5B%22Pathway%7Cregulatory%20ncRNA-mediated%20post-transcriptional%20gene%20silencing%22%5D%5D?strength-weight-map=%257B%2522MEDLINE_STRENGTH_AB%2522:1.0,%2522HPO%2522:100.0%257D"; "Show Evidence...")</t>
  </si>
  <si>
    <t>0.000144302</t>
  </si>
  <si>
    <t>0.000134992</t>
  </si>
  <si>
    <t>0.000125683</t>
  </si>
  <si>
    <t>GO:0070997</t>
  </si>
  <si>
    <t>neuron death</t>
  </si>
  <si>
    <t>GO:0016579</t>
  </si>
  <si>
    <t>protein deubiquitination</t>
  </si>
  <si>
    <t>=HYPERLINK("https://www.biovista.com/db/link/%5B%5B%22Disease%7CSpinocerebellar%20Ataxia%20Type%203%22%5D,%20%5B%22Pathway%7Cchromosomal%20DNA%20methylation%20maintenance%20following%20DNA%20replication%22%5D%5D?strength-weight-map=%257B%2522MEDLINE_STRENGTH_AB%2522:1.0,%2522HPO%2522:100.0%257D"; "Show Evidence...")</t>
  </si>
  <si>
    <t>GO:0030164</t>
  </si>
  <si>
    <t>protein denaturation</t>
  </si>
  <si>
    <t>GO:0016567</t>
  </si>
  <si>
    <t>protein ubiquitination</t>
  </si>
  <si>
    <t>GO:0061744</t>
  </si>
  <si>
    <t>motor behavior</t>
  </si>
  <si>
    <t>GO:0016925</t>
  </si>
  <si>
    <t>protein sumoylation</t>
  </si>
  <si>
    <t>GO:0016573</t>
  </si>
  <si>
    <t>histone acetylation</t>
  </si>
  <si>
    <t>GO:0061743</t>
  </si>
  <si>
    <t>motor learning</t>
  </si>
  <si>
    <t>GO:0043161</t>
  </si>
  <si>
    <t>proteasome-mediated ubiquitin-dependent protein catabolic process</t>
  </si>
  <si>
    <t>=HYPERLINK("https://www.biovista.com/db/link/%5B%5B%22Disease%7CSpinocerebellar%20Ataxia%20Type%203%22%5D,%20%5B%22Pathway%7Cproteasome-mediated%20ubiquitin-dependent%20protein%20catabolic%20process%22%5D%5D?strength-weight-map=%257B%2522MEDLINE_STRENGTH_AB%2522:1.0,%2522HPO%2522:100.0%257D"; "Show Evidence...")</t>
  </si>
  <si>
    <t>GO:0098930</t>
  </si>
  <si>
    <t>axonal transport</t>
  </si>
  <si>
    <t>GO:0007059</t>
  </si>
  <si>
    <t>chromosome segregation</t>
  </si>
  <si>
    <t>GO:0051170</t>
  </si>
  <si>
    <t>import into nucleus</t>
  </si>
  <si>
    <t>GO:0051169</t>
  </si>
  <si>
    <t>nuclear transport</t>
  </si>
  <si>
    <t>GO:0019230</t>
  </si>
  <si>
    <t>proprioception</t>
  </si>
  <si>
    <t>GO:0006302</t>
  </si>
  <si>
    <t>double-strand break repair</t>
  </si>
  <si>
    <t>GO:0016236</t>
  </si>
  <si>
    <t>macroautophagy</t>
  </si>
  <si>
    <t>GO:0010586</t>
  </si>
  <si>
    <t>miRNA metabolic process</t>
  </si>
  <si>
    <t>GO:0006913</t>
  </si>
  <si>
    <t>nucleocytoplasmic transport</t>
  </si>
  <si>
    <t>=HYPERLINK("https://www.biovista.com/db/link/%5B%5B%22Disease%7CSpinocerebellar%20Ataxia%20Type%203%22%5D,%20%5B%22Pathway%7Cplant%20gross%20anatomical%20part%20developmental%20process%22%5D%5D?strength-weight-map=%257B%2522MEDLINE_STRENGTH_AB%2522:1.0,%2522HPO%2522:100.0%257D"; "Show Evidence...")</t>
  </si>
  <si>
    <t>GO:0007608</t>
  </si>
  <si>
    <t>sensory perception of smell</t>
  </si>
  <si>
    <t>GO:0016192</t>
  </si>
  <si>
    <t>vesicle-mediated transport</t>
  </si>
  <si>
    <t>GO:0008542</t>
  </si>
  <si>
    <t>visual learning</t>
  </si>
  <si>
    <t>GO:0007411</t>
  </si>
  <si>
    <t>axon guidance</t>
  </si>
  <si>
    <t>GO:0051131</t>
  </si>
  <si>
    <t>chaperone-mediated protein complex assembly</t>
  </si>
  <si>
    <t>GO:0006325</t>
  </si>
  <si>
    <t>chromatin organization</t>
  </si>
  <si>
    <t>GO:0060271</t>
  </si>
  <si>
    <t>cilium assembly</t>
  </si>
  <si>
    <t>GO:0016575</t>
  </si>
  <si>
    <t>histone deacetylation</t>
  </si>
  <si>
    <t>GO:0007140</t>
  </si>
  <si>
    <t>male meiotic nuclear division</t>
  </si>
  <si>
    <t>GO:0051092</t>
  </si>
  <si>
    <t>positive regulation of NF-kappaB transcription factor activity</t>
  </si>
  <si>
    <t>=HYPERLINK("https://www.biovista.com/db/link/%5B%5B%22Disease%7CSpinocerebellar%20Ataxia%20Type%203%22%5D,%20%5B%22Pathway%7Cpositive%20regulation%20of%20NF-kappaB%20transcription%20factor%20activity%22%5D%5D?strength-weight-map=%257B%2522MEDLINE_STRENGTH_AB%2522:1.0,%2522HPO%2522:100.0%257D"; "Show Evidence...")</t>
  </si>
  <si>
    <t>GO:0006468</t>
  </si>
  <si>
    <t>protein phosphorylation</t>
  </si>
  <si>
    <t>GO:0016485</t>
  </si>
  <si>
    <t>protein processing</t>
  </si>
  <si>
    <t>GO:0006515</t>
  </si>
  <si>
    <t>protein quality control for misfolded or incompletely synthesized proteins</t>
  </si>
  <si>
    <t>=HYPERLINK("https://www.biovista.com/db/link/%5B%5B%22Disease%7CSpinocerebellar%20Ataxia%20Type%203%22%5D,%20%5B%22Pathway%7Cprotein%20quality%20control%20for%20misfolded%20or%20incompletely%20synthesized%20proteins%22%5D%5D?strength-weight-map=%257B%2522MEDLINE_STRENGTH_AB%2522:1.0,%2522HPO%2522:100.0%257D"; "Show Evidence...")</t>
  </si>
  <si>
    <t>C0268631</t>
  </si>
  <si>
    <t>SSADH Deficiency</t>
  </si>
  <si>
    <t>0.00591104</t>
  </si>
  <si>
    <t>0.00210581</t>
  </si>
  <si>
    <t>0.0009236</t>
  </si>
  <si>
    <t>0.000221664</t>
  </si>
  <si>
    <t>C066471</t>
  </si>
  <si>
    <t>NCS 382</t>
  </si>
  <si>
    <t>0.00018472</t>
  </si>
  <si>
    <t>C079148</t>
  </si>
  <si>
    <t>(3-aminopropyl)(n-butyl)phosphinic acid</t>
  </si>
  <si>
    <t>0.000147776</t>
  </si>
  <si>
    <t>C027576</t>
  </si>
  <si>
    <t>4-hydroxy-2-nonenal</t>
  </si>
  <si>
    <t>0.000110832</t>
  </si>
  <si>
    <t>C066430</t>
  </si>
  <si>
    <t>CGP 35348</t>
  </si>
  <si>
    <t>0.000073888</t>
  </si>
  <si>
    <t>D003915</t>
  </si>
  <si>
    <t>Dextromethorphan</t>
  </si>
  <si>
    <t>D018967</t>
  </si>
  <si>
    <t>Risperidone</t>
  </si>
  <si>
    <t>C037476</t>
  </si>
  <si>
    <t>tert-butylbicyclophosphorothionate</t>
  </si>
  <si>
    <t>D000077443</t>
  </si>
  <si>
    <t>Acamprosate</t>
  </si>
  <si>
    <t>0.000036944</t>
  </si>
  <si>
    <t>C085075</t>
  </si>
  <si>
    <t>CGP 55845A</t>
  </si>
  <si>
    <t>D004008</t>
  </si>
  <si>
    <t>Diclofenac</t>
  </si>
  <si>
    <t>D005013</t>
  </si>
  <si>
    <t>Ethosuximide</t>
  </si>
  <si>
    <t>C049853</t>
  </si>
  <si>
    <t>gabazine</t>
  </si>
  <si>
    <t>C031149</t>
  </si>
  <si>
    <t>glycolic acid</t>
  </si>
  <si>
    <t>D006220</t>
  </si>
  <si>
    <t>Haloperidol</t>
  </si>
  <si>
    <t>C541932</t>
  </si>
  <si>
    <t>Ku 0063794</t>
  </si>
  <si>
    <t>D008110</t>
  </si>
  <si>
    <t>Liver Extracts</t>
  </si>
  <si>
    <t>D000078785</t>
  </si>
  <si>
    <t>Mirtazapine</t>
  </si>
  <si>
    <t>D009555</t>
  </si>
  <si>
    <t>Ninhydrin</t>
  </si>
  <si>
    <t>D010205</t>
  </si>
  <si>
    <t>Pantothenic Acid</t>
  </si>
  <si>
    <t>D000077487</t>
  </si>
  <si>
    <t>Pramipexole</t>
  </si>
  <si>
    <t>C020804</t>
  </si>
  <si>
    <t>succinylacetone</t>
  </si>
  <si>
    <t>0.166489</t>
  </si>
  <si>
    <t>0.00690853</t>
  </si>
  <si>
    <t>SSADH</t>
  </si>
  <si>
    <t>0.00410078</t>
  </si>
  <si>
    <t>0.00406384</t>
  </si>
  <si>
    <t>succinate semialdehyde dehydrogenase</t>
  </si>
  <si>
    <t>0.000628048</t>
  </si>
  <si>
    <t>GabaA</t>
  </si>
  <si>
    <t>0.00036944</t>
  </si>
  <si>
    <t>0.000332496</t>
  </si>
  <si>
    <t>D011963</t>
  </si>
  <si>
    <t>Receptors, GABA-A</t>
  </si>
  <si>
    <t>0.000295552</t>
  </si>
  <si>
    <t>C019416</t>
  </si>
  <si>
    <t>4-hydroxybutyrate dehydrogenase</t>
  </si>
  <si>
    <t>0.000258608</t>
  </si>
  <si>
    <t>D006884</t>
  </si>
  <si>
    <t>Hydroxybutyrate Dehydrogenase</t>
  </si>
  <si>
    <t>SSA</t>
  </si>
  <si>
    <t>GABA transaminase</t>
  </si>
  <si>
    <t>D018080</t>
  </si>
  <si>
    <t>Receptors, GABA-B</t>
  </si>
  <si>
    <t>D018079</t>
  </si>
  <si>
    <t>Receptors, GABA</t>
  </si>
  <si>
    <t>adenylosuccinate lyase</t>
  </si>
  <si>
    <t>aldehyde dehydrogenase 5 family member A1</t>
  </si>
  <si>
    <t>GPx</t>
  </si>
  <si>
    <t>methylmalonyl-CoA decarboxylase</t>
  </si>
  <si>
    <t>ALDH2</t>
  </si>
  <si>
    <t>ALDH4A1</t>
  </si>
  <si>
    <t>EC1.2</t>
  </si>
  <si>
    <t>GABA-T</t>
  </si>
  <si>
    <t>glutamate-ammonia ligase</t>
  </si>
  <si>
    <t>glutamine synthetase</t>
  </si>
  <si>
    <t>GRINA</t>
  </si>
  <si>
    <t>HGD</t>
  </si>
  <si>
    <t>NPPA</t>
  </si>
  <si>
    <t>P14</t>
  </si>
  <si>
    <t>D018009</t>
  </si>
  <si>
    <t>Receptors, Glycine</t>
  </si>
  <si>
    <t>succinic semialdehyde reductase</t>
  </si>
  <si>
    <t>TPO</t>
  </si>
  <si>
    <t>acetate-CoA ligase</t>
  </si>
  <si>
    <t>ADSL</t>
  </si>
  <si>
    <t>ALDH1B1</t>
  </si>
  <si>
    <t>ALDH3A1</t>
  </si>
  <si>
    <t>ALDH9A1</t>
  </si>
  <si>
    <t>AQP4</t>
  </si>
  <si>
    <t>ASD</t>
  </si>
  <si>
    <t>Benzodiazepine Receptor</t>
  </si>
  <si>
    <t>Carnitine acetyltransferase</t>
  </si>
  <si>
    <t>carnitine O-acetyltransferase</t>
  </si>
  <si>
    <t>CYP2D6</t>
  </si>
  <si>
    <t>DCDC2</t>
  </si>
  <si>
    <t>FBL</t>
  </si>
  <si>
    <t>GABRA1</t>
  </si>
  <si>
    <t>GABRR1</t>
  </si>
  <si>
    <t>GAD65</t>
  </si>
  <si>
    <t>gamma-aminobutyric acid transaminase</t>
  </si>
  <si>
    <t>isocitrate dehydrogenase</t>
  </si>
  <si>
    <t>KCC2</t>
  </si>
  <si>
    <t>KIAA0319</t>
  </si>
  <si>
    <t>L-2</t>
  </si>
  <si>
    <t>LOC123128123</t>
  </si>
  <si>
    <t>metabotropic glutamate receptor 6</t>
  </si>
  <si>
    <t>methyl-CpG-binding protein 2</t>
  </si>
  <si>
    <t>microtubule-associated protein 2</t>
  </si>
  <si>
    <t>Neurofibromatosis type 1</t>
  </si>
  <si>
    <t>neurotrophic factor</t>
  </si>
  <si>
    <t>P100</t>
  </si>
  <si>
    <t>RTT</t>
  </si>
  <si>
    <t>SLC30A10</t>
  </si>
  <si>
    <t>SLC38A2</t>
  </si>
  <si>
    <t>SLC39A14</t>
  </si>
  <si>
    <t>SLC6A1</t>
  </si>
  <si>
    <t>SLC6A2</t>
  </si>
  <si>
    <t>SLC7A5</t>
  </si>
  <si>
    <t>SPD</t>
  </si>
  <si>
    <t>vimentin</t>
  </si>
  <si>
    <t>0.0501869</t>
  </si>
  <si>
    <t>0.0438494</t>
  </si>
  <si>
    <t>0.0357135</t>
  </si>
  <si>
    <t>0.0262048</t>
  </si>
  <si>
    <t>0.0245543</t>
  </si>
  <si>
    <t>HP:0001939</t>
  </si>
  <si>
    <t>Abnormality of metabolism/homeostasis</t>
  </si>
  <si>
    <t>0.0208793</t>
  </si>
  <si>
    <t>0.0203188</t>
  </si>
  <si>
    <t>0.020208</t>
  </si>
  <si>
    <t>0.0144547</t>
  </si>
  <si>
    <t>0.0144176</t>
  </si>
  <si>
    <t>0.0141221</t>
  </si>
  <si>
    <t>HP:0002123</t>
  </si>
  <si>
    <t>Generalized myoclonic seizure</t>
  </si>
  <si>
    <t>0.0128173</t>
  </si>
  <si>
    <t>0.0109018</t>
  </si>
  <si>
    <t>0.00912543</t>
  </si>
  <si>
    <t>0.00213649</t>
  </si>
  <si>
    <t>0.00192648</t>
  </si>
  <si>
    <t>HP:0011462</t>
  </si>
  <si>
    <t>Young adult onset</t>
  </si>
  <si>
    <t>0.00181565</t>
  </si>
  <si>
    <t>0.00137113</t>
  </si>
  <si>
    <t>0.00055416</t>
  </si>
  <si>
    <t>0.000517216</t>
  </si>
  <si>
    <t>0.00045711</t>
  </si>
  <si>
    <t>HP:0033258</t>
  </si>
  <si>
    <t>Sudden unexpected death in epilepsy</t>
  </si>
  <si>
    <t>0.000198502</t>
  </si>
  <si>
    <t>HP:0002121</t>
  </si>
  <si>
    <t>Generalized non-motor (absence) seizure</t>
  </si>
  <si>
    <t>HP:0000722</t>
  </si>
  <si>
    <t>Compulsive behaviors</t>
  </si>
  <si>
    <t>0.000161558</t>
  </si>
  <si>
    <t>HP:0000738</t>
  </si>
  <si>
    <t>Hallucinations</t>
  </si>
  <si>
    <t>HP:0000752</t>
  </si>
  <si>
    <t>Hyperactivity</t>
  </si>
  <si>
    <t>0.000124614</t>
  </si>
  <si>
    <t>HP:0007018</t>
  </si>
  <si>
    <t>Attention deficit hyperactivity disorder</t>
  </si>
  <si>
    <t>=HYPERLINK("https://www.biovista.com/db/link/%5B%5B%22Disease%7CSSADH%20Deficiency%22%5D,%20%5B%22Human%20Phenotype%7CDecreased%20CSF%205-methyltetrahydrofolate%20concentration%22%5D%5D?strength-weight-map=%257B%2522MEDLINE_STRENGTH_AB%2522:1.0,%2522HPO%2522:100.0%257D"; "Show Evidence...")</t>
  </si>
  <si>
    <t>HP:0003680</t>
  </si>
  <si>
    <t>Nonprogressive</t>
  </si>
  <si>
    <t>HP:0002353</t>
  </si>
  <si>
    <t>EEG abnormality</t>
  </si>
  <si>
    <t>0.0000876702</t>
  </si>
  <si>
    <t>HP:0000709</t>
  </si>
  <si>
    <t>Psychosis</t>
  </si>
  <si>
    <t>HP:0030955</t>
  </si>
  <si>
    <t>Addictive alcohol use</t>
  </si>
  <si>
    <t>HP:0006855</t>
  </si>
  <si>
    <t>Cerebellar vermis atrophy</t>
  </si>
  <si>
    <t>HP:0000992</t>
  </si>
  <si>
    <t>Cutaneous photosensitivity</t>
  </si>
  <si>
    <t>=HYPERLINK("https://www.biovista.com/db/link/%5B%5B%22Disease%7CSSADH%20Deficiency%22%5D,%20%5B%22Human%20Phenotype%7CDecreased%20activity%20of%20the%20pyruvate%20dehydrogenase%20complex%22%5D%5D?strength-weight-map=%257B%2522MEDLINE_STRENGTH_AB%2522:1.0,%2522HPO%2522:100.0%257D"; "Show Evidence...")</t>
  </si>
  <si>
    <t>HP:0002427</t>
  </si>
  <si>
    <t>Expressive aphasia</t>
  </si>
  <si>
    <t>HP:0000365</t>
  </si>
  <si>
    <t>Hearing impairment</t>
  </si>
  <si>
    <t>HP:0001343</t>
  </si>
  <si>
    <t>Kernicterus</t>
  </si>
  <si>
    <t>HP:0030050</t>
  </si>
  <si>
    <t>Narcolepsy</t>
  </si>
  <si>
    <t>HP:0010982</t>
  </si>
  <si>
    <t>Polygenic inheritance</t>
  </si>
  <si>
    <t>HP:0011147</t>
  </si>
  <si>
    <t>Typical absence seizure</t>
  </si>
  <si>
    <t>HP:0002367</t>
  </si>
  <si>
    <t>Visual hallucination</t>
  </si>
  <si>
    <t>HP:0000526</t>
  </si>
  <si>
    <t>Aniridia</t>
  </si>
  <si>
    <t>HP:0006934</t>
  </si>
  <si>
    <t>Congenital nystagmus</t>
  </si>
  <si>
    <t>HP:0012321</t>
  </si>
  <si>
    <t>D-2-hydroxyglutaric aciduria</t>
  </si>
  <si>
    <t>HP:0031844</t>
  </si>
  <si>
    <t>Euphoria</t>
  </si>
  <si>
    <t>HP:0040144</t>
  </si>
  <si>
    <t>L-2-hydroxyglutaric aciduria</t>
  </si>
  <si>
    <t>HP:0100753</t>
  </si>
  <si>
    <t>Schizophrenia</t>
  </si>
  <si>
    <t>0.000960544</t>
  </si>
  <si>
    <t>0.000664992</t>
  </si>
  <si>
    <t>0.000591104</t>
  </si>
  <si>
    <t>GO:0009450</t>
  </si>
  <si>
    <t>gamma-aminobutyric acid catabolic process</t>
  </si>
  <si>
    <t>0.000406384</t>
  </si>
  <si>
    <t>GO:0006541</t>
  </si>
  <si>
    <t>glutamine metabolic process</t>
  </si>
  <si>
    <t>GO:0015881</t>
  </si>
  <si>
    <t>creatine transmembrane transport</t>
  </si>
  <si>
    <t>GO:0006540</t>
  </si>
  <si>
    <t>glutamate decarboxylation to succinate</t>
  </si>
  <si>
    <t>GO:0006117</t>
  </si>
  <si>
    <t>acetaldehyde metabolic process</t>
  </si>
  <si>
    <t>GO:0006083</t>
  </si>
  <si>
    <t>acetate metabolic process</t>
  </si>
  <si>
    <t>GO:0006086</t>
  </si>
  <si>
    <t>acetyl-CoA biosynthetic process from pyruvate</t>
  </si>
  <si>
    <t>GO:0006695</t>
  </si>
  <si>
    <t>cholesterol biosynthetic process</t>
  </si>
  <si>
    <t>GO:0009594</t>
  </si>
  <si>
    <t>detection of nutrient</t>
  </si>
  <si>
    <t>GO:0006277</t>
  </si>
  <si>
    <t>DNA amplification</t>
  </si>
  <si>
    <t>GO:0042417</t>
  </si>
  <si>
    <t>dopamine metabolic process</t>
  </si>
  <si>
    <t>GO:0006542</t>
  </si>
  <si>
    <t>glutamine biosynthetic process</t>
  </si>
  <si>
    <t>GO:0006783</t>
  </si>
  <si>
    <t>heme biosynthetic process</t>
  </si>
  <si>
    <t>GO:0080144</t>
  </si>
  <si>
    <t>intracellular amino acid homeostasis</t>
  </si>
  <si>
    <t>GO:1901336</t>
  </si>
  <si>
    <t>lactone biosynthetic process</t>
  </si>
  <si>
    <t>GO:0000425</t>
  </si>
  <si>
    <t>pexophagy</t>
  </si>
  <si>
    <t>GO:0000302</t>
  </si>
  <si>
    <t>response to reactive oxygen species</t>
  </si>
  <si>
    <t>GO:0050893</t>
  </si>
  <si>
    <t>sensory processing</t>
  </si>
  <si>
    <t>GO:0042428</t>
  </si>
  <si>
    <t>serotonin metabolic process</t>
  </si>
  <si>
    <t>GO:0046459</t>
  </si>
  <si>
    <t>short-chain fatty acid metabolic process</t>
  </si>
  <si>
    <t>UMLS:Disease or Syndrome:MTH</t>
  </si>
  <si>
    <t>C0043459</t>
  </si>
  <si>
    <t>Zellweger Syndrome</t>
  </si>
  <si>
    <t>0.000793309</t>
  </si>
  <si>
    <t>0.00020294</t>
  </si>
  <si>
    <t>D019826</t>
  </si>
  <si>
    <t>Cholic Acid</t>
  </si>
  <si>
    <t>0.000166041</t>
  </si>
  <si>
    <t>0.000135293</t>
  </si>
  <si>
    <t>D019287</t>
  </si>
  <si>
    <t>Zinc Sulfate</t>
  </si>
  <si>
    <t>0.000116844</t>
  </si>
  <si>
    <t>0.000104545</t>
  </si>
  <si>
    <t>D019308</t>
  </si>
  <si>
    <t>Palmitic Acid</t>
  </si>
  <si>
    <t>0.0000922453</t>
  </si>
  <si>
    <t>D002635</t>
  </si>
  <si>
    <t>Chenodeoxycholic Acid</t>
  </si>
  <si>
    <t>0.0000799459</t>
  </si>
  <si>
    <t>0.0000676465</t>
  </si>
  <si>
    <t>0.0000614968</t>
  </si>
  <si>
    <t>0.0000368981</t>
  </si>
  <si>
    <t>C079420</t>
  </si>
  <si>
    <t>Lorenzo's oil</t>
  </si>
  <si>
    <t>0.0000307484</t>
  </si>
  <si>
    <t>D024502</t>
  </si>
  <si>
    <t>alpha-Tocopherol</t>
  </si>
  <si>
    <t>0.0000245987</t>
  </si>
  <si>
    <t>D015237</t>
  </si>
  <si>
    <t>Dinoprost</t>
  </si>
  <si>
    <t>D015034</t>
  </si>
  <si>
    <t>Zinc Oxide</t>
  </si>
  <si>
    <t>C075773</t>
  </si>
  <si>
    <t>4-phenylbutyric acid</t>
  </si>
  <si>
    <t>0.000018449</t>
  </si>
  <si>
    <t>D000640</t>
  </si>
  <si>
    <t>Amitrole</t>
  </si>
  <si>
    <t>D000968</t>
  </si>
  <si>
    <t>Antimycin A</t>
  </si>
  <si>
    <t>D003513</t>
  </si>
  <si>
    <t>Cycloheximide</t>
  </si>
  <si>
    <t>C033891</t>
  </si>
  <si>
    <t>ethyl 2-(5-(4-chlorophenyl)pentyl)oxiran-2-carboxylate</t>
  </si>
  <si>
    <t>D005033</t>
  </si>
  <si>
    <t>Ethylmaleimide</t>
  </si>
  <si>
    <t>D007472</t>
  </si>
  <si>
    <t>Iohexol</t>
  </si>
  <si>
    <t>D008148</t>
  </si>
  <si>
    <t>Lovastatin</t>
  </si>
  <si>
    <t>D008691</t>
  </si>
  <si>
    <t>Methadone</t>
  </si>
  <si>
    <t>D015029</t>
  </si>
  <si>
    <t>Zeranol</t>
  </si>
  <si>
    <t>0.0000122994</t>
  </si>
  <si>
    <t>D019840</t>
  </si>
  <si>
    <t>2-Propanol</t>
  </si>
  <si>
    <t>C010680</t>
  </si>
  <si>
    <t>antibiotic G 418</t>
  </si>
  <si>
    <t>D015922</t>
  </si>
  <si>
    <t>Complement C1q</t>
  </si>
  <si>
    <t>D003609</t>
  </si>
  <si>
    <t>Dactinomycin</t>
  </si>
  <si>
    <t>D011464</t>
  </si>
  <si>
    <t>Epoprostenol</t>
  </si>
  <si>
    <t>D005027</t>
  </si>
  <si>
    <t>Ethylene Oxide</t>
  </si>
  <si>
    <t>C054207</t>
  </si>
  <si>
    <t>etomoxir</t>
  </si>
  <si>
    <t>C004999</t>
  </si>
  <si>
    <t>ferulic acid</t>
  </si>
  <si>
    <t>D005557</t>
  </si>
  <si>
    <t>Formaldehyde</t>
  </si>
  <si>
    <t>D007213</t>
  </si>
  <si>
    <t>Indomethacin</t>
  </si>
  <si>
    <t>D008276</t>
  </si>
  <si>
    <t>Magnesium Hydroxide</t>
  </si>
  <si>
    <t>D000077485</t>
  </si>
  <si>
    <t>Meglumine Antimoniate</t>
  </si>
  <si>
    <t>D009173</t>
  </si>
  <si>
    <t>Mycophenolic Acid</t>
  </si>
  <si>
    <t>D015739</t>
  </si>
  <si>
    <t>Nocodazole</t>
  </si>
  <si>
    <t>C016030</t>
  </si>
  <si>
    <t>pantogab</t>
  </si>
  <si>
    <t>D011190</t>
  </si>
  <si>
    <t>Potassium Cyanide</t>
  </si>
  <si>
    <t>D011374</t>
  </si>
  <si>
    <t>Progesterone</t>
  </si>
  <si>
    <t>C032523</t>
  </si>
  <si>
    <t>ribonuclease SPL</t>
  </si>
  <si>
    <t>D013024</t>
  </si>
  <si>
    <t>Soybean Oil</t>
  </si>
  <si>
    <t>D014046</t>
  </si>
  <si>
    <t>Tolmetin</t>
  </si>
  <si>
    <t>D014439</t>
  </si>
  <si>
    <t>Tyramine</t>
  </si>
  <si>
    <t>C100195</t>
  </si>
  <si>
    <t>vinyl ether</t>
  </si>
  <si>
    <t>C092292</t>
  </si>
  <si>
    <t>ziprasidone</t>
  </si>
  <si>
    <t>C020549</t>
  </si>
  <si>
    <t>zomepirac</t>
  </si>
  <si>
    <t>PEX1</t>
  </si>
  <si>
    <t>0.182237</t>
  </si>
  <si>
    <t>PEX6</t>
  </si>
  <si>
    <t>0.182139</t>
  </si>
  <si>
    <t>PEX2</t>
  </si>
  <si>
    <t>0.182096</t>
  </si>
  <si>
    <t>PEX5</t>
  </si>
  <si>
    <t>0.182022</t>
  </si>
  <si>
    <t>PEX12</t>
  </si>
  <si>
    <t>0.181985</t>
  </si>
  <si>
    <t>PEX3</t>
  </si>
  <si>
    <t>0.181979</t>
  </si>
  <si>
    <t>PEX10</t>
  </si>
  <si>
    <t>0.181973</t>
  </si>
  <si>
    <t>PEX26</t>
  </si>
  <si>
    <t>0.181966</t>
  </si>
  <si>
    <t>PEX13</t>
  </si>
  <si>
    <t>0.181954</t>
  </si>
  <si>
    <t>PEX16</t>
  </si>
  <si>
    <t>0.181948</t>
  </si>
  <si>
    <t>PEX14</t>
  </si>
  <si>
    <t>0.181936</t>
  </si>
  <si>
    <t>PEX19</t>
  </si>
  <si>
    <t>0.181923</t>
  </si>
  <si>
    <t>PEX11B</t>
  </si>
  <si>
    <t>0.181886</t>
  </si>
  <si>
    <t>0.000762561</t>
  </si>
  <si>
    <t>PHEX</t>
  </si>
  <si>
    <t>0.000621118</t>
  </si>
  <si>
    <t>D000074183</t>
  </si>
  <si>
    <t>ATPases Associated with Diverse Cellular Activities</t>
  </si>
  <si>
    <t>0.000467376</t>
  </si>
  <si>
    <t>0.000412029</t>
  </si>
  <si>
    <t>D000074401</t>
  </si>
  <si>
    <t>Peroxins</t>
  </si>
  <si>
    <t>0.00038743</t>
  </si>
  <si>
    <t>C111808</t>
  </si>
  <si>
    <t>PEX1 protein, human</t>
  </si>
  <si>
    <t>0.000313634</t>
  </si>
  <si>
    <t>GNPAT</t>
  </si>
  <si>
    <t>0.000301334</t>
  </si>
  <si>
    <t>acyl-CoA oxidase</t>
  </si>
  <si>
    <t>0.000295185</t>
  </si>
  <si>
    <t>peroxisomal biogenesis factor 2</t>
  </si>
  <si>
    <t>0.000221389</t>
  </si>
  <si>
    <t>D000074435</t>
  </si>
  <si>
    <t>Peroxisome-Targeting Signal 1 Receptor</t>
  </si>
  <si>
    <t>0.000209089</t>
  </si>
  <si>
    <t>dihydroxyacetone phosphate acyltransferase</t>
  </si>
  <si>
    <t>0.00019679</t>
  </si>
  <si>
    <t>peroxisomal membrane protein</t>
  </si>
  <si>
    <t>0.000184491</t>
  </si>
  <si>
    <t>peroxin</t>
  </si>
  <si>
    <t>0.000178341</t>
  </si>
  <si>
    <t>0.000159892</t>
  </si>
  <si>
    <t>acetyl-CoA C-acyltransferase</t>
  </si>
  <si>
    <t>0.000141443</t>
  </si>
  <si>
    <t>HSD17B4</t>
  </si>
  <si>
    <t>0.000129143</t>
  </si>
  <si>
    <t>PTS1</t>
  </si>
  <si>
    <t>ABCD3</t>
  </si>
  <si>
    <t>0.000122994</t>
  </si>
  <si>
    <t>ABCD1</t>
  </si>
  <si>
    <t>Thiolase</t>
  </si>
  <si>
    <t>0.000110694</t>
  </si>
  <si>
    <t>ALD</t>
  </si>
  <si>
    <t>peroxisomal targeting signal 2 receptor</t>
  </si>
  <si>
    <t>ACOX2</t>
  </si>
  <si>
    <t>0.0000983949</t>
  </si>
  <si>
    <t>EHHADH</t>
  </si>
  <si>
    <t>D053402</t>
  </si>
  <si>
    <t>PHEX Phosphate Regulating Neutral Endopeptidase</t>
  </si>
  <si>
    <t>3-ketoacyl-CoA thiolase</t>
  </si>
  <si>
    <t>0.0000860956</t>
  </si>
  <si>
    <t>acetyl-CoA C-acetyltransferase</t>
  </si>
  <si>
    <t>PMP70</t>
  </si>
  <si>
    <t>C22</t>
  </si>
  <si>
    <t>peroxisomal bifunctional enzyme</t>
  </si>
  <si>
    <t>D064029</t>
  </si>
  <si>
    <t>Peroxisomal Multifunctional Protein-2</t>
  </si>
  <si>
    <t>ALDP</t>
  </si>
  <si>
    <t>0.0000737962</t>
  </si>
  <si>
    <t>PHYH</t>
  </si>
  <si>
    <t>PTS2</t>
  </si>
  <si>
    <t>ACOX1</t>
  </si>
  <si>
    <t>Alkylglycerone-phosphate synthase</t>
  </si>
  <si>
    <t>D000074428</t>
  </si>
  <si>
    <t>Peroxisome Assembly Factor-1</t>
  </si>
  <si>
    <t>Pex5p</t>
  </si>
  <si>
    <t>tumor suppressor protein p53</t>
  </si>
  <si>
    <t>Pex3p</t>
  </si>
  <si>
    <t>PMP</t>
  </si>
  <si>
    <t>D000074063</t>
  </si>
  <si>
    <t>ATP Binding Cassette Transporter, Subfamily D, Member 1</t>
  </si>
  <si>
    <t>0.0000553472</t>
  </si>
  <si>
    <t>=HYPERLINK("https://www.biovista.com/db/link/%5B%5B%22Disease%7CZellweger%20Syndrome%22%5D,%20%5B%22Gene%7CATP%20Binding%20Cassette%20Transporter,%20Subfamily%20D,%20Member%201%22%5D%5D?strength-weight-map=%257B%2522MEDLINE_STRENGTH_AB%2522:1.0,%2522HPO%2522:100.0%257D"; "Show Evidence...")</t>
  </si>
  <si>
    <t>D-amino-acid oxidase</t>
  </si>
  <si>
    <t>DHAP-AT</t>
  </si>
  <si>
    <t>PEX7</t>
  </si>
  <si>
    <t>D042962</t>
  </si>
  <si>
    <t>Acyl CoA Oxidase</t>
  </si>
  <si>
    <t>0.0000491975</t>
  </si>
  <si>
    <t>AGPS</t>
  </si>
  <si>
    <t>CG1</t>
  </si>
  <si>
    <t>SCP2</t>
  </si>
  <si>
    <t>3-hydroxyacyl-CoA dehydrogenase</t>
  </si>
  <si>
    <t>0.0000430478</t>
  </si>
  <si>
    <t>AAA ATPase</t>
  </si>
  <si>
    <t>mevalonate kinase</t>
  </si>
  <si>
    <t>peroxisomal acyl-CoA oxidase</t>
  </si>
  <si>
    <t>PTS1 receptor</t>
  </si>
  <si>
    <t>TED3</t>
  </si>
  <si>
    <t>adrenoleukodystrophy protein</t>
  </si>
  <si>
    <t>UniProt</t>
  </si>
  <si>
    <t>AMC</t>
  </si>
  <si>
    <t>DBP</t>
  </si>
  <si>
    <t>FAA2</t>
  </si>
  <si>
    <t>Lipoproteins, LDL</t>
  </si>
  <si>
    <t>long-chain-fatty-acid-CoA ligase</t>
  </si>
  <si>
    <t>MAPK14</t>
  </si>
  <si>
    <t>metallothionein</t>
  </si>
  <si>
    <t>nestin</t>
  </si>
  <si>
    <t>PAFAH1B1</t>
  </si>
  <si>
    <t>Pex14p</t>
  </si>
  <si>
    <t>PKN</t>
  </si>
  <si>
    <t>CAT</t>
  </si>
  <si>
    <t>D-amino acid oxidase</t>
  </si>
  <si>
    <t>Hydr2</t>
  </si>
  <si>
    <t>hydratase</t>
  </si>
  <si>
    <t>p21</t>
  </si>
  <si>
    <t>serum albumin</t>
  </si>
  <si>
    <t>SHROOM1</t>
  </si>
  <si>
    <t>0.161495</t>
  </si>
  <si>
    <t>0.161304</t>
  </si>
  <si>
    <t>HP:0000952</t>
  </si>
  <si>
    <t>Jaundice</t>
  </si>
  <si>
    <t>0.161237</t>
  </si>
  <si>
    <t>0.161224</t>
  </si>
  <si>
    <t>0.1612</t>
  </si>
  <si>
    <t>0.161194</t>
  </si>
  <si>
    <t>0.161187</t>
  </si>
  <si>
    <t>HP:0010655</t>
  </si>
  <si>
    <t>Epiphyseal stippling</t>
  </si>
  <si>
    <t>0.161181</t>
  </si>
  <si>
    <t>HP:0005280</t>
  </si>
  <si>
    <t>Depressed nasal bridge</t>
  </si>
  <si>
    <t>HP:0004322</t>
  </si>
  <si>
    <t>Short stature</t>
  </si>
  <si>
    <t>HP:0000431</t>
  </si>
  <si>
    <t>Wide nasal bridge</t>
  </si>
  <si>
    <t>HP:0007957</t>
  </si>
  <si>
    <t>Corneal opacity</t>
  </si>
  <si>
    <t>0.161175</t>
  </si>
  <si>
    <t>HP:0008167</t>
  </si>
  <si>
    <t>Very long chain fatty acid accumulation</t>
  </si>
  <si>
    <t>HP:0000260</t>
  </si>
  <si>
    <t>Wide anterior fontanel</t>
  </si>
  <si>
    <t>0.161169</t>
  </si>
  <si>
    <t>HP:0012368</t>
  </si>
  <si>
    <t>Flat face</t>
  </si>
  <si>
    <t>HP:0012736</t>
  </si>
  <si>
    <t>Profound global developmental delay</t>
  </si>
  <si>
    <t>HP:0001315</t>
  </si>
  <si>
    <t>Reduced tendon reflexes</t>
  </si>
  <si>
    <t>HP:0002652</t>
  </si>
  <si>
    <t>Skeletal dysplasia</t>
  </si>
  <si>
    <t>HP:0002126</t>
  </si>
  <si>
    <t>Polymicrogyria</t>
  </si>
  <si>
    <t>0.0985675</t>
  </si>
  <si>
    <t>0.0985307</t>
  </si>
  <si>
    <t>HP:0000028</t>
  </si>
  <si>
    <t>Cryptorchidism</t>
  </si>
  <si>
    <t>0.0985183</t>
  </si>
  <si>
    <t>HP:0002024</t>
  </si>
  <si>
    <t>Malabsorption</t>
  </si>
  <si>
    <t>HP:0000003</t>
  </si>
  <si>
    <t>Multicystic kidney dysplasia</t>
  </si>
  <si>
    <t>0.0985122</t>
  </si>
  <si>
    <t>HP:0000347</t>
  </si>
  <si>
    <t>Micrognathia</t>
  </si>
  <si>
    <t>HP:0000505</t>
  </si>
  <si>
    <t>Visual impairment</t>
  </si>
  <si>
    <t>HP:0000126</t>
  </si>
  <si>
    <t>Hydronephrosis</t>
  </si>
  <si>
    <t>0.0984999</t>
  </si>
  <si>
    <t>HP:0000047</t>
  </si>
  <si>
    <t>Hypospadias</t>
  </si>
  <si>
    <t>HP:0000627</t>
  </si>
  <si>
    <t>Posterior embryotoxon</t>
  </si>
  <si>
    <t>HP:0009891</t>
  </si>
  <si>
    <t>Underdeveloped supraorbital ridges</t>
  </si>
  <si>
    <t>0.0984937</t>
  </si>
  <si>
    <t>HP:0000532</t>
  </si>
  <si>
    <t>Abnormal chorioretinal morphology</t>
  </si>
  <si>
    <t>0.0984876</t>
  </si>
  <si>
    <t>HP:0008665</t>
  </si>
  <si>
    <t>Clitoral hypertrophy</t>
  </si>
  <si>
    <t>HP:0005469</t>
  </si>
  <si>
    <t>Flat occiput</t>
  </si>
  <si>
    <t>HP:0001622</t>
  </si>
  <si>
    <t>Premature birth</t>
  </si>
  <si>
    <t>HP:0002021</t>
  </si>
  <si>
    <t>Pyloric stenosis</t>
  </si>
  <si>
    <t>0.0744531</t>
  </si>
  <si>
    <t>0.0743117</t>
  </si>
  <si>
    <t>0.0742379</t>
  </si>
  <si>
    <t>HP:0008207</t>
  </si>
  <si>
    <t>Primary adrenal insufficiency</t>
  </si>
  <si>
    <t>0.0313474</t>
  </si>
  <si>
    <t>HP:0001088</t>
  </si>
  <si>
    <t>Brushfield spots</t>
  </si>
  <si>
    <t>0.0313351</t>
  </si>
  <si>
    <t>HP:0000501</t>
  </si>
  <si>
    <t>Glaucoma</t>
  </si>
  <si>
    <t>HP:0001629</t>
  </si>
  <si>
    <t>Ventricular septal defect</t>
  </si>
  <si>
    <t>HP:0001928</t>
  </si>
  <si>
    <t>Abnormality of coagulation</t>
  </si>
  <si>
    <t>0.0313289</t>
  </si>
  <si>
    <t>HP:0000157</t>
  </si>
  <si>
    <t>Abnormality of the tongue</t>
  </si>
  <si>
    <t>HP:0000474</t>
  </si>
  <si>
    <t>Thickened nuchal skin fold</t>
  </si>
  <si>
    <t>0.000535022</t>
  </si>
  <si>
    <t>0.000350532</t>
  </si>
  <si>
    <t>0.000245987</t>
  </si>
  <si>
    <t>HP:0034553</t>
  </si>
  <si>
    <t>Absence of peroxisomes</t>
  </si>
  <si>
    <t>0.000227538</t>
  </si>
  <si>
    <t>HP:0001392</t>
  </si>
  <si>
    <t>Abnormality of the liver</t>
  </si>
  <si>
    <t>0.000153742</t>
  </si>
  <si>
    <t>0.000147592</t>
  </si>
  <si>
    <t>HP:0001396</t>
  </si>
  <si>
    <t>Cholestasis</t>
  </si>
  <si>
    <t>HP:0001394</t>
  </si>
  <si>
    <t>Cirrhosis</t>
  </si>
  <si>
    <t>HP:0003159</t>
  </si>
  <si>
    <t>Hyperoxaluria</t>
  </si>
  <si>
    <t>HP:0002269</t>
  </si>
  <si>
    <t>Abnormality of neuronal migration</t>
  </si>
  <si>
    <t>HP:0001410</t>
  </si>
  <si>
    <t>Decreased liver function</t>
  </si>
  <si>
    <t>HP:0000488</t>
  </si>
  <si>
    <t>Retinopathy</t>
  </si>
  <si>
    <t>HP:0001302</t>
  </si>
  <si>
    <t>Pachygyria</t>
  </si>
  <si>
    <t>HP:0000846</t>
  </si>
  <si>
    <t>Adrenal insufficiency</t>
  </si>
  <si>
    <t>HP:0002282</t>
  </si>
  <si>
    <t>Gray matter heterotopia</t>
  </si>
  <si>
    <t>HP:6000191</t>
  </si>
  <si>
    <t>Seminal vesicle cyst</t>
  </si>
  <si>
    <t>HP:0000789</t>
  </si>
  <si>
    <t>Infertility</t>
  </si>
  <si>
    <t>HP:0000112</t>
  </si>
  <si>
    <t>Nephropathy</t>
  </si>
  <si>
    <t>HP:0031589</t>
  </si>
  <si>
    <t>Suicidal ideation</t>
  </si>
  <si>
    <t>HP:0000104</t>
  </si>
  <si>
    <t>Renal agenesis</t>
  </si>
  <si>
    <t>HP:0000803</t>
  </si>
  <si>
    <t>Renal cortical cysts</t>
  </si>
  <si>
    <t>HP:0003429</t>
  </si>
  <si>
    <t>CNS hypomyelination</t>
  </si>
  <si>
    <t>HP:0000239</t>
  </si>
  <si>
    <t>Large fontanelles</t>
  </si>
  <si>
    <t>GO:0017038</t>
  </si>
  <si>
    <t>protein import</t>
  </si>
  <si>
    <t>0.000289035</t>
  </si>
  <si>
    <t>0.000252137</t>
  </si>
  <si>
    <t>0.000239838</t>
  </si>
  <si>
    <t>0.000172191</t>
  </si>
  <si>
    <t>GO:0001764</t>
  </si>
  <si>
    <t>neuron migration</t>
  </si>
  <si>
    <t>GO:0008611</t>
  </si>
  <si>
    <t>ether lipid biosynthetic process</t>
  </si>
  <si>
    <t>GO:0008654</t>
  </si>
  <si>
    <t>phospholipid biosynthetic process</t>
  </si>
  <si>
    <t>GO:0008206</t>
  </si>
  <si>
    <t>bile acid metabolic process</t>
  </si>
  <si>
    <t>GO:0071709</t>
  </si>
  <si>
    <t>membrane assembly</t>
  </si>
  <si>
    <t>GO:0016559</t>
  </si>
  <si>
    <t>peroxisome fission</t>
  </si>
  <si>
    <t>=HYPERLINK("https://www.biovista.com/db/link/%5B%5B%22Disease%7CZellweger%20Syndrome%22%5D,%20%5B%22Pathway%7Cregulatory%20ncRNA-mediated%20post-transcriptional%20gene%20silencing%22%5D%5D?strength-weight-map=%257B%2522MEDLINE_STRENGTH_AB%2522:1.0,%2522HPO%2522:100.0%257D"; "Show Evidence...")</t>
  </si>
  <si>
    <t>GO:0042632</t>
  </si>
  <si>
    <t>cholesterol homeostasis</t>
  </si>
  <si>
    <t>GO:1990523</t>
  </si>
  <si>
    <t>bone regeneration</t>
  </si>
  <si>
    <t>GO:0006605</t>
  </si>
  <si>
    <t>protein targeting</t>
  </si>
  <si>
    <t>GO:0006694</t>
  </si>
  <si>
    <t>steroid biosynthetic process</t>
  </si>
  <si>
    <t>GO:0048513</t>
  </si>
  <si>
    <t>animal organ development</t>
  </si>
  <si>
    <t>GO:0044091</t>
  </si>
  <si>
    <t>membrane biogenesis</t>
  </si>
  <si>
    <t>GO:0070925</t>
  </si>
  <si>
    <t>organelle assembly</t>
  </si>
  <si>
    <t>GO:0016112</t>
  </si>
  <si>
    <t>polyterpenoid biosynthetic process</t>
  </si>
  <si>
    <t>GO:0008203</t>
  </si>
  <si>
    <t>cholesterol metabolic process</t>
  </si>
  <si>
    <t>GO:0046485</t>
  </si>
  <si>
    <t>ether lipid metabolic process</t>
  </si>
  <si>
    <t>GO:0006633</t>
  </si>
  <si>
    <t>fatty acid biosynthetic process</t>
  </si>
  <si>
    <t>GO:0051319</t>
  </si>
  <si>
    <t>G2 phase</t>
  </si>
  <si>
    <t>GO:0042063</t>
  </si>
  <si>
    <t>gliogenesis</t>
  </si>
  <si>
    <t>GO:0030308</t>
  </si>
  <si>
    <t>negative regulation of cell growth</t>
  </si>
  <si>
    <t>GO:0000187</t>
  </si>
  <si>
    <t>activation of MAPK activity</t>
  </si>
  <si>
    <t>GO:0090546</t>
  </si>
  <si>
    <t>chlorophyll fluorescence</t>
  </si>
  <si>
    <t>GO:0019915</t>
  </si>
  <si>
    <t>lipid storage</t>
  </si>
  <si>
    <t>GO:0016557</t>
  </si>
  <si>
    <t>peroxisome membrane biogenesis</t>
  </si>
  <si>
    <t>GO:0016558</t>
  </si>
  <si>
    <t>protein import into peroxisome matrix</t>
  </si>
  <si>
    <t>GO:1903412</t>
  </si>
  <si>
    <t>response to bile acid</t>
  </si>
  <si>
    <t>=HYPERLINK("https://www.biovista.com/db/link/%5B%5B%22Disease%7CZellweger%20Syndrome%22%5D,%20%5B%22Pathway%7CRNA%20splicing,%20via%20endonucleolytic%20cleavage%20and%20ligation%22%5D%5D?strength-weight-map=%257B%2522MEDLINE_STRENGTH_AB%2522:1.0,%2522HPO%2522:100.0%257D"; "Show Evidence...")</t>
  </si>
  <si>
    <t>GO:0071578</t>
  </si>
  <si>
    <t>zinc ion import across plasma membrane</t>
  </si>
  <si>
    <t>Name</t>
  </si>
  <si>
    <t>Type</t>
  </si>
  <si>
    <t>Connections</t>
  </si>
  <si>
    <t>Target_Type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</si>
</sst>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&quot;Arial&quot;"/>
    </font>
    <font>
      <sz val="10"/>
      <color theme="1"/>
      <name val="&quot;Liberation Sans&quot;"/>
    </font>
    <font>
      <b/>
      <sz val="10"/>
      <color theme="1"/>
      <name val="Arial"/>
    </font>
    <font>
      <u/>
      <sz val="10"/>
      <color theme="10"/>
      <name val="Arial"/>
      <scheme val="minor"/>
    </font>
    <font>
      <sz val="10"/>
      <color theme="1"/>
      <name val="Arial"/>
    </font>
    <font>
      <b/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17" fontId="0" fillId="0" borderId="0" xfId="0" applyNumberFormat="1"/>
    <xf numFmtId="0" fontId="7" fillId="0" borderId="0" xfId="0" applyFont="1"/>
    <xf numFmtId="0" fontId="8" fillId="0" borderId="0" xfId="0" applyFont="1"/>
    <xf numFmtId="17" fontId="2" fillId="0" borderId="0" xfId="0" applyNumberFormat="1" applyFont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dboudumc.sharepoint.com/:u:/r/sites/teamssimpathiccenterformolecularandbiomolecularinformatics/Gedeelde%20documenten/General/WP2/Task%202.5-%20Computational%20Approaches/FAIR/Biovista_graph-info/bv-kg-20250225.txt.gz?csf=1&amp;web=1&amp;e=HMyfm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7"/>
  <sheetViews>
    <sheetView topLeftCell="A18" workbookViewId="0">
      <selection activeCell="B3" sqref="B3"/>
    </sheetView>
  </sheetViews>
  <sheetFormatPr defaultColWidth="12.5703125" defaultRowHeight="15.75" customHeight="1"/>
  <cols>
    <col min="1" max="1" width="33.140625" customWidth="1"/>
    <col min="2" max="2" width="45.42578125" customWidth="1"/>
    <col min="3" max="3" width="16.42578125" customWidth="1"/>
    <col min="4" max="4" width="14.42578125" customWidth="1"/>
    <col min="5" max="5" width="0" hidden="1" customWidth="1"/>
  </cols>
  <sheetData>
    <row r="1" spans="1:5">
      <c r="A1" s="1" t="s">
        <v>0</v>
      </c>
      <c r="B1" s="1" t="s">
        <v>1</v>
      </c>
    </row>
    <row r="2" spans="1:5" ht="12.75">
      <c r="A2" s="2" t="s">
        <v>2</v>
      </c>
      <c r="B2" s="6" t="s">
        <v>3</v>
      </c>
    </row>
    <row r="4" spans="1:5">
      <c r="A4" s="1" t="s">
        <v>4</v>
      </c>
      <c r="B4" s="1" t="s">
        <v>5</v>
      </c>
      <c r="E4" s="2" t="s">
        <v>6</v>
      </c>
    </row>
    <row r="5" spans="1:5">
      <c r="A5" s="2" t="s">
        <v>7</v>
      </c>
      <c r="E5" s="2" t="s">
        <v>6</v>
      </c>
    </row>
    <row r="6" spans="1:5">
      <c r="A6" s="3" t="s">
        <v>8</v>
      </c>
      <c r="B6" s="2" t="s">
        <v>9</v>
      </c>
      <c r="E6" s="2" t="s">
        <v>6</v>
      </c>
    </row>
    <row r="7" spans="1:5">
      <c r="A7" s="2" t="s">
        <v>10</v>
      </c>
      <c r="E7" s="2" t="s">
        <v>6</v>
      </c>
    </row>
    <row r="8" spans="1:5">
      <c r="A8" s="2" t="s">
        <v>11</v>
      </c>
      <c r="E8" s="2" t="s">
        <v>6</v>
      </c>
    </row>
    <row r="9" spans="1:5">
      <c r="E9" s="2" t="s">
        <v>6</v>
      </c>
    </row>
    <row r="10" spans="1:5">
      <c r="A10" s="1" t="s">
        <v>12</v>
      </c>
      <c r="C10" s="1" t="s">
        <v>13</v>
      </c>
      <c r="E10" s="2" t="s">
        <v>6</v>
      </c>
    </row>
    <row r="11" spans="1:5">
      <c r="A11" s="2" t="s">
        <v>14</v>
      </c>
      <c r="B11" s="2">
        <v>4000</v>
      </c>
      <c r="C11" s="2" t="s">
        <v>15</v>
      </c>
      <c r="E11" s="2" t="s">
        <v>6</v>
      </c>
    </row>
    <row r="12" spans="1:5">
      <c r="A12" s="2" t="s">
        <v>16</v>
      </c>
      <c r="B12" s="2">
        <v>3625</v>
      </c>
      <c r="E12" s="2" t="s">
        <v>6</v>
      </c>
    </row>
    <row r="13" spans="1:5">
      <c r="A13" s="2" t="s">
        <v>17</v>
      </c>
      <c r="B13" s="2">
        <v>2337</v>
      </c>
      <c r="C13" s="2" t="s">
        <v>18</v>
      </c>
      <c r="E13" s="2" t="s">
        <v>6</v>
      </c>
    </row>
    <row r="14" spans="1:5">
      <c r="A14" s="2" t="s">
        <v>19</v>
      </c>
      <c r="B14" s="2">
        <f>(B13 + 10) * (B13 + 10 -1) / 2</f>
        <v>2753031</v>
      </c>
      <c r="C14" s="2"/>
      <c r="E14" s="2" t="s">
        <v>6</v>
      </c>
    </row>
    <row r="15" spans="1:5">
      <c r="A15" s="2" t="s">
        <v>20</v>
      </c>
      <c r="B15" s="2">
        <v>872247</v>
      </c>
      <c r="E15" s="2" t="s">
        <v>6</v>
      </c>
    </row>
    <row r="16" spans="1:5">
      <c r="E16" s="2" t="s">
        <v>6</v>
      </c>
    </row>
    <row r="17" spans="1:5">
      <c r="A17" s="1" t="s">
        <v>21</v>
      </c>
      <c r="E17" s="2" t="s">
        <v>6</v>
      </c>
    </row>
    <row r="18" spans="1:5">
      <c r="A18" s="2" t="s">
        <v>22</v>
      </c>
      <c r="B18" s="4" t="s">
        <v>23</v>
      </c>
      <c r="C18" s="2" t="s">
        <v>24</v>
      </c>
      <c r="E18" s="2" t="s">
        <v>6</v>
      </c>
    </row>
    <row r="19" spans="1:5">
      <c r="B19" s="4" t="s">
        <v>25</v>
      </c>
      <c r="C19" s="2" t="s">
        <v>24</v>
      </c>
      <c r="E19" s="2" t="s">
        <v>6</v>
      </c>
    </row>
    <row r="20" spans="1:5">
      <c r="B20" s="4" t="s">
        <v>26</v>
      </c>
      <c r="C20" s="2" t="s">
        <v>24</v>
      </c>
      <c r="E20" s="2" t="s">
        <v>6</v>
      </c>
    </row>
    <row r="21" spans="1:5">
      <c r="B21" s="4" t="s">
        <v>27</v>
      </c>
      <c r="C21" s="2" t="s">
        <v>24</v>
      </c>
      <c r="E21" s="2" t="s">
        <v>6</v>
      </c>
    </row>
    <row r="22" spans="1:5">
      <c r="B22" s="4" t="s">
        <v>28</v>
      </c>
      <c r="C22" s="2" t="s">
        <v>24</v>
      </c>
      <c r="E22" s="2" t="s">
        <v>6</v>
      </c>
    </row>
    <row r="23" spans="1:5">
      <c r="B23" s="4" t="s">
        <v>29</v>
      </c>
      <c r="C23" s="2" t="s">
        <v>24</v>
      </c>
    </row>
    <row r="24" spans="1:5">
      <c r="B24" s="4" t="s">
        <v>30</v>
      </c>
      <c r="C24" s="2" t="s">
        <v>24</v>
      </c>
    </row>
    <row r="25" spans="1:5">
      <c r="B25" s="4" t="s">
        <v>31</v>
      </c>
      <c r="C25" s="2" t="s">
        <v>24</v>
      </c>
    </row>
    <row r="26" spans="1:5">
      <c r="B26" s="4" t="s">
        <v>32</v>
      </c>
      <c r="C26" s="2" t="s">
        <v>24</v>
      </c>
    </row>
    <row r="27" spans="1:5">
      <c r="B27" s="4" t="s">
        <v>33</v>
      </c>
      <c r="C27" s="2" t="s">
        <v>24</v>
      </c>
    </row>
    <row r="29" spans="1:5">
      <c r="A29" s="2" t="s">
        <v>34</v>
      </c>
      <c r="B29" s="2">
        <v>100</v>
      </c>
    </row>
    <row r="30" spans="1:5">
      <c r="A30" s="2" t="s">
        <v>35</v>
      </c>
      <c r="B30" s="2" t="s">
        <v>36</v>
      </c>
    </row>
    <row r="31" spans="1:5">
      <c r="B31" s="2" t="s">
        <v>37</v>
      </c>
    </row>
    <row r="32" spans="1:5">
      <c r="B32" s="2" t="s">
        <v>38</v>
      </c>
    </row>
    <row r="33" spans="2:5">
      <c r="B33" s="2" t="s">
        <v>39</v>
      </c>
    </row>
    <row r="34" spans="2:5">
      <c r="D34" s="2"/>
      <c r="E34" s="2" t="s">
        <v>6</v>
      </c>
    </row>
    <row r="35" spans="2:5">
      <c r="D35" s="2"/>
      <c r="E35" s="2" t="s">
        <v>6</v>
      </c>
    </row>
    <row r="36" spans="2:5">
      <c r="D36" s="2"/>
      <c r="E36" s="2" t="s">
        <v>6</v>
      </c>
    </row>
    <row r="37" spans="2:5">
      <c r="D37" s="2"/>
      <c r="E37" s="2" t="s">
        <v>6</v>
      </c>
    </row>
  </sheetData>
  <hyperlinks>
    <hyperlink ref="B2" r:id="rId1" xr:uid="{19300C61-C33E-4C86-829F-DF2C3EA11439}"/>
  </hyperlink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626"/>
  <sheetViews>
    <sheetView tabSelected="1" workbookViewId="0">
      <pane ySplit="1" topLeftCell="A129" activePane="bottomLeft" state="frozen"/>
      <selection pane="bottomLeft" activeCell="J160" sqref="J160"/>
    </sheetView>
  </sheetViews>
  <sheetFormatPr defaultColWidth="12.5703125" defaultRowHeight="15.75" customHeight="1"/>
  <cols>
    <col min="1" max="1" width="40.42578125" bestFit="1" customWidth="1"/>
    <col min="2" max="2" width="9.7109375" bestFit="1" customWidth="1"/>
    <col min="3" max="3" width="7.85546875" bestFit="1" customWidth="1"/>
    <col min="4" max="4" width="29.42578125" bestFit="1" customWidth="1"/>
    <col min="5" max="5" width="17.85546875" customWidth="1"/>
    <col min="6" max="6" width="20.7109375" style="2" customWidth="1"/>
    <col min="7" max="7" width="18.140625" customWidth="1"/>
    <col min="8" max="8" width="46" customWidth="1"/>
    <col min="9" max="9" width="14.140625" bestFit="1" customWidth="1"/>
    <col min="10" max="10" width="17.28515625" customWidth="1"/>
  </cols>
  <sheetData>
    <row r="1" spans="1:10" s="9" customFormat="1" ht="12.75">
      <c r="A1" s="5" t="s">
        <v>40</v>
      </c>
      <c r="B1" s="5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9" t="s">
        <v>46</v>
      </c>
      <c r="H1" s="9" t="s">
        <v>47</v>
      </c>
      <c r="I1" s="9" t="s">
        <v>48</v>
      </c>
      <c r="J1" s="9" t="s">
        <v>49</v>
      </c>
    </row>
    <row r="2" spans="1:10" ht="12.75">
      <c r="A2" s="2" t="s">
        <v>50</v>
      </c>
      <c r="B2" s="2" t="s">
        <v>51</v>
      </c>
      <c r="C2" s="2" t="s">
        <v>24</v>
      </c>
      <c r="D2" s="2" t="s">
        <v>52</v>
      </c>
      <c r="E2" s="2" t="s">
        <v>53</v>
      </c>
      <c r="F2" s="11" t="s">
        <v>54</v>
      </c>
      <c r="G2" t="s">
        <v>39</v>
      </c>
      <c r="H2" t="s">
        <v>55</v>
      </c>
      <c r="I2" t="s">
        <v>56</v>
      </c>
      <c r="J2" s="6" t="str">
        <f>HYPERLINK("https://www.biovista.com/db/link/%5B%5B%22Disease%7CCongenital%20Myasthenic%20Syndrome%22%5D,%20%5B%22Drug%7CColistin%22%5D%5D?strength-weight-map=%257B%2522MEDLINE_STRENGTH_AB%2522:1.0,%2522HPO%2522:100.0%257D", "Show Evidence...")</f>
        <v>Show Evidence...</v>
      </c>
    </row>
    <row r="3" spans="1:10" ht="12.75">
      <c r="A3" s="2" t="s">
        <v>50</v>
      </c>
      <c r="B3" s="2" t="s">
        <v>51</v>
      </c>
      <c r="C3" s="2" t="s">
        <v>24</v>
      </c>
      <c r="D3" s="2" t="s">
        <v>52</v>
      </c>
      <c r="E3" s="2" t="s">
        <v>53</v>
      </c>
      <c r="F3" s="11" t="s">
        <v>57</v>
      </c>
      <c r="G3" t="s">
        <v>39</v>
      </c>
      <c r="H3" t="s">
        <v>58</v>
      </c>
      <c r="I3" t="s">
        <v>59</v>
      </c>
      <c r="J3" s="6" t="str">
        <f>HYPERLINK("https://www.biovista.com/db/link/%5B%5B%22Disease%7CCongenital%20Myasthenic%20Syndrome%22%5D,%20%5B%22Drug%7CPyridostigmine%20Bromide%22%5D%5D?strength-weight-map=%257B%2522MEDLINE_STRENGTH_AB%2522:1.0,%2522HPO%2522:100.0%257D", "Show Evidence...")</f>
        <v>Show Evidence...</v>
      </c>
    </row>
    <row r="4" spans="1:10" ht="12.75">
      <c r="A4" s="2" t="s">
        <v>50</v>
      </c>
      <c r="B4" s="2" t="s">
        <v>51</v>
      </c>
      <c r="C4" s="2" t="s">
        <v>24</v>
      </c>
      <c r="D4" s="2" t="s">
        <v>52</v>
      </c>
      <c r="E4" s="2" t="s">
        <v>53</v>
      </c>
      <c r="F4" s="11" t="s">
        <v>60</v>
      </c>
      <c r="G4" t="s">
        <v>39</v>
      </c>
      <c r="H4" t="s">
        <v>61</v>
      </c>
      <c r="I4" t="s">
        <v>62</v>
      </c>
      <c r="J4" s="6" t="str">
        <f>HYPERLINK("https://www.biovista.com/db/link/%5B%5B%22Disease%7CCongenital%20Myasthenic%20Syndrome%22%5D,%20%5B%22Drug%7CAcetylcholine%22%5D%5D?strength-weight-map=%257B%2522MEDLINE_STRENGTH_AB%2522:1.0,%2522HPO%2522:100.0%257D", "Show Evidence...")</f>
        <v>Show Evidence...</v>
      </c>
    </row>
    <row r="5" spans="1:10" ht="12.75">
      <c r="A5" s="2" t="s">
        <v>50</v>
      </c>
      <c r="B5" s="2" t="s">
        <v>51</v>
      </c>
      <c r="C5" s="2" t="s">
        <v>24</v>
      </c>
      <c r="D5" s="2" t="s">
        <v>52</v>
      </c>
      <c r="E5" s="2" t="s">
        <v>53</v>
      </c>
      <c r="F5" s="11" t="s">
        <v>63</v>
      </c>
      <c r="G5" t="s">
        <v>39</v>
      </c>
      <c r="H5" t="s">
        <v>64</v>
      </c>
      <c r="I5" t="s">
        <v>65</v>
      </c>
      <c r="J5" s="6" t="str">
        <f>HYPERLINK("https://www.biovista.com/db/link/%5B%5B%22Disease%7CCongenital%20Myasthenic%20Syndrome%22%5D,%20%5B%22Drug%7CCorticosterone%22%5D%5D?strength-weight-map=%257B%2522MEDLINE_STRENGTH_AB%2522:1.0,%2522HPO%2522:100.0%257D", "Show Evidence...")</f>
        <v>Show Evidence...</v>
      </c>
    </row>
    <row r="6" spans="1:10" ht="12.75">
      <c r="A6" s="2" t="s">
        <v>50</v>
      </c>
      <c r="B6" s="2" t="s">
        <v>51</v>
      </c>
      <c r="C6" s="2" t="s">
        <v>24</v>
      </c>
      <c r="D6" s="2" t="s">
        <v>52</v>
      </c>
      <c r="E6" s="2" t="s">
        <v>53</v>
      </c>
      <c r="F6" s="11" t="s">
        <v>66</v>
      </c>
      <c r="G6" t="s">
        <v>39</v>
      </c>
      <c r="H6" t="s">
        <v>67</v>
      </c>
      <c r="I6" t="s">
        <v>68</v>
      </c>
      <c r="J6" s="6" t="str">
        <f>HYPERLINK("https://www.biovista.com/db/link/%5B%5B%22Disease%7CCongenital%20Myasthenic%20Syndrome%22%5D,%20%5B%22Drug%7Ccolistinmethanesulfonic%20acid%22%5D%5D?strength-weight-map=%257B%2522MEDLINE_STRENGTH_AB%2522:1.0,%2522HPO%2522:100.0%257D", "Show Evidence...")</f>
        <v>Show Evidence...</v>
      </c>
    </row>
    <row r="7" spans="1:10" ht="12.75">
      <c r="A7" s="2" t="s">
        <v>50</v>
      </c>
      <c r="B7" s="2" t="s">
        <v>51</v>
      </c>
      <c r="C7" s="2" t="s">
        <v>24</v>
      </c>
      <c r="D7" s="2" t="s">
        <v>52</v>
      </c>
      <c r="E7" s="2" t="s">
        <v>53</v>
      </c>
      <c r="F7" s="11" t="s">
        <v>69</v>
      </c>
      <c r="G7" t="s">
        <v>39</v>
      </c>
      <c r="H7" t="s">
        <v>70</v>
      </c>
      <c r="I7" t="s">
        <v>71</v>
      </c>
      <c r="J7" s="6" t="str">
        <f>HYPERLINK("https://www.biovista.com/db/link/%5B%5B%22Disease%7CCongenital%20Myasthenic%20Syndrome%22%5D,%20%5B%22Drug%7CFluoxetine%22%5D%5D?strength-weight-map=%257B%2522MEDLINE_STRENGTH_AB%2522:1.0,%2522HPO%2522:100.0%257D", "Show Evidence...")</f>
        <v>Show Evidence...</v>
      </c>
    </row>
    <row r="8" spans="1:10" ht="12.75">
      <c r="A8" s="2" t="s">
        <v>50</v>
      </c>
      <c r="B8" s="2" t="s">
        <v>51</v>
      </c>
      <c r="C8" s="2" t="s">
        <v>24</v>
      </c>
      <c r="D8" s="2" t="s">
        <v>52</v>
      </c>
      <c r="E8" s="2" t="s">
        <v>53</v>
      </c>
      <c r="F8" s="11" t="s">
        <v>72</v>
      </c>
      <c r="G8" t="s">
        <v>39</v>
      </c>
      <c r="H8" t="s">
        <v>73</v>
      </c>
      <c r="I8" t="s">
        <v>74</v>
      </c>
      <c r="J8" s="6" t="str">
        <f>HYPERLINK("https://www.biovista.com/db/link/%5B%5B%22Disease%7CCongenital%20Myasthenic%20Syndrome%22%5D,%20%5B%22Drug%7CSerotonin%22%5D%5D?strength-weight-map=%257B%2522MEDLINE_STRENGTH_AB%2522:1.0,%2522HPO%2522:100.0%257D", "Show Evidence...")</f>
        <v>Show Evidence...</v>
      </c>
    </row>
    <row r="9" spans="1:10" ht="12.75">
      <c r="A9" s="2" t="s">
        <v>50</v>
      </c>
      <c r="B9" s="2" t="s">
        <v>51</v>
      </c>
      <c r="C9" s="2" t="s">
        <v>24</v>
      </c>
      <c r="D9" s="2" t="s">
        <v>52</v>
      </c>
      <c r="E9" s="2" t="s">
        <v>53</v>
      </c>
      <c r="F9" s="11" t="s">
        <v>75</v>
      </c>
      <c r="G9" t="s">
        <v>39</v>
      </c>
      <c r="H9" t="s">
        <v>76</v>
      </c>
      <c r="I9" t="s">
        <v>77</v>
      </c>
      <c r="J9" s="6" t="str">
        <f>HYPERLINK("https://www.biovista.com/db/link/%5B%5B%22Disease%7CCongenital%20Myasthenic%20Syndrome%22%5D,%20%5B%22Drug%7CAlbuterol%22%5D%5D?strength-weight-map=%257B%2522MEDLINE_STRENGTH_AB%2522:1.0,%2522HPO%2522:100.0%257D", "Show Evidence...")</f>
        <v>Show Evidence...</v>
      </c>
    </row>
    <row r="10" spans="1:10" ht="12.75">
      <c r="A10" s="2" t="s">
        <v>50</v>
      </c>
      <c r="B10" s="2" t="s">
        <v>51</v>
      </c>
      <c r="C10" s="2" t="s">
        <v>24</v>
      </c>
      <c r="D10" s="2" t="s">
        <v>52</v>
      </c>
      <c r="E10" s="2" t="s">
        <v>53</v>
      </c>
      <c r="F10" s="11" t="s">
        <v>78</v>
      </c>
      <c r="G10" t="s">
        <v>39</v>
      </c>
      <c r="H10" t="s">
        <v>79</v>
      </c>
      <c r="I10" t="s">
        <v>80</v>
      </c>
      <c r="J10" s="6" t="str">
        <f>HYPERLINK("https://www.biovista.com/db/link/%5B%5B%22Disease%7CCongenital%20Myasthenic%20Syndrome%22%5D,%20%5B%22Drug%7CImipramine%22%5D%5D?strength-weight-map=%257B%2522MEDLINE_STRENGTH_AB%2522:1.0,%2522HPO%2522:100.0%257D", "Show Evidence...")</f>
        <v>Show Evidence...</v>
      </c>
    </row>
    <row r="11" spans="1:10" ht="12.75">
      <c r="A11" s="2" t="s">
        <v>50</v>
      </c>
      <c r="B11" s="2" t="s">
        <v>51</v>
      </c>
      <c r="C11" s="2" t="s">
        <v>24</v>
      </c>
      <c r="D11" s="2" t="s">
        <v>52</v>
      </c>
      <c r="E11" s="2" t="s">
        <v>53</v>
      </c>
      <c r="F11" s="11" t="s">
        <v>81</v>
      </c>
      <c r="G11" t="s">
        <v>39</v>
      </c>
      <c r="H11" t="s">
        <v>82</v>
      </c>
      <c r="I11" t="s">
        <v>83</v>
      </c>
      <c r="J11" s="6" t="str">
        <f>HYPERLINK("https://www.biovista.com/db/link/%5B%5B%22Disease%7CCongenital%20Myasthenic%20Syndrome%22%5D,%20%5B%22Drug%7CDopamine%22%5D%5D?strength-weight-map=%257B%2522MEDLINE_STRENGTH_AB%2522:1.0,%2522HPO%2522:100.0%257D", "Show Evidence...")</f>
        <v>Show Evidence...</v>
      </c>
    </row>
    <row r="12" spans="1:10" ht="12.75">
      <c r="A12" s="2" t="s">
        <v>50</v>
      </c>
      <c r="B12" s="2" t="s">
        <v>51</v>
      </c>
      <c r="C12" s="2" t="s">
        <v>24</v>
      </c>
      <c r="D12" s="2" t="s">
        <v>52</v>
      </c>
      <c r="E12" s="2" t="s">
        <v>53</v>
      </c>
      <c r="F12" s="11" t="s">
        <v>84</v>
      </c>
      <c r="G12" t="s">
        <v>39</v>
      </c>
      <c r="H12" t="s">
        <v>85</v>
      </c>
      <c r="I12" t="s">
        <v>86</v>
      </c>
      <c r="J12" s="6" t="str">
        <f>HYPERLINK("https://www.biovista.com/db/link/%5B%5B%22Disease%7CCongenital%20Myasthenic%20Syndrome%22%5D,%20%5B%22Drug%7CEphedrine%22%5D%5D?strength-weight-map=%257B%2522MEDLINE_STRENGTH_AB%2522:1.0,%2522HPO%2522:100.0%257D", "Show Evidence...")</f>
        <v>Show Evidence...</v>
      </c>
    </row>
    <row r="13" spans="1:10" ht="12.75">
      <c r="A13" s="2" t="s">
        <v>50</v>
      </c>
      <c r="B13" s="2" t="s">
        <v>51</v>
      </c>
      <c r="C13" s="2" t="s">
        <v>24</v>
      </c>
      <c r="D13" s="2" t="s">
        <v>52</v>
      </c>
      <c r="E13" s="2" t="s">
        <v>53</v>
      </c>
      <c r="F13" s="11" t="s">
        <v>87</v>
      </c>
      <c r="G13" t="s">
        <v>39</v>
      </c>
      <c r="H13" t="s">
        <v>88</v>
      </c>
      <c r="I13" t="s">
        <v>89</v>
      </c>
      <c r="J13" s="6" t="str">
        <f>HYPERLINK("https://www.biovista.com/db/link/%5B%5B%22Disease%7CCongenital%20Myasthenic%20Syndrome%22%5D,%20%5B%22Drug%7CAmifampridine%22%5D%5D?strength-weight-map=%257B%2522MEDLINE_STRENGTH_AB%2522:1.0,%2522HPO%2522:100.0%257D", "Show Evidence...")</f>
        <v>Show Evidence...</v>
      </c>
    </row>
    <row r="14" spans="1:10" ht="12.75">
      <c r="A14" s="2" t="s">
        <v>50</v>
      </c>
      <c r="B14" s="2" t="s">
        <v>51</v>
      </c>
      <c r="C14" s="2" t="s">
        <v>24</v>
      </c>
      <c r="D14" s="2" t="s">
        <v>52</v>
      </c>
      <c r="E14" s="2" t="s">
        <v>53</v>
      </c>
      <c r="F14" s="11" t="s">
        <v>90</v>
      </c>
      <c r="G14" t="s">
        <v>39</v>
      </c>
      <c r="H14" t="s">
        <v>91</v>
      </c>
      <c r="I14" t="s">
        <v>92</v>
      </c>
      <c r="J14" s="6" t="str">
        <f>HYPERLINK("https://www.biovista.com/db/link/%5B%5B%22Disease%7CCongenital%20Myasthenic%20Syndrome%22%5D,%20%5B%22Drug%7CSuperoxide%20Dismutase%22%5D%5D?strength-weight-map=%257B%2522MEDLINE_STRENGTH_AB%2522:1.0,%2522HPO%2522:100.0%257D", "Show Evidence...")</f>
        <v>Show Evidence...</v>
      </c>
    </row>
    <row r="15" spans="1:10" ht="12.75">
      <c r="A15" s="2" t="s">
        <v>50</v>
      </c>
      <c r="B15" s="2" t="s">
        <v>51</v>
      </c>
      <c r="C15" s="2" t="s">
        <v>24</v>
      </c>
      <c r="D15" s="2" t="s">
        <v>52</v>
      </c>
      <c r="E15" s="2" t="s">
        <v>53</v>
      </c>
      <c r="F15" s="11" t="s">
        <v>93</v>
      </c>
      <c r="G15" t="s">
        <v>39</v>
      </c>
      <c r="H15" t="s">
        <v>94</v>
      </c>
      <c r="I15" t="s">
        <v>95</v>
      </c>
      <c r="J15" s="6" t="str">
        <f>HYPERLINK("https://www.biovista.com/db/link/%5B%5B%22Disease%7CCongenital%20Myasthenic%20Syndrome%22%5D,%20%5B%22Drug%7CPolymyxins%22%5D%5D?strength-weight-map=%257B%2522MEDLINE_STRENGTH_AB%2522:1.0,%2522HPO%2522:100.0%257D", "Show Evidence...")</f>
        <v>Show Evidence...</v>
      </c>
    </row>
    <row r="16" spans="1:10" ht="12.75">
      <c r="A16" s="2" t="s">
        <v>50</v>
      </c>
      <c r="B16" s="2" t="s">
        <v>51</v>
      </c>
      <c r="C16" s="2" t="s">
        <v>24</v>
      </c>
      <c r="D16" s="2" t="s">
        <v>52</v>
      </c>
      <c r="E16" s="2" t="s">
        <v>53</v>
      </c>
      <c r="F16" s="11" t="s">
        <v>96</v>
      </c>
      <c r="G16" t="s">
        <v>39</v>
      </c>
      <c r="H16" t="s">
        <v>97</v>
      </c>
      <c r="I16" t="s">
        <v>98</v>
      </c>
      <c r="J16" s="6" t="str">
        <f>HYPERLINK("https://www.biovista.com/db/link/%5B%5B%22Disease%7CCongenital%20Myasthenic%20Syndrome%22%5D,%20%5B%22Drug%7CNorepinephrine%22%5D%5D?strength-weight-map=%257B%2522MEDLINE_STRENGTH_AB%2522:1.0,%2522HPO%2522:100.0%257D", "Show Evidence...")</f>
        <v>Show Evidence...</v>
      </c>
    </row>
    <row r="17" spans="1:10" ht="12.75">
      <c r="A17" s="2" t="s">
        <v>50</v>
      </c>
      <c r="B17" s="2" t="s">
        <v>51</v>
      </c>
      <c r="C17" s="2" t="s">
        <v>24</v>
      </c>
      <c r="D17" s="2" t="s">
        <v>52</v>
      </c>
      <c r="E17" s="2" t="s">
        <v>53</v>
      </c>
      <c r="F17" s="11" t="s">
        <v>99</v>
      </c>
      <c r="G17" t="s">
        <v>39</v>
      </c>
      <c r="H17" t="s">
        <v>100</v>
      </c>
      <c r="I17" t="s">
        <v>101</v>
      </c>
      <c r="J17" s="6" t="str">
        <f>HYPERLINK("https://www.biovista.com/db/link/%5B%5B%22Disease%7CCongenital%20Myasthenic%20Syndrome%22%5D,%20%5B%22Drug%7Cgamma-Aminobutyric%20Acid%22%5D%5D?strength-weight-map=%257B%2522MEDLINE_STRENGTH_AB%2522:1.0,%2522HPO%2522:100.0%257D", "Show Evidence...")</f>
        <v>Show Evidence...</v>
      </c>
    </row>
    <row r="18" spans="1:10" ht="12.75">
      <c r="A18" s="2" t="s">
        <v>50</v>
      </c>
      <c r="B18" s="2" t="s">
        <v>51</v>
      </c>
      <c r="C18" s="2" t="s">
        <v>24</v>
      </c>
      <c r="D18" s="2" t="s">
        <v>52</v>
      </c>
      <c r="E18" s="2" t="s">
        <v>53</v>
      </c>
      <c r="F18" s="11" t="s">
        <v>102</v>
      </c>
      <c r="G18" t="s">
        <v>39</v>
      </c>
      <c r="H18" t="s">
        <v>103</v>
      </c>
      <c r="I18" t="s">
        <v>104</v>
      </c>
      <c r="J18" s="6" t="str">
        <f>HYPERLINK("https://www.biovista.com/db/link/%5B%5B%22Disease%7CCongenital%20Myasthenic%20Syndrome%22%5D,%20%5B%22Drug%7CCitalopram%22%5D%5D?strength-weight-map=%257B%2522MEDLINE_STRENGTH_AB%2522:1.0,%2522HPO%2522:100.0%257D", "Show Evidence...")</f>
        <v>Show Evidence...</v>
      </c>
    </row>
    <row r="19" spans="1:10" ht="12.75">
      <c r="A19" s="2" t="s">
        <v>50</v>
      </c>
      <c r="B19" s="2" t="s">
        <v>51</v>
      </c>
      <c r="C19" s="2" t="s">
        <v>24</v>
      </c>
      <c r="D19" s="2" t="s">
        <v>52</v>
      </c>
      <c r="E19" s="2" t="s">
        <v>53</v>
      </c>
      <c r="F19" s="11" t="s">
        <v>105</v>
      </c>
      <c r="G19" t="s">
        <v>39</v>
      </c>
      <c r="H19" t="s">
        <v>106</v>
      </c>
      <c r="I19" t="s">
        <v>107</v>
      </c>
      <c r="J19" s="6" t="str">
        <f>HYPERLINK("https://www.biovista.com/db/link/%5B%5B%22Disease%7CCongenital%20Myasthenic%20Syndrome%22%5D,%20%5B%22Drug%7CEdrophonium%22%5D%5D?strength-weight-map=%257B%2522MEDLINE_STRENGTH_AB%2522:1.0,%2522HPO%2522:100.0%257D", "Show Evidence...")</f>
        <v>Show Evidence...</v>
      </c>
    </row>
    <row r="20" spans="1:10" ht="12.75">
      <c r="A20" s="2" t="s">
        <v>50</v>
      </c>
      <c r="B20" s="2" t="s">
        <v>51</v>
      </c>
      <c r="C20" s="2" t="s">
        <v>24</v>
      </c>
      <c r="D20" s="2" t="s">
        <v>52</v>
      </c>
      <c r="E20" s="2" t="s">
        <v>53</v>
      </c>
      <c r="F20" s="11" t="s">
        <v>108</v>
      </c>
      <c r="G20" t="s">
        <v>39</v>
      </c>
      <c r="H20" t="s">
        <v>109</v>
      </c>
      <c r="I20" t="s">
        <v>107</v>
      </c>
      <c r="J20" s="6" t="str">
        <f>HYPERLINK("https://www.biovista.com/db/link/%5B%5B%22Disease%7CCongenital%20Myasthenic%20Syndrome%22%5D,%20%5B%22Drug%7CNitric%20Oxide%22%5D%5D?strength-weight-map=%257B%2522MEDLINE_STRENGTH_AB%2522:1.0,%2522HPO%2522:100.0%257D", "Show Evidence...")</f>
        <v>Show Evidence...</v>
      </c>
    </row>
    <row r="21" spans="1:10" ht="12.75">
      <c r="A21" s="2" t="s">
        <v>50</v>
      </c>
      <c r="B21" s="2" t="s">
        <v>51</v>
      </c>
      <c r="C21" s="2" t="s">
        <v>24</v>
      </c>
      <c r="D21" s="2" t="s">
        <v>52</v>
      </c>
      <c r="E21" s="2" t="s">
        <v>53</v>
      </c>
      <c r="F21" s="11" t="s">
        <v>110</v>
      </c>
      <c r="G21" t="s">
        <v>39</v>
      </c>
      <c r="H21" t="s">
        <v>111</v>
      </c>
      <c r="I21" t="s">
        <v>112</v>
      </c>
      <c r="J21" s="6" t="str">
        <f>HYPERLINK("https://www.biovista.com/db/link/%5B%5B%22Disease%7CCongenital%20Myasthenic%20Syndrome%22%5D,%20%5B%22Drug%7CAdrenocorticotropic%20Hormone%22%5D%5D?strength-weight-map=%257B%2522MEDLINE_STRENGTH_AB%2522:1.0,%2522HPO%2522:100.0%257D", "Show Evidence...")</f>
        <v>Show Evidence...</v>
      </c>
    </row>
    <row r="22" spans="1:10" ht="12.75">
      <c r="A22" s="2" t="s">
        <v>50</v>
      </c>
      <c r="B22" s="2" t="s">
        <v>51</v>
      </c>
      <c r="C22" s="2" t="s">
        <v>24</v>
      </c>
      <c r="D22" s="2" t="s">
        <v>52</v>
      </c>
      <c r="E22" s="2" t="s">
        <v>53</v>
      </c>
      <c r="F22" s="11" t="s">
        <v>113</v>
      </c>
      <c r="G22" t="s">
        <v>39</v>
      </c>
      <c r="H22" t="s">
        <v>114</v>
      </c>
      <c r="I22" t="s">
        <v>112</v>
      </c>
      <c r="J22" s="6" t="str">
        <f>HYPERLINK("https://www.biovista.com/db/link/%5B%5B%22Disease%7CCongenital%20Myasthenic%20Syndrome%22%5D,%20%5B%22Drug%7CChitosan%22%5D%5D?strength-weight-map=%257B%2522MEDLINE_STRENGTH_AB%2522:1.0,%2522HPO%2522:100.0%257D", "Show Evidence...")</f>
        <v>Show Evidence...</v>
      </c>
    </row>
    <row r="23" spans="1:10" ht="12.75">
      <c r="A23" s="2" t="s">
        <v>50</v>
      </c>
      <c r="B23" s="2" t="s">
        <v>51</v>
      </c>
      <c r="C23" s="2" t="s">
        <v>24</v>
      </c>
      <c r="D23" s="2" t="s">
        <v>52</v>
      </c>
      <c r="E23" s="2" t="s">
        <v>53</v>
      </c>
      <c r="F23" s="11" t="s">
        <v>115</v>
      </c>
      <c r="G23" t="s">
        <v>39</v>
      </c>
      <c r="H23" t="s">
        <v>116</v>
      </c>
      <c r="I23" t="s">
        <v>112</v>
      </c>
      <c r="J23" s="6" t="str">
        <f>HYPERLINK("https://www.biovista.com/db/link/%5B%5B%22Disease%7CCongenital%20Myasthenic%20Syndrome%22%5D,%20%5B%22Drug%7CVenlafaxine%20Hydrochloride%22%5D%5D?strength-weight-map=%257B%2522MEDLINE_STRENGTH_AB%2522:1.0,%2522HPO%2522:100.0%257D", "Show Evidence...")</f>
        <v>Show Evidence...</v>
      </c>
    </row>
    <row r="24" spans="1:10" ht="12.75">
      <c r="A24" s="2" t="s">
        <v>50</v>
      </c>
      <c r="B24" s="2" t="s">
        <v>51</v>
      </c>
      <c r="C24" s="2" t="s">
        <v>24</v>
      </c>
      <c r="D24" s="2" t="s">
        <v>52</v>
      </c>
      <c r="E24" s="2" t="s">
        <v>53</v>
      </c>
      <c r="F24" s="11" t="s">
        <v>117</v>
      </c>
      <c r="G24" t="s">
        <v>39</v>
      </c>
      <c r="H24" t="s">
        <v>118</v>
      </c>
      <c r="I24" t="s">
        <v>119</v>
      </c>
      <c r="J24" s="6" t="str">
        <f>HYPERLINK("https://www.biovista.com/db/link/%5B%5B%22Disease%7CCongenital%20Myasthenic%20Syndrome%22%5D,%20%5B%22Drug%7CHydrogen%20Peroxide%22%5D%5D?strength-weight-map=%257B%2522MEDLINE_STRENGTH_AB%2522:1.0,%2522HPO%2522:100.0%257D", "Show Evidence...")</f>
        <v>Show Evidence...</v>
      </c>
    </row>
    <row r="25" spans="1:10" ht="12.75">
      <c r="A25" s="2" t="s">
        <v>50</v>
      </c>
      <c r="B25" s="2" t="s">
        <v>51</v>
      </c>
      <c r="C25" s="2" t="s">
        <v>24</v>
      </c>
      <c r="D25" s="2" t="s">
        <v>52</v>
      </c>
      <c r="E25" s="2" t="s">
        <v>53</v>
      </c>
      <c r="F25" s="11" t="s">
        <v>120</v>
      </c>
      <c r="G25" t="s">
        <v>39</v>
      </c>
      <c r="H25" t="s">
        <v>121</v>
      </c>
      <c r="I25" t="s">
        <v>122</v>
      </c>
      <c r="J25" s="6" t="str">
        <f>HYPERLINK("https://www.biovista.com/db/link/%5B%5B%22Disease%7CCongenital%20Myasthenic%20Syndrome%22%5D,%20%5B%22Drug%7CCorticotropin-Releasing%20Hormone%22%5D%5D?strength-weight-map=%257B%2522MEDLINE_STRENGTH_AB%2522:1.0,%2522HPO%2522:100.0%257D", "Show Evidence...")</f>
        <v>Show Evidence...</v>
      </c>
    </row>
    <row r="26" spans="1:10" ht="12.75">
      <c r="A26" s="2" t="s">
        <v>50</v>
      </c>
      <c r="B26" s="2" t="s">
        <v>51</v>
      </c>
      <c r="C26" s="2" t="s">
        <v>24</v>
      </c>
      <c r="D26" s="2" t="s">
        <v>52</v>
      </c>
      <c r="E26" s="2" t="s">
        <v>53</v>
      </c>
      <c r="F26" s="11" t="s">
        <v>123</v>
      </c>
      <c r="G26" t="s">
        <v>39</v>
      </c>
      <c r="H26" t="s">
        <v>124</v>
      </c>
      <c r="I26" t="s">
        <v>122</v>
      </c>
      <c r="J26" s="6" t="str">
        <f>HYPERLINK("https://www.biovista.com/db/link/%5B%5B%22Disease%7CCongenital%20Myasthenic%20Syndrome%22%5D,%20%5B%22Drug%7CKetamine%22%5D%5D?strength-weight-map=%257B%2522MEDLINE_STRENGTH_AB%2522:1.0,%2522HPO%2522:100.0%257D", "Show Evidence...")</f>
        <v>Show Evidence...</v>
      </c>
    </row>
    <row r="27" spans="1:10" ht="12.75">
      <c r="A27" s="2" t="s">
        <v>50</v>
      </c>
      <c r="B27" s="2" t="s">
        <v>51</v>
      </c>
      <c r="C27" s="2" t="s">
        <v>24</v>
      </c>
      <c r="D27" s="2" t="s">
        <v>52</v>
      </c>
      <c r="E27" s="2" t="s">
        <v>53</v>
      </c>
      <c r="F27" s="11" t="s">
        <v>125</v>
      </c>
      <c r="G27" t="s">
        <v>39</v>
      </c>
      <c r="H27" t="s">
        <v>126</v>
      </c>
      <c r="I27" t="s">
        <v>127</v>
      </c>
      <c r="J27" s="6" t="str">
        <f>HYPERLINK("https://www.biovista.com/db/link/%5B%5B%22Disease%7CCongenital%20Myasthenic%20Syndrome%22%5D,%20%5B%22Drug%7CHydrocortisone%22%5D%5D?strength-weight-map=%257B%2522MEDLINE_STRENGTH_AB%2522:1.0,%2522HPO%2522:100.0%257D", "Show Evidence...")</f>
        <v>Show Evidence...</v>
      </c>
    </row>
    <row r="28" spans="1:10" ht="12.75">
      <c r="A28" s="2" t="s">
        <v>50</v>
      </c>
      <c r="B28" s="2" t="s">
        <v>51</v>
      </c>
      <c r="C28" s="2" t="s">
        <v>24</v>
      </c>
      <c r="D28" s="2" t="s">
        <v>52</v>
      </c>
      <c r="E28" s="2" t="s">
        <v>53</v>
      </c>
      <c r="F28" s="11" t="s">
        <v>128</v>
      </c>
      <c r="G28" t="s">
        <v>39</v>
      </c>
      <c r="H28" t="s">
        <v>129</v>
      </c>
      <c r="I28" t="s">
        <v>130</v>
      </c>
      <c r="J28" s="6" t="str">
        <f>HYPERLINK("https://www.biovista.com/db/link/%5B%5B%22Disease%7CCongenital%20Myasthenic%20Syndrome%22%5D,%20%5B%22Drug%7CDexamethasone%22%5D%5D?strength-weight-map=%257B%2522MEDLINE_STRENGTH_AB%2522:1.0,%2522HPO%2522:100.0%257D", "Show Evidence...")</f>
        <v>Show Evidence...</v>
      </c>
    </row>
    <row r="29" spans="1:10" ht="12.75">
      <c r="A29" s="2" t="s">
        <v>50</v>
      </c>
      <c r="B29" s="2" t="s">
        <v>51</v>
      </c>
      <c r="C29" s="2" t="s">
        <v>24</v>
      </c>
      <c r="D29" s="2" t="s">
        <v>52</v>
      </c>
      <c r="E29" s="2" t="s">
        <v>53</v>
      </c>
      <c r="F29" s="11" t="s">
        <v>131</v>
      </c>
      <c r="G29" t="s">
        <v>39</v>
      </c>
      <c r="H29" t="s">
        <v>132</v>
      </c>
      <c r="I29" t="s">
        <v>130</v>
      </c>
      <c r="J29" s="6" t="str">
        <f>HYPERLINK("https://www.biovista.com/db/link/%5B%5B%22Disease%7CCongenital%20Myasthenic%20Syndrome%22%5D,%20%5B%22Drug%7CEscitalopram%22%5D%5D?strength-weight-map=%257B%2522MEDLINE_STRENGTH_AB%2522:1.0,%2522HPO%2522:100.0%257D", "Show Evidence...")</f>
        <v>Show Evidence...</v>
      </c>
    </row>
    <row r="30" spans="1:10" ht="12.75">
      <c r="A30" s="2" t="s">
        <v>50</v>
      </c>
      <c r="B30" s="2" t="s">
        <v>51</v>
      </c>
      <c r="C30" s="2" t="s">
        <v>24</v>
      </c>
      <c r="D30" s="2" t="s">
        <v>52</v>
      </c>
      <c r="E30" s="2" t="s">
        <v>53</v>
      </c>
      <c r="F30" s="11" t="s">
        <v>133</v>
      </c>
      <c r="G30" t="s">
        <v>39</v>
      </c>
      <c r="H30" t="s">
        <v>134</v>
      </c>
      <c r="I30" t="s">
        <v>130</v>
      </c>
      <c r="J30" s="6" t="str">
        <f>HYPERLINK("https://www.biovista.com/db/link/%5B%5B%22Disease%7CCongenital%20Myasthenic%20Syndrome%22%5D,%20%5B%22Drug%7CQuinidine%22%5D%5D?strength-weight-map=%257B%2522MEDLINE_STRENGTH_AB%2522:1.0,%2522HPO%2522:100.0%257D", "Show Evidence...")</f>
        <v>Show Evidence...</v>
      </c>
    </row>
    <row r="31" spans="1:10" ht="12.75">
      <c r="A31" s="2" t="s">
        <v>50</v>
      </c>
      <c r="B31" s="2" t="s">
        <v>51</v>
      </c>
      <c r="C31" s="2" t="s">
        <v>24</v>
      </c>
      <c r="D31" s="2" t="s">
        <v>52</v>
      </c>
      <c r="E31" s="2" t="s">
        <v>53</v>
      </c>
      <c r="F31" s="11" t="s">
        <v>135</v>
      </c>
      <c r="G31" t="s">
        <v>39</v>
      </c>
      <c r="H31" t="s">
        <v>136</v>
      </c>
      <c r="I31" t="s">
        <v>137</v>
      </c>
      <c r="J31" s="6" t="str">
        <f>HYPERLINK("https://www.biovista.com/db/link/%5B%5B%22Disease%7CCongenital%20Myasthenic%20Syndrome%22%5D,%20%5B%22Drug%7C4-Aminopyridine%22%5D%5D?strength-weight-map=%257B%2522MEDLINE_STRENGTH_AB%2522:1.0,%2522HPO%2522:100.0%257D", "Show Evidence...")</f>
        <v>Show Evidence...</v>
      </c>
    </row>
    <row r="32" spans="1:10" ht="12.75">
      <c r="A32" s="2" t="s">
        <v>50</v>
      </c>
      <c r="B32" s="2" t="s">
        <v>51</v>
      </c>
      <c r="C32" s="2" t="s">
        <v>24</v>
      </c>
      <c r="D32" s="2" t="s">
        <v>52</v>
      </c>
      <c r="E32" s="2" t="s">
        <v>53</v>
      </c>
      <c r="F32" s="11" t="s">
        <v>138</v>
      </c>
      <c r="G32" t="s">
        <v>39</v>
      </c>
      <c r="H32" t="s">
        <v>139</v>
      </c>
      <c r="I32" t="s">
        <v>137</v>
      </c>
      <c r="J32" s="6" t="str">
        <f>HYPERLINK("https://www.biovista.com/db/link/%5B%5B%22Disease%7CCongenital%20Myasthenic%20Syndrome%22%5D,%20%5B%22Drug%7CLactic%20Acid%22%5D%5D?strength-weight-map=%257B%2522MEDLINE_STRENGTH_AB%2522:1.0,%2522HPO%2522:100.0%257D", "Show Evidence...")</f>
        <v>Show Evidence...</v>
      </c>
    </row>
    <row r="33" spans="1:10" ht="12.75">
      <c r="A33" s="2" t="s">
        <v>50</v>
      </c>
      <c r="B33" s="2" t="s">
        <v>51</v>
      </c>
      <c r="C33" s="2" t="s">
        <v>24</v>
      </c>
      <c r="D33" s="2" t="s">
        <v>52</v>
      </c>
      <c r="E33" s="2" t="s">
        <v>53</v>
      </c>
      <c r="F33" s="11" t="s">
        <v>140</v>
      </c>
      <c r="G33" t="s">
        <v>39</v>
      </c>
      <c r="H33" t="s">
        <v>141</v>
      </c>
      <c r="I33" t="s">
        <v>137</v>
      </c>
      <c r="J33" s="6" t="str">
        <f>HYPERLINK("https://www.biovista.com/db/link/%5B%5B%22Disease%7CCongenital%20Myasthenic%20Syndrome%22%5D,%20%5B%22Drug%7CNeostigmine%22%5D%5D?strength-weight-map=%257B%2522MEDLINE_STRENGTH_AB%2522:1.0,%2522HPO%2522:100.0%257D", "Show Evidence...")</f>
        <v>Show Evidence...</v>
      </c>
    </row>
    <row r="34" spans="1:10" ht="12.75">
      <c r="A34" s="2" t="s">
        <v>50</v>
      </c>
      <c r="B34" s="2" t="s">
        <v>51</v>
      </c>
      <c r="C34" s="2" t="s">
        <v>24</v>
      </c>
      <c r="D34" s="2" t="s">
        <v>52</v>
      </c>
      <c r="E34" s="2" t="s">
        <v>53</v>
      </c>
      <c r="F34" s="11" t="s">
        <v>142</v>
      </c>
      <c r="G34" t="s">
        <v>39</v>
      </c>
      <c r="H34" t="s">
        <v>143</v>
      </c>
      <c r="I34" t="s">
        <v>137</v>
      </c>
      <c r="J34" s="6" t="str">
        <f>HYPERLINK("https://www.biovista.com/db/link/%5B%5B%22Disease%7CCongenital%20Myasthenic%20Syndrome%22%5D,%20%5B%22Drug%7CPolymyxin%20B%22%5D%5D?strength-weight-map=%257B%2522MEDLINE_STRENGTH_AB%2522:1.0,%2522HPO%2522:100.0%257D", "Show Evidence...")</f>
        <v>Show Evidence...</v>
      </c>
    </row>
    <row r="35" spans="1:10" ht="12.75">
      <c r="A35" s="2" t="s">
        <v>50</v>
      </c>
      <c r="B35" s="2" t="s">
        <v>51</v>
      </c>
      <c r="C35" s="2" t="s">
        <v>24</v>
      </c>
      <c r="D35" s="2" t="s">
        <v>52</v>
      </c>
      <c r="E35" s="2" t="s">
        <v>53</v>
      </c>
      <c r="F35" s="11" t="s">
        <v>144</v>
      </c>
      <c r="G35" t="s">
        <v>39</v>
      </c>
      <c r="H35" t="s">
        <v>145</v>
      </c>
      <c r="I35" t="s">
        <v>146</v>
      </c>
      <c r="J35" s="6" t="str">
        <f>HYPERLINK("https://www.biovista.com/db/link/%5B%5B%22Disease%7CCongenital%20Myasthenic%20Syndrome%22%5D,%20%5B%22Drug%7CInfluenza%20Vaccines%22%5D%5D?strength-weight-map=%257B%2522MEDLINE_STRENGTH_AB%2522:1.0,%2522HPO%2522:100.0%257D", "Show Evidence...")</f>
        <v>Show Evidence...</v>
      </c>
    </row>
    <row r="36" spans="1:10" ht="12.75">
      <c r="A36" s="2" t="s">
        <v>50</v>
      </c>
      <c r="B36" s="2" t="s">
        <v>51</v>
      </c>
      <c r="C36" s="2" t="s">
        <v>24</v>
      </c>
      <c r="D36" s="2" t="s">
        <v>52</v>
      </c>
      <c r="E36" s="2" t="s">
        <v>53</v>
      </c>
      <c r="F36" s="11" t="s">
        <v>147</v>
      </c>
      <c r="G36" t="s">
        <v>39</v>
      </c>
      <c r="H36" t="s">
        <v>148</v>
      </c>
      <c r="I36" t="s">
        <v>146</v>
      </c>
      <c r="J36" s="6" t="str">
        <f>HYPERLINK("https://www.biovista.com/db/link/%5B%5B%22Disease%7CCongenital%20Myasthenic%20Syndrome%22%5D,%20%5B%22Drug%7CN-Methylaspartate%22%5D%5D?strength-weight-map=%257B%2522MEDLINE_STRENGTH_AB%2522:1.0,%2522HPO%2522:100.0%257D", "Show Evidence...")</f>
        <v>Show Evidence...</v>
      </c>
    </row>
    <row r="37" spans="1:10" ht="12.75">
      <c r="A37" s="2" t="s">
        <v>50</v>
      </c>
      <c r="B37" s="2" t="s">
        <v>51</v>
      </c>
      <c r="C37" s="2" t="s">
        <v>24</v>
      </c>
      <c r="D37" s="2" t="s">
        <v>52</v>
      </c>
      <c r="E37" s="2" t="s">
        <v>53</v>
      </c>
      <c r="F37" s="11" t="s">
        <v>149</v>
      </c>
      <c r="G37" t="s">
        <v>39</v>
      </c>
      <c r="H37" t="s">
        <v>150</v>
      </c>
      <c r="I37" t="s">
        <v>151</v>
      </c>
      <c r="J37" s="6" t="str">
        <f>HYPERLINK("https://www.biovista.com/db/link/%5B%5B%22Disease%7CCongenital%20Myasthenic%20Syndrome%22%5D,%20%5B%22Drug%7CBromodeoxyuridine%22%5D%5D?strength-weight-map=%257B%2522MEDLINE_STRENGTH_AB%2522:1.0,%2522HPO%2522:100.0%257D", "Show Evidence...")</f>
        <v>Show Evidence...</v>
      </c>
    </row>
    <row r="38" spans="1:10" ht="12.75">
      <c r="A38" s="2" t="s">
        <v>50</v>
      </c>
      <c r="B38" s="2" t="s">
        <v>51</v>
      </c>
      <c r="C38" s="2" t="s">
        <v>24</v>
      </c>
      <c r="D38" s="2" t="s">
        <v>52</v>
      </c>
      <c r="E38" s="2" t="s">
        <v>53</v>
      </c>
      <c r="F38" s="11" t="s">
        <v>152</v>
      </c>
      <c r="G38" t="s">
        <v>39</v>
      </c>
      <c r="H38" t="s">
        <v>153</v>
      </c>
      <c r="I38" t="s">
        <v>154</v>
      </c>
      <c r="J38" s="6" t="str">
        <f>HYPERLINK("https://www.biovista.com/db/link/%5B%5B%22Disease%7CCongenital%20Myasthenic%20Syndrome%22%5D,%20%5B%22Drug%7CTryptophan%22%5D%5D?strength-weight-map=%257B%2522MEDLINE_STRENGTH_AB%2522:1.0,%2522HPO%2522:100.0%257D", "Show Evidence...")</f>
        <v>Show Evidence...</v>
      </c>
    </row>
    <row r="39" spans="1:10" ht="12.75">
      <c r="A39" s="2" t="s">
        <v>50</v>
      </c>
      <c r="B39" s="2" t="s">
        <v>51</v>
      </c>
      <c r="C39" s="2" t="s">
        <v>24</v>
      </c>
      <c r="D39" s="2" t="s">
        <v>52</v>
      </c>
      <c r="E39" s="2" t="s">
        <v>53</v>
      </c>
      <c r="F39" s="11" t="s">
        <v>155</v>
      </c>
      <c r="G39" t="s">
        <v>39</v>
      </c>
      <c r="H39" t="s">
        <v>156</v>
      </c>
      <c r="I39" t="s">
        <v>157</v>
      </c>
      <c r="J39" s="6" t="str">
        <f>HYPERLINK("https://www.biovista.com/db/link/%5B%5B%22Disease%7CCongenital%20Myasthenic%20Syndrome%22%5D,%20%5B%22Drug%7CCholine%22%5D%5D?strength-weight-map=%257B%2522MEDLINE_STRENGTH_AB%2522:1.0,%2522HPO%2522:100.0%257D", "Show Evidence...")</f>
        <v>Show Evidence...</v>
      </c>
    </row>
    <row r="40" spans="1:10" ht="12.75">
      <c r="A40" s="2" t="s">
        <v>50</v>
      </c>
      <c r="B40" s="2" t="s">
        <v>51</v>
      </c>
      <c r="C40" s="2" t="s">
        <v>24</v>
      </c>
      <c r="D40" s="2" t="s">
        <v>52</v>
      </c>
      <c r="E40" s="2" t="s">
        <v>53</v>
      </c>
      <c r="F40" s="11" t="s">
        <v>158</v>
      </c>
      <c r="G40" t="s">
        <v>39</v>
      </c>
      <c r="H40" t="s">
        <v>159</v>
      </c>
      <c r="I40" t="s">
        <v>157</v>
      </c>
      <c r="J40" s="6" t="str">
        <f>HYPERLINK("https://www.biovista.com/db/link/%5B%5B%22Disease%7CCongenital%20Myasthenic%20Syndrome%22%5D,%20%5B%22Drug%7CFluorouracil%22%5D%5D?strength-weight-map=%257B%2522MEDLINE_STRENGTH_AB%2522:1.0,%2522HPO%2522:100.0%257D", "Show Evidence...")</f>
        <v>Show Evidence...</v>
      </c>
    </row>
    <row r="41" spans="1:10" ht="12.75">
      <c r="A41" s="2" t="s">
        <v>50</v>
      </c>
      <c r="B41" s="2" t="s">
        <v>51</v>
      </c>
      <c r="C41" s="2" t="s">
        <v>24</v>
      </c>
      <c r="D41" s="2" t="s">
        <v>52</v>
      </c>
      <c r="E41" s="2" t="s">
        <v>53</v>
      </c>
      <c r="F41" s="11" t="s">
        <v>160</v>
      </c>
      <c r="G41" t="s">
        <v>39</v>
      </c>
      <c r="H41" t="s">
        <v>161</v>
      </c>
      <c r="I41" t="s">
        <v>162</v>
      </c>
      <c r="J41" s="6" t="str">
        <f>HYPERLINK("https://www.biovista.com/db/link/%5B%5B%22Disease%7CCongenital%20Myasthenic%20Syndrome%22%5D,%20%5B%22Drug%7CTestosterone%22%5D%5D?strength-weight-map=%257B%2522MEDLINE_STRENGTH_AB%2522:1.0,%2522HPO%2522:100.0%257D", "Show Evidence...")</f>
        <v>Show Evidence...</v>
      </c>
    </row>
    <row r="42" spans="1:10" ht="12.75">
      <c r="A42" s="2" t="s">
        <v>50</v>
      </c>
      <c r="B42" s="2" t="s">
        <v>51</v>
      </c>
      <c r="C42" s="2" t="s">
        <v>24</v>
      </c>
      <c r="D42" s="2" t="s">
        <v>52</v>
      </c>
      <c r="E42" s="2" t="s">
        <v>53</v>
      </c>
      <c r="F42" s="11" t="s">
        <v>163</v>
      </c>
      <c r="G42" t="s">
        <v>39</v>
      </c>
      <c r="H42" t="s">
        <v>164</v>
      </c>
      <c r="I42" t="s">
        <v>165</v>
      </c>
      <c r="J42" s="6" t="str">
        <f>HYPERLINK("https://www.biovista.com/db/link/%5B%5B%22Disease%7CCongenital%20Myasthenic%20Syndrome%22%5D,%20%5B%22Drug%7CBevacizumab%22%5D%5D?strength-weight-map=%257B%2522MEDLINE_STRENGTH_AB%2522:1.0,%2522HPO%2522:100.0%257D", "Show Evidence...")</f>
        <v>Show Evidence...</v>
      </c>
    </row>
    <row r="43" spans="1:10" ht="12.75">
      <c r="A43" s="2" t="s">
        <v>50</v>
      </c>
      <c r="B43" s="2" t="s">
        <v>51</v>
      </c>
      <c r="C43" s="2" t="s">
        <v>24</v>
      </c>
      <c r="D43" s="2" t="s">
        <v>52</v>
      </c>
      <c r="E43" s="2" t="s">
        <v>53</v>
      </c>
      <c r="F43" s="11" t="s">
        <v>166</v>
      </c>
      <c r="G43" t="s">
        <v>39</v>
      </c>
      <c r="H43" t="s">
        <v>167</v>
      </c>
      <c r="I43" t="s">
        <v>165</v>
      </c>
      <c r="J43" s="6" t="str">
        <f>HYPERLINK("https://www.biovista.com/db/link/%5B%5B%22Disease%7CCongenital%20Myasthenic%20Syndrome%22%5D,%20%5B%22Drug%7CNicotine%22%5D%5D?strength-weight-map=%257B%2522MEDLINE_STRENGTH_AB%2522:1.0,%2522HPO%2522:100.0%257D", "Show Evidence...")</f>
        <v>Show Evidence...</v>
      </c>
    </row>
    <row r="44" spans="1:10" ht="12.75">
      <c r="A44" s="2" t="s">
        <v>50</v>
      </c>
      <c r="B44" s="2" t="s">
        <v>51</v>
      </c>
      <c r="C44" s="2" t="s">
        <v>24</v>
      </c>
      <c r="D44" s="2" t="s">
        <v>52</v>
      </c>
      <c r="E44" s="2" t="s">
        <v>53</v>
      </c>
      <c r="F44" s="11" t="s">
        <v>168</v>
      </c>
      <c r="G44" t="s">
        <v>39</v>
      </c>
      <c r="H44" t="s">
        <v>169</v>
      </c>
      <c r="I44" t="s">
        <v>170</v>
      </c>
      <c r="J44" s="6" t="str">
        <f>HYPERLINK("https://www.biovista.com/db/link/%5B%5B%22Disease%7CCongenital%20Myasthenic%20Syndrome%22%5D,%20%5B%22Drug%7CAcetazolamide%22%5D%5D?strength-weight-map=%257B%2522MEDLINE_STRENGTH_AB%2522:1.0,%2522HPO%2522:100.0%257D", "Show Evidence...")</f>
        <v>Show Evidence...</v>
      </c>
    </row>
    <row r="45" spans="1:10" ht="12.75">
      <c r="A45" s="2" t="s">
        <v>50</v>
      </c>
      <c r="B45" s="2" t="s">
        <v>51</v>
      </c>
      <c r="C45" s="2" t="s">
        <v>24</v>
      </c>
      <c r="D45" s="2" t="s">
        <v>52</v>
      </c>
      <c r="E45" s="2" t="s">
        <v>53</v>
      </c>
      <c r="F45" s="11" t="s">
        <v>171</v>
      </c>
      <c r="G45" t="s">
        <v>39</v>
      </c>
      <c r="H45" t="s">
        <v>172</v>
      </c>
      <c r="I45" t="s">
        <v>170</v>
      </c>
      <c r="J45" s="6" t="str">
        <f>HYPERLINK("https://www.biovista.com/db/link/%5B%5B%22Disease%7CCongenital%20Myasthenic%20Syndrome%22%5D,%20%5B%22Drug%7CEstradiol%22%5D%5D?strength-weight-map=%257B%2522MEDLINE_STRENGTH_AB%2522:1.0,%2522HPO%2522:100.0%257D", "Show Evidence...")</f>
        <v>Show Evidence...</v>
      </c>
    </row>
    <row r="46" spans="1:10" ht="12.75">
      <c r="A46" s="2" t="s">
        <v>50</v>
      </c>
      <c r="B46" s="2" t="s">
        <v>51</v>
      </c>
      <c r="C46" s="2" t="s">
        <v>24</v>
      </c>
      <c r="D46" s="2" t="s">
        <v>52</v>
      </c>
      <c r="E46" s="2" t="s">
        <v>53</v>
      </c>
      <c r="F46" s="11" t="s">
        <v>173</v>
      </c>
      <c r="G46" t="s">
        <v>39</v>
      </c>
      <c r="H46" t="s">
        <v>174</v>
      </c>
      <c r="I46" t="s">
        <v>170</v>
      </c>
      <c r="J46" s="6" t="str">
        <f>HYPERLINK("https://www.biovista.com/db/link/%5B%5B%22Disease%7CCongenital%20Myasthenic%20Syndrome%22%5D,%20%5B%22Drug%7COxaliplatin%22%5D%5D?strength-weight-map=%257B%2522MEDLINE_STRENGTH_AB%2522:1.0,%2522HPO%2522:100.0%257D", "Show Evidence...")</f>
        <v>Show Evidence...</v>
      </c>
    </row>
    <row r="47" spans="1:10" ht="12.75">
      <c r="A47" s="2" t="s">
        <v>50</v>
      </c>
      <c r="B47" s="2" t="s">
        <v>51</v>
      </c>
      <c r="C47" s="2" t="s">
        <v>24</v>
      </c>
      <c r="D47" s="2" t="s">
        <v>52</v>
      </c>
      <c r="E47" s="2" t="s">
        <v>53</v>
      </c>
      <c r="F47" s="11" t="s">
        <v>175</v>
      </c>
      <c r="G47" t="s">
        <v>39</v>
      </c>
      <c r="H47" t="s">
        <v>176</v>
      </c>
      <c r="I47" t="s">
        <v>177</v>
      </c>
      <c r="J47" s="6" t="str">
        <f>HYPERLINK("https://www.biovista.com/db/link/%5B%5B%22Disease%7CCongenital%20Myasthenic%20Syndrome%22%5D,%20%5B%22Drug%7CCarboxymethylcellulose%20Sodium%22%5D%5D?strength-weight-map=%257B%2522MEDLINE_STRENGTH_AB%2522:1.0,%2522HPO%2522:100.0%257D", "Show Evidence...")</f>
        <v>Show Evidence...</v>
      </c>
    </row>
    <row r="48" spans="1:10" ht="12.75">
      <c r="A48" s="2" t="s">
        <v>50</v>
      </c>
      <c r="B48" s="2" t="s">
        <v>51</v>
      </c>
      <c r="C48" s="2" t="s">
        <v>24</v>
      </c>
      <c r="D48" s="2" t="s">
        <v>52</v>
      </c>
      <c r="E48" s="2" t="s">
        <v>53</v>
      </c>
      <c r="F48" s="11" t="s">
        <v>178</v>
      </c>
      <c r="G48" t="s">
        <v>39</v>
      </c>
      <c r="H48" t="s">
        <v>179</v>
      </c>
      <c r="I48" t="s">
        <v>177</v>
      </c>
      <c r="J48" s="6" t="str">
        <f>HYPERLINK("https://www.biovista.com/db/link/%5B%5B%22Disease%7CCongenital%20Myasthenic%20Syndrome%22%5D,%20%5B%22Drug%7CEpinephrine%22%5D%5D?strength-weight-map=%257B%2522MEDLINE_STRENGTH_AB%2522:1.0,%2522HPO%2522:100.0%257D", "Show Evidence...")</f>
        <v>Show Evidence...</v>
      </c>
    </row>
    <row r="49" spans="1:10" ht="12.75">
      <c r="A49" s="2" t="s">
        <v>50</v>
      </c>
      <c r="B49" s="2" t="s">
        <v>51</v>
      </c>
      <c r="C49" s="2" t="s">
        <v>24</v>
      </c>
      <c r="D49" s="2" t="s">
        <v>52</v>
      </c>
      <c r="E49" s="2" t="s">
        <v>53</v>
      </c>
      <c r="F49" s="11" t="s">
        <v>180</v>
      </c>
      <c r="G49" t="s">
        <v>39</v>
      </c>
      <c r="H49" t="s">
        <v>181</v>
      </c>
      <c r="I49" t="s">
        <v>177</v>
      </c>
      <c r="J49" s="6" t="str">
        <f>HYPERLINK("https://www.biovista.com/db/link/%5B%5B%22Disease%7CCongenital%20Myasthenic%20Syndrome%22%5D,%20%5B%22Drug%7CImmunoglobulins,%20Intravenous%22%5D%5D?strength-weight-map=%257B%2522MEDLINE_STRENGTH_AB%2522:1.0,%2522HPO%2522:100.0%257D", "Show Evidence...")</f>
        <v>Show Evidence...</v>
      </c>
    </row>
    <row r="50" spans="1:10" ht="12.75">
      <c r="A50" s="2" t="s">
        <v>50</v>
      </c>
      <c r="B50" s="2" t="s">
        <v>51</v>
      </c>
      <c r="C50" s="2" t="s">
        <v>24</v>
      </c>
      <c r="D50" s="2" t="s">
        <v>52</v>
      </c>
      <c r="E50" s="2" t="s">
        <v>53</v>
      </c>
      <c r="F50" s="11" t="s">
        <v>182</v>
      </c>
      <c r="G50" t="s">
        <v>39</v>
      </c>
      <c r="H50" t="s">
        <v>183</v>
      </c>
      <c r="I50" t="s">
        <v>177</v>
      </c>
      <c r="J50" s="6" t="str">
        <f>HYPERLINK("https://www.biovista.com/db/link/%5B%5B%22Disease%7CCongenital%20Myasthenic%20Syndrome%22%5D,%20%5B%22Drug%7CWarfarin%22%5D%5D?strength-weight-map=%257B%2522MEDLINE_STRENGTH_AB%2522:1.0,%2522HPO%2522:100.0%257D", "Show Evidence...")</f>
        <v>Show Evidence...</v>
      </c>
    </row>
    <row r="51" spans="1:10" ht="12.75">
      <c r="A51" s="2" t="s">
        <v>50</v>
      </c>
      <c r="B51" s="2" t="s">
        <v>51</v>
      </c>
      <c r="C51" s="2" t="s">
        <v>24</v>
      </c>
      <c r="D51" s="2" t="s">
        <v>52</v>
      </c>
      <c r="E51" s="2" t="s">
        <v>53</v>
      </c>
      <c r="F51" s="11" t="s">
        <v>184</v>
      </c>
      <c r="G51" t="s">
        <v>39</v>
      </c>
      <c r="H51" t="s">
        <v>185</v>
      </c>
      <c r="I51" t="s">
        <v>186</v>
      </c>
      <c r="J51" s="6" t="str">
        <f>HYPERLINK("https://www.biovista.com/db/link/%5B%5B%22Disease%7CCongenital%20Myasthenic%20Syndrome%22%5D,%20%5B%22Drug%7CAscorbic%20Acid%22%5D%5D?strength-weight-map=%257B%2522MEDLINE_STRENGTH_AB%2522:1.0,%2522HPO%2522:100.0%257D", "Show Evidence...")</f>
        <v>Show Evidence...</v>
      </c>
    </row>
    <row r="52" spans="1:10" ht="12.75">
      <c r="A52" s="2" t="s">
        <v>50</v>
      </c>
      <c r="B52" s="2" t="s">
        <v>51</v>
      </c>
      <c r="C52" s="2" t="s">
        <v>24</v>
      </c>
      <c r="D52" s="2" t="s">
        <v>52</v>
      </c>
      <c r="E52" s="2" t="s">
        <v>53</v>
      </c>
      <c r="F52" s="11" t="s">
        <v>187</v>
      </c>
      <c r="G52" t="s">
        <v>39</v>
      </c>
      <c r="H52" t="s">
        <v>188</v>
      </c>
      <c r="I52" t="s">
        <v>186</v>
      </c>
      <c r="J52" s="6" t="str">
        <f>HYPERLINK("https://www.biovista.com/db/link/%5B%5B%22Disease%7CCongenital%20Myasthenic%20Syndrome%22%5D,%20%5B%22Drug%7CAspirin%22%5D%5D?strength-weight-map=%257B%2522MEDLINE_STRENGTH_AB%2522:1.0,%2522HPO%2522:100.0%257D", "Show Evidence...")</f>
        <v>Show Evidence...</v>
      </c>
    </row>
    <row r="53" spans="1:10" ht="12.75">
      <c r="A53" s="2" t="s">
        <v>50</v>
      </c>
      <c r="B53" s="2" t="s">
        <v>51</v>
      </c>
      <c r="C53" s="2" t="s">
        <v>24</v>
      </c>
      <c r="D53" s="2" t="s">
        <v>52</v>
      </c>
      <c r="E53" s="2" t="s">
        <v>53</v>
      </c>
      <c r="F53" s="11" t="s">
        <v>189</v>
      </c>
      <c r="G53" t="s">
        <v>39</v>
      </c>
      <c r="H53" t="s">
        <v>190</v>
      </c>
      <c r="I53" t="s">
        <v>186</v>
      </c>
      <c r="J53" s="6" t="str">
        <f>HYPERLINK("https://www.biovista.com/db/link/%5B%5B%22Disease%7CCongenital%20Myasthenic%20Syndrome%22%5D,%20%5B%22Drug%7CCurcumin%22%5D%5D?strength-weight-map=%257B%2522MEDLINE_STRENGTH_AB%2522:1.0,%2522HPO%2522:100.0%257D", "Show Evidence...")</f>
        <v>Show Evidence...</v>
      </c>
    </row>
    <row r="54" spans="1:10" ht="12.75">
      <c r="A54" s="2" t="s">
        <v>50</v>
      </c>
      <c r="B54" s="2" t="s">
        <v>51</v>
      </c>
      <c r="C54" s="2" t="s">
        <v>24</v>
      </c>
      <c r="D54" s="2" t="s">
        <v>52</v>
      </c>
      <c r="E54" s="2" t="s">
        <v>53</v>
      </c>
      <c r="F54" s="11" t="s">
        <v>191</v>
      </c>
      <c r="G54" t="s">
        <v>39</v>
      </c>
      <c r="H54" t="s">
        <v>192</v>
      </c>
      <c r="I54" t="s">
        <v>186</v>
      </c>
      <c r="J54" s="6" t="str">
        <f>HYPERLINK("https://www.biovista.com/db/link/%5B%5B%22Disease%7CCongenital%20Myasthenic%20Syndrome%22%5D,%20%5B%22Drug%7CDoxorubicin%22%5D%5D?strength-weight-map=%257B%2522MEDLINE_STRENGTH_AB%2522:1.0,%2522HPO%2522:100.0%257D", "Show Evidence...")</f>
        <v>Show Evidence...</v>
      </c>
    </row>
    <row r="55" spans="1:10" ht="12.75">
      <c r="A55" s="2" t="s">
        <v>50</v>
      </c>
      <c r="B55" s="2" t="s">
        <v>51</v>
      </c>
      <c r="C55" s="2" t="s">
        <v>24</v>
      </c>
      <c r="D55" s="2" t="s">
        <v>52</v>
      </c>
      <c r="E55" s="2" t="s">
        <v>53</v>
      </c>
      <c r="F55" s="11" t="s">
        <v>193</v>
      </c>
      <c r="G55" t="s">
        <v>39</v>
      </c>
      <c r="H55" t="s">
        <v>194</v>
      </c>
      <c r="I55" t="s">
        <v>195</v>
      </c>
      <c r="J55" s="6" t="str">
        <f>HYPERLINK("https://www.biovista.com/db/link/%5B%5B%22Disease%7CCongenital%20Myasthenic%20Syndrome%22%5D,%20%5B%22Drug%7CAcetaminophen%22%5D%5D?strength-weight-map=%257B%2522MEDLINE_STRENGTH_AB%2522:1.0,%2522HPO%2522:100.0%257D", "Show Evidence...")</f>
        <v>Show Evidence...</v>
      </c>
    </row>
    <row r="56" spans="1:10" ht="12.75">
      <c r="A56" s="2" t="s">
        <v>50</v>
      </c>
      <c r="B56" s="2" t="s">
        <v>51</v>
      </c>
      <c r="C56" s="2" t="s">
        <v>24</v>
      </c>
      <c r="D56" s="2" t="s">
        <v>52</v>
      </c>
      <c r="E56" s="2" t="s">
        <v>53</v>
      </c>
      <c r="F56" s="11" t="s">
        <v>196</v>
      </c>
      <c r="G56" t="s">
        <v>39</v>
      </c>
      <c r="H56" t="s">
        <v>197</v>
      </c>
      <c r="I56" t="s">
        <v>195</v>
      </c>
      <c r="J56" s="6" t="str">
        <f>HYPERLINK("https://www.biovista.com/db/link/%5B%5B%22Disease%7CCongenital%20Myasthenic%20Syndrome%22%5D,%20%5B%22Drug%7Cagomelatine%22%5D%5D?strength-weight-map=%257B%2522MEDLINE_STRENGTH_AB%2522:1.0,%2522HPO%2522:100.0%257D", "Show Evidence...")</f>
        <v>Show Evidence...</v>
      </c>
    </row>
    <row r="57" spans="1:10" ht="12.75">
      <c r="A57" s="2" t="s">
        <v>50</v>
      </c>
      <c r="B57" s="2" t="s">
        <v>51</v>
      </c>
      <c r="C57" s="2" t="s">
        <v>24</v>
      </c>
      <c r="D57" s="2" t="s">
        <v>52</v>
      </c>
      <c r="E57" s="2" t="s">
        <v>53</v>
      </c>
      <c r="F57" s="11" t="s">
        <v>198</v>
      </c>
      <c r="G57" t="s">
        <v>39</v>
      </c>
      <c r="H57" t="s">
        <v>199</v>
      </c>
      <c r="I57" t="s">
        <v>195</v>
      </c>
      <c r="J57" s="6" t="str">
        <f>HYPERLINK("https://www.biovista.com/db/link/%5B%5B%22Disease%7CCongenital%20Myasthenic%20Syndrome%22%5D,%20%5B%22Drug%7CMelatonin%22%5D%5D?strength-weight-map=%257B%2522MEDLINE_STRENGTH_AB%2522:1.0,%2522HPO%2522:100.0%257D", "Show Evidence...")</f>
        <v>Show Evidence...</v>
      </c>
    </row>
    <row r="58" spans="1:10" ht="12.75">
      <c r="A58" s="2" t="s">
        <v>50</v>
      </c>
      <c r="B58" s="2" t="s">
        <v>51</v>
      </c>
      <c r="C58" s="2" t="s">
        <v>24</v>
      </c>
      <c r="D58" s="2" t="s">
        <v>52</v>
      </c>
      <c r="E58" s="2" t="s">
        <v>53</v>
      </c>
      <c r="F58" s="11" t="s">
        <v>200</v>
      </c>
      <c r="G58" t="s">
        <v>39</v>
      </c>
      <c r="H58" t="s">
        <v>201</v>
      </c>
      <c r="I58" t="s">
        <v>202</v>
      </c>
      <c r="J58" s="6" t="str">
        <f>HYPERLINK("https://www.biovista.com/db/link/%5B%5B%22Disease%7CCongenital%20Myasthenic%20Syndrome%22%5D,%20%5B%22Drug%7CDiazepam%22%5D%5D?strength-weight-map=%257B%2522MEDLINE_STRENGTH_AB%2522:1.0,%2522HPO%2522:100.0%257D", "Show Evidence...")</f>
        <v>Show Evidence...</v>
      </c>
    </row>
    <row r="59" spans="1:10" ht="12.75">
      <c r="A59" s="2" t="s">
        <v>50</v>
      </c>
      <c r="B59" s="2" t="s">
        <v>51</v>
      </c>
      <c r="C59" s="2" t="s">
        <v>24</v>
      </c>
      <c r="D59" s="2" t="s">
        <v>52</v>
      </c>
      <c r="E59" s="2" t="s">
        <v>53</v>
      </c>
      <c r="F59" s="11" t="s">
        <v>203</v>
      </c>
      <c r="G59" t="s">
        <v>39</v>
      </c>
      <c r="H59" t="s">
        <v>204</v>
      </c>
      <c r="I59" t="s">
        <v>202</v>
      </c>
      <c r="J59" s="6" t="str">
        <f>HYPERLINK("https://www.biovista.com/db/link/%5B%5B%22Disease%7CCongenital%20Myasthenic%20Syndrome%22%5D,%20%5B%22Drug%7CInterferon-gamma%22%5D%5D?strength-weight-map=%257B%2522MEDLINE_STRENGTH_AB%2522:1.0,%2522HPO%2522:100.0%257D", "Show Evidence...")</f>
        <v>Show Evidence...</v>
      </c>
    </row>
    <row r="60" spans="1:10" ht="12.75">
      <c r="A60" s="2" t="s">
        <v>50</v>
      </c>
      <c r="B60" s="2" t="s">
        <v>51</v>
      </c>
      <c r="C60" s="2" t="s">
        <v>24</v>
      </c>
      <c r="D60" s="2" t="s">
        <v>52</v>
      </c>
      <c r="E60" s="2" t="s">
        <v>53</v>
      </c>
      <c r="F60" s="11" t="s">
        <v>205</v>
      </c>
      <c r="G60" t="s">
        <v>39</v>
      </c>
      <c r="H60" t="s">
        <v>206</v>
      </c>
      <c r="I60" t="s">
        <v>202</v>
      </c>
      <c r="J60" s="6" t="str">
        <f>HYPERLINK("https://www.biovista.com/db/link/%5B%5B%22Disease%7CCongenital%20Myasthenic%20Syndrome%22%5D,%20%5B%22Drug%7CMorphine%22%5D%5D?strength-weight-map=%257B%2522MEDLINE_STRENGTH_AB%2522:1.0,%2522HPO%2522:100.0%257D", "Show Evidence...")</f>
        <v>Show Evidence...</v>
      </c>
    </row>
    <row r="61" spans="1:10" ht="12.75">
      <c r="A61" s="2" t="s">
        <v>50</v>
      </c>
      <c r="B61" s="2" t="s">
        <v>51</v>
      </c>
      <c r="C61" s="2" t="s">
        <v>24</v>
      </c>
      <c r="D61" s="2" t="s">
        <v>52</v>
      </c>
      <c r="E61" s="2" t="s">
        <v>53</v>
      </c>
      <c r="F61" s="11" t="s">
        <v>207</v>
      </c>
      <c r="G61" t="s">
        <v>39</v>
      </c>
      <c r="H61" t="s">
        <v>208</v>
      </c>
      <c r="I61" t="s">
        <v>202</v>
      </c>
      <c r="J61" s="6" t="str">
        <f>HYPERLINK("https://www.biovista.com/db/link/%5B%5B%22Disease%7CCongenital%20Myasthenic%20Syndrome%22%5D,%20%5B%22Drug%7CPneumococcal%20Vaccines%22%5D%5D?strength-weight-map=%257B%2522MEDLINE_STRENGTH_AB%2522:1.0,%2522HPO%2522:100.0%257D", "Show Evidence...")</f>
        <v>Show Evidence...</v>
      </c>
    </row>
    <row r="62" spans="1:10" ht="12.75">
      <c r="A62" s="2" t="s">
        <v>50</v>
      </c>
      <c r="B62" s="2" t="s">
        <v>51</v>
      </c>
      <c r="C62" s="2" t="s">
        <v>24</v>
      </c>
      <c r="D62" s="2" t="s">
        <v>52</v>
      </c>
      <c r="E62" s="2" t="s">
        <v>53</v>
      </c>
      <c r="F62" s="11" t="s">
        <v>209</v>
      </c>
      <c r="G62" t="s">
        <v>39</v>
      </c>
      <c r="H62" t="s">
        <v>210</v>
      </c>
      <c r="I62" t="s">
        <v>202</v>
      </c>
      <c r="J62" s="6" t="str">
        <f>HYPERLINK("https://www.biovista.com/db/link/%5B%5B%22Disease%7CCongenital%20Myasthenic%20Syndrome%22%5D,%20%5B%22Drug%7CRivaroxaban%22%5D%5D?strength-weight-map=%257B%2522MEDLINE_STRENGTH_AB%2522:1.0,%2522HPO%2522:100.0%257D", "Show Evidence...")</f>
        <v>Show Evidence...</v>
      </c>
    </row>
    <row r="63" spans="1:10" ht="12.75">
      <c r="A63" s="2" t="s">
        <v>50</v>
      </c>
      <c r="B63" s="2" t="s">
        <v>51</v>
      </c>
      <c r="C63" s="2" t="s">
        <v>24</v>
      </c>
      <c r="D63" s="2" t="s">
        <v>52</v>
      </c>
      <c r="E63" s="2" t="s">
        <v>53</v>
      </c>
      <c r="F63" s="11" t="s">
        <v>211</v>
      </c>
      <c r="G63" t="s">
        <v>39</v>
      </c>
      <c r="H63" t="s">
        <v>212</v>
      </c>
      <c r="I63" t="s">
        <v>213</v>
      </c>
      <c r="J63" s="6" t="str">
        <f>HYPERLINK("https://www.biovista.com/db/link/%5B%5B%22Disease%7CCongenital%20Myasthenic%20Syndrome%22%5D,%20%5B%22Drug%7Capixaban%22%5D%5D?strength-weight-map=%257B%2522MEDLINE_STRENGTH_AB%2522:1.0,%2522HPO%2522:100.0%257D", "Show Evidence...")</f>
        <v>Show Evidence...</v>
      </c>
    </row>
    <row r="64" spans="1:10" ht="12.75">
      <c r="A64" s="2" t="s">
        <v>50</v>
      </c>
      <c r="B64" s="2" t="s">
        <v>51</v>
      </c>
      <c r="C64" s="2" t="s">
        <v>24</v>
      </c>
      <c r="D64" s="2" t="s">
        <v>52</v>
      </c>
      <c r="E64" s="2" t="s">
        <v>53</v>
      </c>
      <c r="F64" s="11" t="s">
        <v>214</v>
      </c>
      <c r="G64" t="s">
        <v>39</v>
      </c>
      <c r="H64" t="s">
        <v>215</v>
      </c>
      <c r="I64" t="s">
        <v>213</v>
      </c>
      <c r="J64" s="6" t="str">
        <f>HYPERLINK("https://www.biovista.com/db/link/%5B%5B%22Disease%7CCongenital%20Myasthenic%20Syndrome%22%5D,%20%5B%22Drug%7CAripiprazole%22%5D%5D?strength-weight-map=%257B%2522MEDLINE_STRENGTH_AB%2522:1.0,%2522HPO%2522:100.0%257D", "Show Evidence...")</f>
        <v>Show Evidence...</v>
      </c>
    </row>
    <row r="65" spans="1:10" ht="12.75">
      <c r="A65" s="2" t="s">
        <v>50</v>
      </c>
      <c r="B65" s="2" t="s">
        <v>51</v>
      </c>
      <c r="C65" s="2" t="s">
        <v>24</v>
      </c>
      <c r="D65" s="2" t="s">
        <v>52</v>
      </c>
      <c r="E65" s="2" t="s">
        <v>53</v>
      </c>
      <c r="F65" s="11" t="s">
        <v>216</v>
      </c>
      <c r="G65" t="s">
        <v>39</v>
      </c>
      <c r="H65" t="s">
        <v>217</v>
      </c>
      <c r="I65" t="s">
        <v>213</v>
      </c>
      <c r="J65" s="6" t="str">
        <f>HYPERLINK("https://www.biovista.com/db/link/%5B%5B%22Disease%7CCongenital%20Myasthenic%20Syndrome%22%5D,%20%5B%22Drug%7CBuprenorphine%22%5D%5D?strength-weight-map=%257B%2522MEDLINE_STRENGTH_AB%2522:1.0,%2522HPO%2522:100.0%257D", "Show Evidence...")</f>
        <v>Show Evidence...</v>
      </c>
    </row>
    <row r="66" spans="1:10" ht="12.75">
      <c r="A66" s="2" t="s">
        <v>50</v>
      </c>
      <c r="B66" s="2" t="s">
        <v>51</v>
      </c>
      <c r="C66" s="2" t="s">
        <v>24</v>
      </c>
      <c r="D66" s="2" t="s">
        <v>52</v>
      </c>
      <c r="E66" s="2" t="s">
        <v>53</v>
      </c>
      <c r="F66" s="11" t="s">
        <v>218</v>
      </c>
      <c r="G66" t="s">
        <v>39</v>
      </c>
      <c r="H66" t="s">
        <v>219</v>
      </c>
      <c r="I66" t="s">
        <v>213</v>
      </c>
      <c r="J66" s="6" t="str">
        <f>HYPERLINK("https://www.biovista.com/db/link/%5B%5B%22Disease%7CCongenital%20Myasthenic%20Syndrome%22%5D,%20%5B%22Drug%7CCarbon%20Monoxide%22%5D%5D?strength-weight-map=%257B%2522MEDLINE_STRENGTH_AB%2522:1.0,%2522HPO%2522:100.0%257D", "Show Evidence...")</f>
        <v>Show Evidence...</v>
      </c>
    </row>
    <row r="67" spans="1:10" ht="12.75">
      <c r="A67" s="2" t="s">
        <v>50</v>
      </c>
      <c r="B67" s="2" t="s">
        <v>51</v>
      </c>
      <c r="C67" s="2" t="s">
        <v>24</v>
      </c>
      <c r="D67" s="2" t="s">
        <v>52</v>
      </c>
      <c r="E67" s="2" t="s">
        <v>53</v>
      </c>
      <c r="F67" s="11" t="s">
        <v>220</v>
      </c>
      <c r="G67" t="s">
        <v>39</v>
      </c>
      <c r="H67" t="s">
        <v>221</v>
      </c>
      <c r="I67" t="s">
        <v>213</v>
      </c>
      <c r="J67" s="6" t="str">
        <f>HYPERLINK("https://www.biovista.com/db/link/%5B%5B%22Disease%7CCongenital%20Myasthenic%20Syndrome%22%5D,%20%5B%22Drug%7CCetuximab%22%5D%5D?strength-weight-map=%257B%2522MEDLINE_STRENGTH_AB%2522:1.0,%2522HPO%2522:100.0%257D", "Show Evidence...")</f>
        <v>Show Evidence...</v>
      </c>
    </row>
    <row r="68" spans="1:10" ht="12.75">
      <c r="A68" s="2" t="s">
        <v>50</v>
      </c>
      <c r="B68" s="2" t="s">
        <v>51</v>
      </c>
      <c r="C68" s="2" t="s">
        <v>24</v>
      </c>
      <c r="D68" s="2" t="s">
        <v>52</v>
      </c>
      <c r="E68" s="2" t="s">
        <v>53</v>
      </c>
      <c r="F68" s="11" t="s">
        <v>222</v>
      </c>
      <c r="G68" t="s">
        <v>39</v>
      </c>
      <c r="H68" t="s">
        <v>223</v>
      </c>
      <c r="I68" t="s">
        <v>213</v>
      </c>
      <c r="J68" s="6" t="str">
        <f>HYPERLINK("https://www.biovista.com/db/link/%5B%5B%22Disease%7CCongenital%20Myasthenic%20Syndrome%22%5D,%20%5B%22Drug%7CClomipramine%22%5D%5D?strength-weight-map=%257B%2522MEDLINE_STRENGTH_AB%2522:1.0,%2522HPO%2522:100.0%257D", "Show Evidence...")</f>
        <v>Show Evidence...</v>
      </c>
    </row>
    <row r="69" spans="1:10" ht="12.75">
      <c r="A69" s="2" t="s">
        <v>50</v>
      </c>
      <c r="B69" s="2" t="s">
        <v>51</v>
      </c>
      <c r="C69" s="2" t="s">
        <v>24</v>
      </c>
      <c r="D69" s="2" t="s">
        <v>52</v>
      </c>
      <c r="E69" s="2" t="s">
        <v>53</v>
      </c>
      <c r="F69" s="11" t="s">
        <v>224</v>
      </c>
      <c r="G69" t="s">
        <v>39</v>
      </c>
      <c r="H69" t="s">
        <v>225</v>
      </c>
      <c r="I69" t="s">
        <v>213</v>
      </c>
      <c r="J69" s="6" t="str">
        <f>HYPERLINK("https://www.biovista.com/db/link/%5B%5B%22Disease%7CCongenital%20Myasthenic%20Syndrome%22%5D,%20%5B%22Drug%7CCOVID-19%20Vaccines%22%5D%5D?strength-weight-map=%257B%2522MEDLINE_STRENGTH_AB%2522:1.0,%2522HPO%2522:100.0%257D", "Show Evidence...")</f>
        <v>Show Evidence...</v>
      </c>
    </row>
    <row r="70" spans="1:10" ht="12.75">
      <c r="A70" s="2" t="s">
        <v>50</v>
      </c>
      <c r="B70" s="2" t="s">
        <v>51</v>
      </c>
      <c r="C70" s="2" t="s">
        <v>24</v>
      </c>
      <c r="D70" s="2" t="s">
        <v>52</v>
      </c>
      <c r="E70" s="2" t="s">
        <v>53</v>
      </c>
      <c r="F70" s="11" t="s">
        <v>226</v>
      </c>
      <c r="G70" t="s">
        <v>39</v>
      </c>
      <c r="H70" t="s">
        <v>227</v>
      </c>
      <c r="I70" t="s">
        <v>213</v>
      </c>
      <c r="J70" s="6" t="str">
        <f>HYPERLINK("https://www.biovista.com/db/link/%5B%5B%22Disease%7CCongenital%20Myasthenic%20Syndrome%22%5D,%20%5B%22Drug%7CFluorodeoxyglucose%20F18%22%5D%5D?strength-weight-map=%257B%2522MEDLINE_STRENGTH_AB%2522:1.0,%2522HPO%2522:100.0%257D", "Show Evidence...")</f>
        <v>Show Evidence...</v>
      </c>
    </row>
    <row r="71" spans="1:10" ht="12.75">
      <c r="A71" s="2" t="s">
        <v>50</v>
      </c>
      <c r="B71" s="2" t="s">
        <v>51</v>
      </c>
      <c r="C71" s="2" t="s">
        <v>24</v>
      </c>
      <c r="D71" s="2" t="s">
        <v>52</v>
      </c>
      <c r="E71" s="2" t="s">
        <v>53</v>
      </c>
      <c r="F71" s="11" t="s">
        <v>228</v>
      </c>
      <c r="G71" t="s">
        <v>39</v>
      </c>
      <c r="H71" t="s">
        <v>229</v>
      </c>
      <c r="I71" t="s">
        <v>213</v>
      </c>
      <c r="J71" s="6" t="str">
        <f>HYPERLINK("https://www.biovista.com/db/link/%5B%5B%22Disease%7CCongenital%20Myasthenic%20Syndrome%22%5D,%20%5B%22Drug%7CHeparin%22%5D%5D?strength-weight-map=%257B%2522MEDLINE_STRENGTH_AB%2522:1.0,%2522HPO%2522:100.0%257D", "Show Evidence...")</f>
        <v>Show Evidence...</v>
      </c>
    </row>
    <row r="72" spans="1:10" ht="12.75">
      <c r="A72" s="2" t="s">
        <v>50</v>
      </c>
      <c r="B72" s="2" t="s">
        <v>51</v>
      </c>
      <c r="C72" s="2" t="s">
        <v>24</v>
      </c>
      <c r="D72" s="2" t="s">
        <v>52</v>
      </c>
      <c r="E72" s="2" t="s">
        <v>53</v>
      </c>
      <c r="F72" s="11" t="s">
        <v>230</v>
      </c>
      <c r="G72" t="s">
        <v>39</v>
      </c>
      <c r="H72" t="s">
        <v>231</v>
      </c>
      <c r="I72" t="s">
        <v>213</v>
      </c>
      <c r="J72" s="6" t="str">
        <f>HYPERLINK("https://www.biovista.com/db/link/%5B%5B%22Disease%7CCongenital%20Myasthenic%20Syndrome%22%5D,%20%5B%22Drug%7CIrinotecan%22%5D%5D?strength-weight-map=%257B%2522MEDLINE_STRENGTH_AB%2522:1.0,%2522HPO%2522:100.0%257D", "Show Evidence...")</f>
        <v>Show Evidence...</v>
      </c>
    </row>
    <row r="73" spans="1:10" ht="12.75">
      <c r="A73" s="2" t="s">
        <v>50</v>
      </c>
      <c r="B73" s="2" t="s">
        <v>51</v>
      </c>
      <c r="C73" s="2" t="s">
        <v>24</v>
      </c>
      <c r="D73" s="2" t="s">
        <v>52</v>
      </c>
      <c r="E73" s="2" t="s">
        <v>53</v>
      </c>
      <c r="F73" s="11" t="s">
        <v>232</v>
      </c>
      <c r="G73" t="s">
        <v>39</v>
      </c>
      <c r="H73" t="s">
        <v>233</v>
      </c>
      <c r="I73" t="s">
        <v>213</v>
      </c>
      <c r="J73" s="6" t="str">
        <f>HYPERLINK("https://www.biovista.com/db/link/%5B%5B%22Disease%7CCongenital%20Myasthenic%20Syndrome%22%5D,%20%5B%22Drug%7CLurasidone%20Hydrochloride%22%5D%5D?strength-weight-map=%257B%2522MEDLINE_STRENGTH_AB%2522:1.0,%2522HPO%2522:100.0%257D", "Show Evidence...")</f>
        <v>Show Evidence...</v>
      </c>
    </row>
    <row r="74" spans="1:10" ht="12.75">
      <c r="A74" s="2" t="s">
        <v>50</v>
      </c>
      <c r="B74" s="2" t="s">
        <v>51</v>
      </c>
      <c r="C74" s="2" t="s">
        <v>24</v>
      </c>
      <c r="D74" s="2" t="s">
        <v>52</v>
      </c>
      <c r="E74" s="2" t="s">
        <v>53</v>
      </c>
      <c r="F74" s="11" t="s">
        <v>234</v>
      </c>
      <c r="G74" t="s">
        <v>39</v>
      </c>
      <c r="H74" t="s">
        <v>235</v>
      </c>
      <c r="I74" t="s">
        <v>213</v>
      </c>
      <c r="J74" s="6" t="str">
        <f>HYPERLINK("https://www.biovista.com/db/link/%5B%5B%22Disease%7CCongenital%20Myasthenic%20Syndrome%22%5D,%20%5B%22Drug%7CRituximab%22%5D%5D?strength-weight-map=%257B%2522MEDLINE_STRENGTH_AB%2522:1.0,%2522HPO%2522:100.0%257D", "Show Evidence...")</f>
        <v>Show Evidence...</v>
      </c>
    </row>
    <row r="75" spans="1:10" ht="12.75">
      <c r="A75" s="2" t="s">
        <v>50</v>
      </c>
      <c r="B75" s="2" t="s">
        <v>51</v>
      </c>
      <c r="C75" s="2" t="s">
        <v>24</v>
      </c>
      <c r="D75" s="2" t="s">
        <v>52</v>
      </c>
      <c r="E75" s="2" t="s">
        <v>53</v>
      </c>
      <c r="F75" s="11" t="s">
        <v>236</v>
      </c>
      <c r="G75" t="s">
        <v>39</v>
      </c>
      <c r="H75" t="s">
        <v>237</v>
      </c>
      <c r="I75" t="s">
        <v>213</v>
      </c>
      <c r="J75" s="6" t="str">
        <f>HYPERLINK("https://www.biovista.com/db/link/%5B%5B%22Disease%7CCongenital%20Myasthenic%20Syndrome%22%5D,%20%5B%22Drug%7CSertraline%22%5D%5D?strength-weight-map=%257B%2522MEDLINE_STRENGTH_AB%2522:1.0,%2522HPO%2522:100.0%257D", "Show Evidence...")</f>
        <v>Show Evidence...</v>
      </c>
    </row>
    <row r="76" spans="1:10" ht="12.75">
      <c r="A76" s="2" t="s">
        <v>50</v>
      </c>
      <c r="B76" s="2" t="s">
        <v>51</v>
      </c>
      <c r="C76" s="2" t="s">
        <v>24</v>
      </c>
      <c r="D76" s="2" t="s">
        <v>52</v>
      </c>
      <c r="E76" s="2" t="s">
        <v>53</v>
      </c>
      <c r="F76" s="11" t="s">
        <v>238</v>
      </c>
      <c r="G76" t="s">
        <v>39</v>
      </c>
      <c r="H76" t="s">
        <v>239</v>
      </c>
      <c r="I76" t="s">
        <v>240</v>
      </c>
      <c r="J76" s="6" t="str">
        <f>HYPERLINK("https://www.biovista.com/db/link/%5B%5B%22Disease%7CCongenital%20Myasthenic%20Syndrome%22%5D,%20%5B%22Drug%7CAngiotensin%20II%22%5D%5D?strength-weight-map=%257B%2522MEDLINE_STRENGTH_AB%2522:1.0,%2522HPO%2522:100.0%257D", "Show Evidence...")</f>
        <v>Show Evidence...</v>
      </c>
    </row>
    <row r="77" spans="1:10" ht="12.75">
      <c r="A77" s="2" t="s">
        <v>50</v>
      </c>
      <c r="B77" s="2" t="s">
        <v>51</v>
      </c>
      <c r="C77" s="2" t="s">
        <v>24</v>
      </c>
      <c r="D77" s="2" t="s">
        <v>52</v>
      </c>
      <c r="E77" s="2" t="s">
        <v>53</v>
      </c>
      <c r="F77" s="11" t="s">
        <v>241</v>
      </c>
      <c r="G77" t="s">
        <v>39</v>
      </c>
      <c r="H77" t="s">
        <v>242</v>
      </c>
      <c r="I77" t="s">
        <v>240</v>
      </c>
      <c r="J77" s="6" t="str">
        <f>HYPERLINK("https://www.biovista.com/db/link/%5B%5B%22Disease%7CCongenital%20Myasthenic%20Syndrome%22%5D,%20%5B%22Drug%7Casenapine%22%5D%5D?strength-weight-map=%257B%2522MEDLINE_STRENGTH_AB%2522:1.0,%2522HPO%2522:100.0%257D", "Show Evidence...")</f>
        <v>Show Evidence...</v>
      </c>
    </row>
    <row r="78" spans="1:10" ht="12.75">
      <c r="A78" s="2" t="s">
        <v>50</v>
      </c>
      <c r="B78" s="2" t="s">
        <v>51</v>
      </c>
      <c r="C78" s="2" t="s">
        <v>24</v>
      </c>
      <c r="D78" s="2" t="s">
        <v>52</v>
      </c>
      <c r="E78" s="2" t="s">
        <v>53</v>
      </c>
      <c r="F78" s="11" t="s">
        <v>243</v>
      </c>
      <c r="G78" t="s">
        <v>39</v>
      </c>
      <c r="H78" t="s">
        <v>244</v>
      </c>
      <c r="I78" t="s">
        <v>240</v>
      </c>
      <c r="J78" s="6" t="str">
        <f>HYPERLINK("https://www.biovista.com/db/link/%5B%5B%22Disease%7CCongenital%20Myasthenic%20Syndrome%22%5D,%20%5B%22Drug%7CBentonite%22%5D%5D?strength-weight-map=%257B%2522MEDLINE_STRENGTH_AB%2522:1.0,%2522HPO%2522:100.0%257D", "Show Evidence...")</f>
        <v>Show Evidence...</v>
      </c>
    </row>
    <row r="79" spans="1:10" ht="12.75">
      <c r="A79" s="2" t="s">
        <v>50</v>
      </c>
      <c r="B79" s="2" t="s">
        <v>51</v>
      </c>
      <c r="C79" s="2" t="s">
        <v>24</v>
      </c>
      <c r="D79" s="2" t="s">
        <v>52</v>
      </c>
      <c r="E79" s="2" t="s">
        <v>53</v>
      </c>
      <c r="F79" s="11" t="s">
        <v>245</v>
      </c>
      <c r="G79" t="s">
        <v>39</v>
      </c>
      <c r="H79" t="s">
        <v>246</v>
      </c>
      <c r="I79" t="s">
        <v>240</v>
      </c>
      <c r="J79" s="6" t="str">
        <f>HYPERLINK("https://www.biovista.com/db/link/%5B%5B%22Disease%7CCongenital%20Myasthenic%20Syndrome%22%5D,%20%5B%22Drug%7CCaseins%22%5D%5D?strength-weight-map=%257B%2522MEDLINE_STRENGTH_AB%2522:1.0,%2522HPO%2522:100.0%257D", "Show Evidence...")</f>
        <v>Show Evidence...</v>
      </c>
    </row>
    <row r="80" spans="1:10" ht="12.75">
      <c r="A80" s="2" t="s">
        <v>50</v>
      </c>
      <c r="B80" s="2" t="s">
        <v>51</v>
      </c>
      <c r="C80" s="2" t="s">
        <v>24</v>
      </c>
      <c r="D80" s="2" t="s">
        <v>52</v>
      </c>
      <c r="E80" s="2" t="s">
        <v>53</v>
      </c>
      <c r="F80" s="11" t="s">
        <v>247</v>
      </c>
      <c r="G80" t="s">
        <v>39</v>
      </c>
      <c r="H80" t="s">
        <v>248</v>
      </c>
      <c r="I80" t="s">
        <v>240</v>
      </c>
      <c r="J80" s="6" t="str">
        <f>HYPERLINK("https://www.biovista.com/db/link/%5B%5B%22Disease%7CCongenital%20Myasthenic%20Syndrome%22%5D,%20%5B%22Drug%7CCelecoxib%22%5D%5D?strength-weight-map=%257B%2522MEDLINE_STRENGTH_AB%2522:1.0,%2522HPO%2522:100.0%257D", "Show Evidence...")</f>
        <v>Show Evidence...</v>
      </c>
    </row>
    <row r="81" spans="1:10" ht="12.75">
      <c r="A81" s="2" t="s">
        <v>50</v>
      </c>
      <c r="B81" s="2" t="s">
        <v>51</v>
      </c>
      <c r="C81" s="2" t="s">
        <v>24</v>
      </c>
      <c r="D81" s="2" t="s">
        <v>52</v>
      </c>
      <c r="E81" s="2" t="s">
        <v>53</v>
      </c>
      <c r="F81" s="11" t="s">
        <v>249</v>
      </c>
      <c r="G81" t="s">
        <v>39</v>
      </c>
      <c r="H81" t="s">
        <v>250</v>
      </c>
      <c r="I81" t="s">
        <v>240</v>
      </c>
      <c r="J81" s="6" t="str">
        <f>HYPERLINK("https://www.biovista.com/db/link/%5B%5B%22Disease%7CCongenital%20Myasthenic%20Syndrome%22%5D,%20%5B%22Drug%7CDimethyl%20Sulfoxide%22%5D%5D?strength-weight-map=%257B%2522MEDLINE_STRENGTH_AB%2522:1.0,%2522HPO%2522:100.0%257D", "Show Evidence...")</f>
        <v>Show Evidence...</v>
      </c>
    </row>
    <row r="82" spans="1:10" ht="12.75">
      <c r="A82" s="2" t="s">
        <v>50</v>
      </c>
      <c r="B82" s="2" t="s">
        <v>51</v>
      </c>
      <c r="C82" s="2" t="s">
        <v>24</v>
      </c>
      <c r="D82" s="2" t="s">
        <v>52</v>
      </c>
      <c r="E82" s="2" t="s">
        <v>53</v>
      </c>
      <c r="F82" s="11" t="s">
        <v>251</v>
      </c>
      <c r="G82" t="s">
        <v>39</v>
      </c>
      <c r="H82" t="s">
        <v>252</v>
      </c>
      <c r="I82" t="s">
        <v>240</v>
      </c>
      <c r="J82" s="6" t="str">
        <f>HYPERLINK("https://www.biovista.com/db/link/%5B%5B%22Disease%7CCongenital%20Myasthenic%20Syndrome%22%5D,%20%5B%22Drug%7CEtanercept%22%5D%5D?strength-weight-map=%257B%2522MEDLINE_STRENGTH_AB%2522:1.0,%2522HPO%2522:100.0%257D", "Show Evidence...")</f>
        <v>Show Evidence...</v>
      </c>
    </row>
    <row r="83" spans="1:10" ht="12.75">
      <c r="A83" s="2" t="s">
        <v>50</v>
      </c>
      <c r="B83" s="2" t="s">
        <v>51</v>
      </c>
      <c r="C83" s="2" t="s">
        <v>24</v>
      </c>
      <c r="D83" s="2" t="s">
        <v>52</v>
      </c>
      <c r="E83" s="2" t="s">
        <v>53</v>
      </c>
      <c r="F83" s="11" t="s">
        <v>253</v>
      </c>
      <c r="G83" t="s">
        <v>39</v>
      </c>
      <c r="H83" t="s">
        <v>254</v>
      </c>
      <c r="I83" t="s">
        <v>240</v>
      </c>
      <c r="J83" s="6" t="str">
        <f>HYPERLINK("https://www.biovista.com/db/link/%5B%5B%22Disease%7CCongenital%20Myasthenic%20Syndrome%22%5D,%20%5B%22Drug%7CHyaluronic%20Acid%22%5D%5D?strength-weight-map=%257B%2522MEDLINE_STRENGTH_AB%2522:1.0,%2522HPO%2522:100.0%257D", "Show Evidence...")</f>
        <v>Show Evidence...</v>
      </c>
    </row>
    <row r="84" spans="1:10" ht="12.75">
      <c r="A84" s="2" t="s">
        <v>50</v>
      </c>
      <c r="B84" s="2" t="s">
        <v>51</v>
      </c>
      <c r="C84" s="2" t="s">
        <v>24</v>
      </c>
      <c r="D84" s="2" t="s">
        <v>52</v>
      </c>
      <c r="E84" s="2" t="s">
        <v>53</v>
      </c>
      <c r="F84" s="11" t="s">
        <v>255</v>
      </c>
      <c r="G84" t="s">
        <v>39</v>
      </c>
      <c r="H84" t="s">
        <v>256</v>
      </c>
      <c r="I84" t="s">
        <v>240</v>
      </c>
      <c r="J84" s="6" t="str">
        <f>HYPERLINK("https://www.biovista.com/db/link/%5B%5B%22Disease%7CCongenital%20Myasthenic%20Syndrome%22%5D,%20%5B%22Drug%7CPaclitaxel%22%5D%5D?strength-weight-map=%257B%2522MEDLINE_STRENGTH_AB%2522:1.0,%2522HPO%2522:100.0%257D", "Show Evidence...")</f>
        <v>Show Evidence...</v>
      </c>
    </row>
    <row r="85" spans="1:10" ht="12.75">
      <c r="A85" s="2" t="s">
        <v>50</v>
      </c>
      <c r="B85" s="2" t="s">
        <v>51</v>
      </c>
      <c r="C85" s="2" t="s">
        <v>24</v>
      </c>
      <c r="D85" s="2" t="s">
        <v>52</v>
      </c>
      <c r="E85" s="2" t="s">
        <v>53</v>
      </c>
      <c r="F85" s="11" t="s">
        <v>257</v>
      </c>
      <c r="G85" t="s">
        <v>39</v>
      </c>
      <c r="H85" t="s">
        <v>258</v>
      </c>
      <c r="I85" t="s">
        <v>240</v>
      </c>
      <c r="J85" s="6" t="str">
        <f>HYPERLINK("https://www.biovista.com/db/link/%5B%5B%22Disease%7CCongenital%20Myasthenic%20Syndrome%22%5D,%20%5B%22Drug%7CPolymethyl%20Methacrylate%22%5D%5D?strength-weight-map=%257B%2522MEDLINE_STRENGTH_AB%2522:1.0,%2522HPO%2522:100.0%257D", "Show Evidence...")</f>
        <v>Show Evidence...</v>
      </c>
    </row>
    <row r="86" spans="1:10" ht="12.75">
      <c r="A86" s="2" t="s">
        <v>50</v>
      </c>
      <c r="B86" s="2" t="s">
        <v>51</v>
      </c>
      <c r="C86" s="2" t="s">
        <v>24</v>
      </c>
      <c r="D86" s="2" t="s">
        <v>52</v>
      </c>
      <c r="E86" s="2" t="s">
        <v>53</v>
      </c>
      <c r="F86" s="11" t="s">
        <v>259</v>
      </c>
      <c r="G86" t="s">
        <v>39</v>
      </c>
      <c r="H86" t="s">
        <v>260</v>
      </c>
      <c r="I86" t="s">
        <v>240</v>
      </c>
      <c r="J86" s="6" t="str">
        <f>HYPERLINK("https://www.biovista.com/db/link/%5B%5B%22Disease%7CCongenital%20Myasthenic%20Syndrome%22%5D,%20%5B%22Drug%7CPrednisone%22%5D%5D?strength-weight-map=%257B%2522MEDLINE_STRENGTH_AB%2522:1.0,%2522HPO%2522:100.0%257D", "Show Evidence...")</f>
        <v>Show Evidence...</v>
      </c>
    </row>
    <row r="87" spans="1:10" ht="12.75">
      <c r="A87" s="2" t="s">
        <v>50</v>
      </c>
      <c r="B87" s="2" t="s">
        <v>51</v>
      </c>
      <c r="C87" s="2" t="s">
        <v>24</v>
      </c>
      <c r="D87" s="2" t="s">
        <v>52</v>
      </c>
      <c r="E87" s="2" t="s">
        <v>53</v>
      </c>
      <c r="F87" s="11" t="s">
        <v>261</v>
      </c>
      <c r="G87" t="s">
        <v>39</v>
      </c>
      <c r="H87" t="s">
        <v>262</v>
      </c>
      <c r="I87" t="s">
        <v>240</v>
      </c>
      <c r="J87" s="6" t="str">
        <f>HYPERLINK("https://www.biovista.com/db/link/%5B%5B%22Disease%7CCongenital%20Myasthenic%20Syndrome%22%5D,%20%5B%22Drug%7CSirolimus%22%5D%5D?strength-weight-map=%257B%2522MEDLINE_STRENGTH_AB%2522:1.0,%2522HPO%2522:100.0%257D", "Show Evidence...")</f>
        <v>Show Evidence...</v>
      </c>
    </row>
    <row r="88" spans="1:10" ht="12.75">
      <c r="A88" s="2" t="s">
        <v>50</v>
      </c>
      <c r="B88" s="2" t="s">
        <v>51</v>
      </c>
      <c r="C88" s="2" t="s">
        <v>24</v>
      </c>
      <c r="D88" s="2" t="s">
        <v>52</v>
      </c>
      <c r="E88" s="2" t="s">
        <v>53</v>
      </c>
      <c r="F88" s="11" t="s">
        <v>263</v>
      </c>
      <c r="G88" t="s">
        <v>39</v>
      </c>
      <c r="H88" t="s">
        <v>264</v>
      </c>
      <c r="I88" t="s">
        <v>240</v>
      </c>
      <c r="J88" s="6" t="str">
        <f>HYPERLINK("https://www.biovista.com/db/link/%5B%5B%22Disease%7CCongenital%20Myasthenic%20Syndrome%22%5D,%20%5B%22Drug%7CVitamin%20D%22%5D%5D?strength-weight-map=%257B%2522MEDLINE_STRENGTH_AB%2522:1.0,%2522HPO%2522:100.0%257D", "Show Evidence...")</f>
        <v>Show Evidence...</v>
      </c>
    </row>
    <row r="89" spans="1:10" ht="12.75">
      <c r="A89" s="2" t="s">
        <v>50</v>
      </c>
      <c r="B89" s="2" t="s">
        <v>51</v>
      </c>
      <c r="C89" s="2" t="s">
        <v>24</v>
      </c>
      <c r="D89" s="2" t="s">
        <v>52</v>
      </c>
      <c r="E89" s="2" t="s">
        <v>53</v>
      </c>
      <c r="F89" s="11" t="s">
        <v>265</v>
      </c>
      <c r="G89" t="s">
        <v>39</v>
      </c>
      <c r="H89" t="s">
        <v>266</v>
      </c>
      <c r="I89" t="s">
        <v>267</v>
      </c>
      <c r="J89" s="6" t="str">
        <f>HYPERLINK("https://www.biovista.com/db/link/%5B%5B%22Disease%7CCongenital%20Myasthenic%20Syndrome%22%5D,%20%5B%22Drug%7CDinoprostone%22%5D%5D?strength-weight-map=%257B%2522MEDLINE_STRENGTH_AB%2522:1.0,%2522HPO%2522:100.0%257D", "Show Evidence...")</f>
        <v>Show Evidence...</v>
      </c>
    </row>
    <row r="90" spans="1:10" ht="12.75">
      <c r="A90" s="2" t="s">
        <v>50</v>
      </c>
      <c r="B90" s="2" t="s">
        <v>51</v>
      </c>
      <c r="C90" s="2" t="s">
        <v>24</v>
      </c>
      <c r="D90" s="2" t="s">
        <v>52</v>
      </c>
      <c r="E90" s="2" t="s">
        <v>53</v>
      </c>
      <c r="F90" s="11" t="s">
        <v>268</v>
      </c>
      <c r="G90" t="s">
        <v>39</v>
      </c>
      <c r="H90" t="s">
        <v>269</v>
      </c>
      <c r="I90" t="s">
        <v>267</v>
      </c>
      <c r="J90" s="6" t="str">
        <f>HYPERLINK("https://www.biovista.com/db/link/%5B%5B%22Disease%7CCongenital%20Myasthenic%20Syndrome%22%5D,%20%5B%22Drug%7CLeucovorin%22%5D%5D?strength-weight-map=%257B%2522MEDLINE_STRENGTH_AB%2522:1.0,%2522HPO%2522:100.0%257D", "Show Evidence...")</f>
        <v>Show Evidence...</v>
      </c>
    </row>
    <row r="91" spans="1:10" ht="12.75">
      <c r="A91" s="2" t="s">
        <v>50</v>
      </c>
      <c r="B91" s="2" t="s">
        <v>51</v>
      </c>
      <c r="C91" s="2" t="s">
        <v>24</v>
      </c>
      <c r="D91" s="2" t="s">
        <v>52</v>
      </c>
      <c r="E91" s="2" t="s">
        <v>53</v>
      </c>
      <c r="F91" s="11" t="s">
        <v>270</v>
      </c>
      <c r="G91" t="s">
        <v>39</v>
      </c>
      <c r="H91" t="s">
        <v>271</v>
      </c>
      <c r="I91" t="s">
        <v>267</v>
      </c>
      <c r="J91" s="6" t="str">
        <f>HYPERLINK("https://www.biovista.com/db/link/%5B%5B%22Disease%7CCongenital%20Myasthenic%20Syndrome%22%5D,%20%5B%22Drug%7CMuramidase%22%5D%5D?strength-weight-map=%257B%2522MEDLINE_STRENGTH_AB%2522:1.0,%2522HPO%2522:100.0%257D", "Show Evidence...")</f>
        <v>Show Evidence...</v>
      </c>
    </row>
    <row r="92" spans="1:10" ht="12.75">
      <c r="A92" s="2" t="s">
        <v>50</v>
      </c>
      <c r="B92" s="2" t="s">
        <v>51</v>
      </c>
      <c r="C92" s="2" t="s">
        <v>24</v>
      </c>
      <c r="D92" s="2" t="s">
        <v>52</v>
      </c>
      <c r="E92" s="2" t="s">
        <v>53</v>
      </c>
      <c r="F92" s="11" t="s">
        <v>272</v>
      </c>
      <c r="G92" t="s">
        <v>39</v>
      </c>
      <c r="H92" t="s">
        <v>273</v>
      </c>
      <c r="I92" t="s">
        <v>267</v>
      </c>
      <c r="J92" s="6" t="str">
        <f>HYPERLINK("https://www.biovista.com/db/link/%5B%5B%22Disease%7CCongenital%20Myasthenic%20Syndrome%22%5D,%20%5B%22Drug%7CQuercetin%22%5D%5D?strength-weight-map=%257B%2522MEDLINE_STRENGTH_AB%2522:1.0,%2522HPO%2522:100.0%257D", "Show Evidence...")</f>
        <v>Show Evidence...</v>
      </c>
    </row>
    <row r="93" spans="1:10" ht="12.75">
      <c r="A93" s="2" t="s">
        <v>50</v>
      </c>
      <c r="B93" s="2" t="s">
        <v>51</v>
      </c>
      <c r="C93" s="2" t="s">
        <v>24</v>
      </c>
      <c r="D93" s="2" t="s">
        <v>52</v>
      </c>
      <c r="E93" s="2" t="s">
        <v>53</v>
      </c>
      <c r="F93" s="11" t="s">
        <v>274</v>
      </c>
      <c r="G93" t="s">
        <v>39</v>
      </c>
      <c r="H93" t="s">
        <v>275</v>
      </c>
      <c r="I93" t="s">
        <v>267</v>
      </c>
      <c r="J93" s="6" t="str">
        <f>HYPERLINK("https://www.biovista.com/db/link/%5B%5B%22Disease%7CCongenital%20Myasthenic%20Syndrome%22%5D,%20%5B%22Drug%7CSomatostatin%22%5D%5D?strength-weight-map=%257B%2522MEDLINE_STRENGTH_AB%2522:1.0,%2522HPO%2522:100.0%257D", "Show Evidence...")</f>
        <v>Show Evidence...</v>
      </c>
    </row>
    <row r="94" spans="1:10" ht="12.75">
      <c r="A94" s="2" t="s">
        <v>50</v>
      </c>
      <c r="B94" s="2" t="s">
        <v>51</v>
      </c>
      <c r="C94" s="2" t="s">
        <v>24</v>
      </c>
      <c r="D94" s="2" t="s">
        <v>52</v>
      </c>
      <c r="E94" s="2" t="s">
        <v>53</v>
      </c>
      <c r="F94" s="11" t="s">
        <v>276</v>
      </c>
      <c r="G94" t="s">
        <v>39</v>
      </c>
      <c r="H94" t="s">
        <v>277</v>
      </c>
      <c r="I94" t="s">
        <v>267</v>
      </c>
      <c r="J94" s="6" t="str">
        <f>HYPERLINK("https://www.biovista.com/db/link/%5B%5B%22Disease%7CCongenital%20Myasthenic%20Syndrome%22%5D,%20%5B%22Drug%7CTacrolimus%22%5D%5D?strength-weight-map=%257B%2522MEDLINE_STRENGTH_AB%2522:1.0,%2522HPO%2522:100.0%257D", "Show Evidence...")</f>
        <v>Show Evidence...</v>
      </c>
    </row>
    <row r="95" spans="1:10" ht="12.75">
      <c r="A95" s="2" t="s">
        <v>50</v>
      </c>
      <c r="B95" s="2" t="s">
        <v>51</v>
      </c>
      <c r="C95" s="2" t="s">
        <v>24</v>
      </c>
      <c r="D95" s="2" t="s">
        <v>52</v>
      </c>
      <c r="E95" s="2" t="s">
        <v>53</v>
      </c>
      <c r="F95" s="11" t="s">
        <v>278</v>
      </c>
      <c r="G95" t="s">
        <v>39</v>
      </c>
      <c r="H95" t="s">
        <v>279</v>
      </c>
      <c r="I95" t="s">
        <v>267</v>
      </c>
      <c r="J95" s="6" t="str">
        <f>HYPERLINK("https://www.biovista.com/db/link/%5B%5B%22Disease%7CCongenital%20Myasthenic%20Syndrome%22%5D,%20%5B%22Drug%7CThyroxine%22%5D%5D?strength-weight-map=%257B%2522MEDLINE_STRENGTH_AB%2522:1.0,%2522HPO%2522:100.0%257D", "Show Evidence...")</f>
        <v>Show Evidence...</v>
      </c>
    </row>
    <row r="96" spans="1:10" ht="12.75">
      <c r="A96" s="2" t="s">
        <v>50</v>
      </c>
      <c r="B96" s="2" t="s">
        <v>51</v>
      </c>
      <c r="C96" s="2" t="s">
        <v>24</v>
      </c>
      <c r="D96" s="2" t="s">
        <v>52</v>
      </c>
      <c r="E96" s="2" t="s">
        <v>53</v>
      </c>
      <c r="F96" s="11" t="s">
        <v>280</v>
      </c>
      <c r="G96" t="s">
        <v>39</v>
      </c>
      <c r="H96" t="s">
        <v>281</v>
      </c>
      <c r="I96" t="s">
        <v>267</v>
      </c>
      <c r="J96" s="6" t="str">
        <f>HYPERLINK("https://www.biovista.com/db/link/%5B%5B%22Disease%7CCongenital%20Myasthenic%20Syndrome%22%5D,%20%5B%22Drug%7CVitamin%20A%22%5D%5D?strength-weight-map=%257B%2522MEDLINE_STRENGTH_AB%2522:1.0,%2522HPO%2522:100.0%257D", "Show Evidence...")</f>
        <v>Show Evidence...</v>
      </c>
    </row>
    <row r="97" spans="1:10" ht="12.75">
      <c r="A97" s="2" t="s">
        <v>50</v>
      </c>
      <c r="B97" s="2" t="s">
        <v>51</v>
      </c>
      <c r="C97" s="2" t="s">
        <v>24</v>
      </c>
      <c r="D97" s="2" t="s">
        <v>52</v>
      </c>
      <c r="E97" s="2" t="s">
        <v>53</v>
      </c>
      <c r="F97" s="11" t="s">
        <v>282</v>
      </c>
      <c r="G97" t="s">
        <v>39</v>
      </c>
      <c r="H97" t="s">
        <v>283</v>
      </c>
      <c r="I97" t="s">
        <v>284</v>
      </c>
      <c r="J97" s="6" t="str">
        <f>HYPERLINK("https://www.biovista.com/db/link/%5B%5B%22Disease%7CCongenital%20Myasthenic%20Syndrome%22%5D,%20%5B%22Drug%7CCisplatin%22%5D%5D?strength-weight-map=%257B%2522MEDLINE_STRENGTH_AB%2522:1.0,%2522HPO%2522:100.0%257D", "Show Evidence...")</f>
        <v>Show Evidence...</v>
      </c>
    </row>
    <row r="98" spans="1:10" ht="12.75">
      <c r="A98" s="2" t="s">
        <v>50</v>
      </c>
      <c r="B98" s="2" t="s">
        <v>51</v>
      </c>
      <c r="C98" s="2" t="s">
        <v>24</v>
      </c>
      <c r="D98" s="2" t="s">
        <v>52</v>
      </c>
      <c r="E98" s="2" t="s">
        <v>53</v>
      </c>
      <c r="F98" s="11" t="s">
        <v>285</v>
      </c>
      <c r="G98" t="s">
        <v>39</v>
      </c>
      <c r="H98" t="s">
        <v>286</v>
      </c>
      <c r="I98" t="s">
        <v>284</v>
      </c>
      <c r="J98" s="6" t="str">
        <f>HYPERLINK("https://www.biovista.com/db/link/%5B%5B%22Disease%7CCongenital%20Myasthenic%20Syndrome%22%5D,%20%5B%22Drug%7CCocaine%22%5D%5D?strength-weight-map=%257B%2522MEDLINE_STRENGTH_AB%2522:1.0,%2522HPO%2522:100.0%257D", "Show Evidence...")</f>
        <v>Show Evidence...</v>
      </c>
    </row>
    <row r="99" spans="1:10" ht="12.75">
      <c r="A99" s="2" t="s">
        <v>50</v>
      </c>
      <c r="B99" s="2" t="s">
        <v>51</v>
      </c>
      <c r="C99" s="2" t="s">
        <v>24</v>
      </c>
      <c r="D99" s="2" t="s">
        <v>52</v>
      </c>
      <c r="E99" s="2" t="s">
        <v>53</v>
      </c>
      <c r="F99" s="11" t="s">
        <v>287</v>
      </c>
      <c r="G99" t="s">
        <v>39</v>
      </c>
      <c r="H99" t="s">
        <v>288</v>
      </c>
      <c r="I99" t="s">
        <v>284</v>
      </c>
      <c r="J99" s="6" t="str">
        <f>HYPERLINK("https://www.biovista.com/db/link/%5B%5B%22Disease%7CCongenital%20Myasthenic%20Syndrome%22%5D,%20%5B%22Drug%7CComplement%20C3%22%5D%5D?strength-weight-map=%257B%2522MEDLINE_STRENGTH_AB%2522:1.0,%2522HPO%2522:100.0%257D", "Show Evidence...")</f>
        <v>Show Evidence...</v>
      </c>
    </row>
    <row r="100" spans="1:10" ht="12.75">
      <c r="A100" s="2" t="s">
        <v>50</v>
      </c>
      <c r="B100" s="2" t="s">
        <v>51</v>
      </c>
      <c r="C100" s="2" t="s">
        <v>24</v>
      </c>
      <c r="D100" s="2" t="s">
        <v>52</v>
      </c>
      <c r="E100" s="2" t="s">
        <v>53</v>
      </c>
      <c r="F100" s="11" t="s">
        <v>289</v>
      </c>
      <c r="G100" t="s">
        <v>39</v>
      </c>
      <c r="H100" t="s">
        <v>290</v>
      </c>
      <c r="I100" t="s">
        <v>284</v>
      </c>
      <c r="J100" s="6" t="str">
        <f>HYPERLINK("https://www.biovista.com/db/link/%5B%5B%22Disease%7CCongenital%20Myasthenic%20Syndrome%22%5D,%20%5B%22Drug%7CDesipramine%22%5D%5D?strength-weight-map=%257B%2522MEDLINE_STRENGTH_AB%2522:1.0,%2522HPO%2522:100.0%257D", "Show Evidence...")</f>
        <v>Show Evidence...</v>
      </c>
    </row>
    <row r="101" spans="1:10" ht="12.75">
      <c r="A101" s="2" t="s">
        <v>50</v>
      </c>
      <c r="B101" s="2" t="s">
        <v>51</v>
      </c>
      <c r="C101" s="2" t="s">
        <v>24</v>
      </c>
      <c r="D101" s="2" t="s">
        <v>52</v>
      </c>
      <c r="E101" s="2" t="s">
        <v>53</v>
      </c>
      <c r="F101" s="11" t="s">
        <v>291</v>
      </c>
      <c r="G101" t="s">
        <v>39</v>
      </c>
      <c r="H101" t="s">
        <v>292</v>
      </c>
      <c r="I101" t="s">
        <v>284</v>
      </c>
      <c r="J101" s="6" t="str">
        <f>HYPERLINK("https://www.biovista.com/db/link/%5B%5B%22Disease%7CCongenital%20Myasthenic%20Syndrome%22%5D,%20%5B%22Drug%7CEther%22%5D%5D?strength-weight-map=%257B%2522MEDLINE_STRENGTH_AB%2522:1.0,%2522HPO%2522:100.0%257D", "Show Evidence...")</f>
        <v>Show Evidence...</v>
      </c>
    </row>
    <row r="102" spans="1:10" ht="12.75">
      <c r="A102" s="2" t="s">
        <v>50</v>
      </c>
      <c r="B102" s="2" t="s">
        <v>51</v>
      </c>
      <c r="C102" s="2" t="s">
        <v>24</v>
      </c>
      <c r="D102" s="2" t="s">
        <v>52</v>
      </c>
      <c r="E102" s="2" t="s">
        <v>293</v>
      </c>
      <c r="F102" s="11">
        <v>23607</v>
      </c>
      <c r="G102" t="s">
        <v>36</v>
      </c>
      <c r="H102" t="s">
        <v>294</v>
      </c>
      <c r="I102" t="s">
        <v>295</v>
      </c>
      <c r="J102" s="6" t="str">
        <f>HYPERLINK("https://www.biovista.com/db/link/%5B%5B%22Disease%7CCongenital%20Myasthenic%20Syndrome%22%5D,%20%5B%22Gene%7CCMS%22%5D%5D?strength-weight-map=%257B%2522MEDLINE_STRENGTH_AB%2522:1.0,%2522HPO%2522:100.0%257D", "Show Evidence...")</f>
        <v>Show Evidence...</v>
      </c>
    </row>
    <row r="103" spans="1:10" ht="12.75">
      <c r="A103" s="2" t="s">
        <v>50</v>
      </c>
      <c r="B103" s="2" t="s">
        <v>51</v>
      </c>
      <c r="C103" s="2" t="s">
        <v>24</v>
      </c>
      <c r="D103" s="2" t="s">
        <v>52</v>
      </c>
      <c r="E103" s="2" t="s">
        <v>53</v>
      </c>
      <c r="F103" s="11" t="s">
        <v>296</v>
      </c>
      <c r="G103" t="s">
        <v>36</v>
      </c>
      <c r="H103" t="s">
        <v>297</v>
      </c>
      <c r="I103" t="s">
        <v>298</v>
      </c>
      <c r="J103" s="6" t="str">
        <f>HYPERLINK("https://www.biovista.com/db/link/%5B%5B%22Disease%7CCongenital%20Myasthenic%20Syndrome%22%5D,%20%5B%22Gene%7CReceptors,%20Cholinergic%22%5D%5D?strength-weight-map=%257B%2522MEDLINE_STRENGTH_AB%2522:1.0,%2522HPO%2522:100.0%257D", "Show Evidence...")</f>
        <v>Show Evidence...</v>
      </c>
    </row>
    <row r="104" spans="1:10" ht="12.75">
      <c r="A104" s="2" t="s">
        <v>50</v>
      </c>
      <c r="B104" s="2" t="s">
        <v>51</v>
      </c>
      <c r="C104" s="2" t="s">
        <v>24</v>
      </c>
      <c r="D104" s="2" t="s">
        <v>52</v>
      </c>
      <c r="E104" s="2" t="s">
        <v>53</v>
      </c>
      <c r="F104" s="11" t="s">
        <v>296</v>
      </c>
      <c r="G104" t="s">
        <v>36</v>
      </c>
      <c r="H104" t="s">
        <v>299</v>
      </c>
      <c r="I104" t="s">
        <v>300</v>
      </c>
      <c r="J104" s="6" t="str">
        <f>HYPERLINK("https://www.biovista.com/db/link/%5B%5B%22Disease%7CCongenital%20Myasthenic%20Syndrome%22%5D,%20%5B%22Gene%7CAcetylCholine%20Receptor%22%5D%5D?strength-weight-map=%257B%2522MEDLINE_STRENGTH_AB%2522:1.0,%2522HPO%2522:100.0%257D", "Show Evidence...")</f>
        <v>Show Evidence...</v>
      </c>
    </row>
    <row r="105" spans="1:10" ht="12.75">
      <c r="A105" s="2" t="s">
        <v>50</v>
      </c>
      <c r="B105" s="2" t="s">
        <v>51</v>
      </c>
      <c r="C105" s="2" t="s">
        <v>24</v>
      </c>
      <c r="D105" s="2" t="s">
        <v>52</v>
      </c>
      <c r="E105" s="2" t="s">
        <v>53</v>
      </c>
      <c r="F105" s="11" t="s">
        <v>54</v>
      </c>
      <c r="G105" t="s">
        <v>36</v>
      </c>
      <c r="H105" t="s">
        <v>55</v>
      </c>
      <c r="I105" t="s">
        <v>56</v>
      </c>
      <c r="J105" s="6" t="str">
        <f>HYPERLINK("https://www.biovista.com/db/link/%5B%5B%22Disease%7CCongenital%20Myasthenic%20Syndrome%22%5D,%20%5B%22Gene%7CColistin%22%5D%5D?strength-weight-map=%257B%2522MEDLINE_STRENGTH_AB%2522:1.0,%2522HPO%2522:100.0%257D", "Show Evidence...")</f>
        <v>Show Evidence...</v>
      </c>
    </row>
    <row r="106" spans="1:10" ht="12.75">
      <c r="A106" s="2" t="s">
        <v>50</v>
      </c>
      <c r="B106" s="2" t="s">
        <v>51</v>
      </c>
      <c r="C106" s="2" t="s">
        <v>24</v>
      </c>
      <c r="D106" s="2" t="s">
        <v>52</v>
      </c>
      <c r="E106" s="2" t="s">
        <v>293</v>
      </c>
      <c r="F106" s="11">
        <v>43</v>
      </c>
      <c r="G106" t="s">
        <v>36</v>
      </c>
      <c r="H106" t="s">
        <v>301</v>
      </c>
      <c r="I106" t="s">
        <v>302</v>
      </c>
      <c r="J106" s="6" t="str">
        <f>HYPERLINK("https://www.biovista.com/db/link/%5B%5B%22Disease%7CCongenital%20Myasthenic%20Syndrome%22%5D,%20%5B%22Gene%7Cacetylcholinesterase%22%5D%5D?strength-weight-map=%257B%2522MEDLINE_STRENGTH_AB%2522:1.0,%2522HPO%2522:100.0%257D", "Show Evidence...")</f>
        <v>Show Evidence...</v>
      </c>
    </row>
    <row r="107" spans="1:10" ht="12.75">
      <c r="A107" s="2" t="s">
        <v>50</v>
      </c>
      <c r="B107" s="2" t="s">
        <v>51</v>
      </c>
      <c r="C107" s="2" t="s">
        <v>24</v>
      </c>
      <c r="D107" s="2" t="s">
        <v>52</v>
      </c>
      <c r="E107" s="2" t="s">
        <v>293</v>
      </c>
      <c r="F107" s="11">
        <v>5358</v>
      </c>
      <c r="G107" t="s">
        <v>36</v>
      </c>
      <c r="H107" t="s">
        <v>303</v>
      </c>
      <c r="I107" t="s">
        <v>304</v>
      </c>
      <c r="J107" s="6" t="str">
        <f>HYPERLINK("https://www.biovista.com/db/link/%5B%5B%22Disease%7CCongenital%20Myasthenic%20Syndrome%22%5D,%20%5B%22Gene%7CPLS3%22%5D%5D?strength-weight-map=%257B%2522MEDLINE_STRENGTH_AB%2522:1.0,%2522HPO%2522:100.0%257D", "Show Evidence...")</f>
        <v>Show Evidence...</v>
      </c>
    </row>
    <row r="108" spans="1:10" ht="12.75">
      <c r="A108" s="2" t="s">
        <v>50</v>
      </c>
      <c r="B108" s="2" t="s">
        <v>51</v>
      </c>
      <c r="C108" s="2" t="s">
        <v>24</v>
      </c>
      <c r="D108" s="2" t="s">
        <v>52</v>
      </c>
      <c r="E108" s="2" t="s">
        <v>293</v>
      </c>
      <c r="F108" s="11">
        <v>285489</v>
      </c>
      <c r="G108" t="s">
        <v>36</v>
      </c>
      <c r="H108" t="s">
        <v>305</v>
      </c>
      <c r="I108" t="s">
        <v>306</v>
      </c>
      <c r="J108" s="6" t="str">
        <f>HYPERLINK("https://www.biovista.com/db/link/%5B%5B%22Disease%7CCongenital%20Myasthenic%20Syndrome%22%5D,%20%5B%22Gene%7CDOK7%22%5D%5D?strength-weight-map=%257B%2522MEDLINE_STRENGTH_AB%2522:1.0,%2522HPO%2522:100.0%257D", "Show Evidence...")</f>
        <v>Show Evidence...</v>
      </c>
    </row>
    <row r="109" spans="1:10" ht="12.75">
      <c r="A109" s="2" t="s">
        <v>50</v>
      </c>
      <c r="B109" s="2" t="s">
        <v>51</v>
      </c>
      <c r="C109" s="2" t="s">
        <v>24</v>
      </c>
      <c r="D109" s="2" t="s">
        <v>52</v>
      </c>
      <c r="E109" s="2" t="s">
        <v>53</v>
      </c>
      <c r="F109" s="11" t="s">
        <v>307</v>
      </c>
      <c r="G109" t="s">
        <v>36</v>
      </c>
      <c r="H109" t="s">
        <v>308</v>
      </c>
      <c r="I109" t="s">
        <v>306</v>
      </c>
      <c r="J109" s="6" t="str">
        <f>HYPERLINK("https://www.biovista.com/db/link/%5B%5B%22Disease%7CCongenital%20Myasthenic%20Syndrome%22%5D,%20%5B%22Gene%7CReceptors,%20Nicotinic%22%5D%5D?strength-weight-map=%257B%2522MEDLINE_STRENGTH_AB%2522:1.0,%2522HPO%2522:100.0%257D", "Show Evidence...")</f>
        <v>Show Evidence...</v>
      </c>
    </row>
    <row r="110" spans="1:10" ht="12.75">
      <c r="A110" s="2" t="s">
        <v>50</v>
      </c>
      <c r="B110" s="2" t="s">
        <v>51</v>
      </c>
      <c r="C110" s="2" t="s">
        <v>24</v>
      </c>
      <c r="D110" s="2" t="s">
        <v>52</v>
      </c>
      <c r="E110" s="2" t="s">
        <v>309</v>
      </c>
      <c r="F110" s="11">
        <v>497258</v>
      </c>
      <c r="G110" t="s">
        <v>36</v>
      </c>
      <c r="H110" t="s">
        <v>310</v>
      </c>
      <c r="I110" t="s">
        <v>311</v>
      </c>
      <c r="J110" s="6" t="str">
        <f>HYPERLINK("https://www.biovista.com/db/link/%5B%5B%22Disease%7CCongenital%20Myasthenic%20Syndrome%22%5D,%20%5B%22Gene%7CBDNF%22%5D%5D?strength-weight-map=%257B%2522MEDLINE_STRENGTH_AB%2522:1.0,%2522HPO%2522:100.0%257D", "Show Evidence...")</f>
        <v>Show Evidence...</v>
      </c>
    </row>
    <row r="111" spans="1:10" ht="12.75">
      <c r="A111" s="2" t="s">
        <v>50</v>
      </c>
      <c r="B111" s="2" t="s">
        <v>51</v>
      </c>
      <c r="C111" s="2" t="s">
        <v>24</v>
      </c>
      <c r="D111" s="2" t="s">
        <v>52</v>
      </c>
      <c r="E111" s="2" t="s">
        <v>293</v>
      </c>
      <c r="F111" s="11">
        <v>8292</v>
      </c>
      <c r="G111" t="s">
        <v>36</v>
      </c>
      <c r="H111" t="s">
        <v>312</v>
      </c>
      <c r="I111" t="s">
        <v>313</v>
      </c>
      <c r="J111" s="6" t="str">
        <f>HYPERLINK("https://www.biovista.com/db/link/%5B%5B%22Disease%7CCongenital%20Myasthenic%20Syndrome%22%5D,%20%5B%22Gene%7CCOLQ%22%5D%5D?strength-weight-map=%257B%2522MEDLINE_STRENGTH_AB%2522:1.0,%2522HPO%2522:100.0%257D", "Show Evidence...")</f>
        <v>Show Evidence...</v>
      </c>
    </row>
    <row r="112" spans="1:10" ht="12.75">
      <c r="A112" s="2" t="s">
        <v>50</v>
      </c>
      <c r="B112" s="2" t="s">
        <v>51</v>
      </c>
      <c r="C112" s="2" t="s">
        <v>24</v>
      </c>
      <c r="D112" s="2" t="s">
        <v>52</v>
      </c>
      <c r="E112" s="2" t="s">
        <v>293</v>
      </c>
      <c r="F112" s="11">
        <v>9272629</v>
      </c>
      <c r="G112" t="s">
        <v>36</v>
      </c>
      <c r="H112" t="s">
        <v>314</v>
      </c>
      <c r="I112" t="s">
        <v>313</v>
      </c>
      <c r="J112" s="6" t="str">
        <f>HYPERLINK("https://www.biovista.com/db/link/%5B%5B%22Disease%7CCongenital%20Myasthenic%20Syndrome%22%5D,%20%5B%22Gene%7Cfertility%20restorer%22%5D%5D?strength-weight-map=%257B%2522MEDLINE_STRENGTH_AB%2522:1.0,%2522HPO%2522:100.0%257D", "Show Evidence...")</f>
        <v>Show Evidence...</v>
      </c>
    </row>
    <row r="113" spans="1:10" ht="12.75">
      <c r="A113" s="2" t="s">
        <v>50</v>
      </c>
      <c r="B113" s="2" t="s">
        <v>51</v>
      </c>
      <c r="C113" s="2" t="s">
        <v>24</v>
      </c>
      <c r="D113" s="2" t="s">
        <v>52</v>
      </c>
      <c r="E113" s="2" t="s">
        <v>293</v>
      </c>
      <c r="F113" s="11">
        <v>627</v>
      </c>
      <c r="G113" t="s">
        <v>36</v>
      </c>
      <c r="H113" t="s">
        <v>315</v>
      </c>
      <c r="I113" t="s">
        <v>316</v>
      </c>
      <c r="J113" s="6" t="str">
        <f>HYPERLINK("https://www.biovista.com/db/link/%5B%5B%22Disease%7CCongenital%20Myasthenic%20Syndrome%22%5D,%20%5B%22Gene%7Cbrain-derived%20neurotrophic%20factor%22%5D%5D?strength-weight-map=%257B%2522MEDLINE_STRENGTH_AB%2522:1.0,%2522HPO%2522:100.0%257D", "Show Evidence...")</f>
        <v>Show Evidence...</v>
      </c>
    </row>
    <row r="114" spans="1:10" ht="12.75">
      <c r="A114" s="2" t="s">
        <v>50</v>
      </c>
      <c r="B114" s="2" t="s">
        <v>51</v>
      </c>
      <c r="C114" s="2" t="s">
        <v>24</v>
      </c>
      <c r="D114" s="2" t="s">
        <v>52</v>
      </c>
      <c r="E114" s="2" t="s">
        <v>293</v>
      </c>
      <c r="F114" s="11">
        <v>850689</v>
      </c>
      <c r="G114" t="s">
        <v>36</v>
      </c>
      <c r="H114" t="s">
        <v>317</v>
      </c>
      <c r="I114" t="s">
        <v>316</v>
      </c>
      <c r="J114" s="6" t="str">
        <f>HYPERLINK("https://www.biovista.com/db/link/%5B%5B%22Disease%7CCongenital%20Myasthenic%20Syndrome%22%5D,%20%5B%22Gene%7CCMS1%22%5D%5D?strength-weight-map=%257B%2522MEDLINE_STRENGTH_AB%2522:1.0,%2522HPO%2522:100.0%257D", "Show Evidence...")</f>
        <v>Show Evidence...</v>
      </c>
    </row>
    <row r="115" spans="1:10" ht="12.75">
      <c r="A115" s="2" t="s">
        <v>50</v>
      </c>
      <c r="B115" s="2" t="s">
        <v>51</v>
      </c>
      <c r="C115" s="2" t="s">
        <v>24</v>
      </c>
      <c r="D115" s="2" t="s">
        <v>52</v>
      </c>
      <c r="E115" s="2" t="s">
        <v>293</v>
      </c>
      <c r="F115" s="11">
        <v>7124</v>
      </c>
      <c r="G115" t="s">
        <v>36</v>
      </c>
      <c r="H115" t="s">
        <v>318</v>
      </c>
      <c r="I115" t="s">
        <v>319</v>
      </c>
      <c r="J115" s="6" t="str">
        <f>HYPERLINK("https://www.biovista.com/db/link/%5B%5B%22Disease%7CCongenital%20Myasthenic%20Syndrome%22%5D,%20%5B%22Gene%7CTNF%22%5D%5D?strength-weight-map=%257B%2522MEDLINE_STRENGTH_AB%2522:1.0,%2522HPO%2522:100.0%257D", "Show Evidence...")</f>
        <v>Show Evidence...</v>
      </c>
    </row>
    <row r="116" spans="1:10" ht="12.75">
      <c r="A116" s="2" t="s">
        <v>50</v>
      </c>
      <c r="B116" s="2" t="s">
        <v>51</v>
      </c>
      <c r="C116" s="2" t="s">
        <v>24</v>
      </c>
      <c r="D116" s="2" t="s">
        <v>52</v>
      </c>
      <c r="E116" s="2" t="s">
        <v>293</v>
      </c>
      <c r="F116" s="11">
        <v>4593</v>
      </c>
      <c r="G116" t="s">
        <v>36</v>
      </c>
      <c r="H116" t="s">
        <v>320</v>
      </c>
      <c r="I116" t="s">
        <v>321</v>
      </c>
      <c r="J116" s="6" t="str">
        <f>HYPERLINK("https://www.biovista.com/db/link/%5B%5B%22Disease%7CCongenital%20Myasthenic%20Syndrome%22%5D,%20%5B%22Gene%7CMUSK%22%5D%5D?strength-weight-map=%257B%2522MEDLINE_STRENGTH_AB%2522:1.0,%2522HPO%2522:100.0%257D", "Show Evidence...")</f>
        <v>Show Evidence...</v>
      </c>
    </row>
    <row r="117" spans="1:10" ht="12.75">
      <c r="A117" s="2" t="s">
        <v>50</v>
      </c>
      <c r="B117" s="2" t="s">
        <v>51</v>
      </c>
      <c r="C117" s="2" t="s">
        <v>24</v>
      </c>
      <c r="D117" s="2" t="s">
        <v>52</v>
      </c>
      <c r="E117" s="2" t="s">
        <v>293</v>
      </c>
      <c r="F117" s="11">
        <v>5913</v>
      </c>
      <c r="G117" t="s">
        <v>36</v>
      </c>
      <c r="H117" t="s">
        <v>322</v>
      </c>
      <c r="I117" t="s">
        <v>323</v>
      </c>
      <c r="J117" s="6" t="str">
        <f>HYPERLINK("https://www.biovista.com/db/link/%5B%5B%22Disease%7CCongenital%20Myasthenic%20Syndrome%22%5D,%20%5B%22Gene%7CRAPSN%22%5D%5D?strength-weight-map=%257B%2522MEDLINE_STRENGTH_AB%2522:1.0,%2522HPO%2522:100.0%257D", "Show Evidence...")</f>
        <v>Show Evidence...</v>
      </c>
    </row>
    <row r="118" spans="1:10" ht="12.75">
      <c r="A118" s="2" t="s">
        <v>50</v>
      </c>
      <c r="B118" s="2" t="s">
        <v>51</v>
      </c>
      <c r="C118" s="2" t="s">
        <v>24</v>
      </c>
      <c r="D118" s="2" t="s">
        <v>52</v>
      </c>
      <c r="E118" s="2" t="s">
        <v>293</v>
      </c>
      <c r="F118" s="11">
        <v>106390267</v>
      </c>
      <c r="G118" t="s">
        <v>36</v>
      </c>
      <c r="H118" t="s">
        <v>324</v>
      </c>
      <c r="I118" t="s">
        <v>325</v>
      </c>
      <c r="J118" s="6" t="str">
        <f>HYPERLINK("https://www.biovista.com/db/link/%5B%5B%22Disease%7CCongenital%20Myasthenic%20Syndrome%22%5D,%20%5B%22Gene%7CLOC106390267%22%5D%5D?strength-weight-map=%257B%2522MEDLINE_STRENGTH_AB%2522:1.0,%2522HPO%2522:100.0%257D", "Show Evidence...")</f>
        <v>Show Evidence...</v>
      </c>
    </row>
    <row r="119" spans="1:10" ht="12.75">
      <c r="A119" s="2" t="s">
        <v>50</v>
      </c>
      <c r="B119" s="2" t="s">
        <v>51</v>
      </c>
      <c r="C119" s="2" t="s">
        <v>24</v>
      </c>
      <c r="D119" s="2" t="s">
        <v>52</v>
      </c>
      <c r="E119" s="2" t="s">
        <v>293</v>
      </c>
      <c r="F119" s="11">
        <v>375790</v>
      </c>
      <c r="G119" t="s">
        <v>36</v>
      </c>
      <c r="H119" t="s">
        <v>326</v>
      </c>
      <c r="I119" t="s">
        <v>327</v>
      </c>
      <c r="J119" s="6" t="str">
        <f>HYPERLINK("https://www.biovista.com/db/link/%5B%5B%22Disease%7CCongenital%20Myasthenic%20Syndrome%22%5D,%20%5B%22Gene%7CAGRIN%22%5D%5D?strength-weight-map=%257B%2522MEDLINE_STRENGTH_AB%2522:1.0,%2522HPO%2522:100.0%257D", "Show Evidence...")</f>
        <v>Show Evidence...</v>
      </c>
    </row>
    <row r="120" spans="1:10" ht="12.75">
      <c r="A120" s="2" t="s">
        <v>50</v>
      </c>
      <c r="B120" s="2" t="s">
        <v>51</v>
      </c>
      <c r="C120" s="2" t="s">
        <v>24</v>
      </c>
      <c r="D120" s="2" t="s">
        <v>52</v>
      </c>
      <c r="E120" s="2" t="s">
        <v>293</v>
      </c>
      <c r="F120" s="11">
        <v>41930</v>
      </c>
      <c r="G120" t="s">
        <v>36</v>
      </c>
      <c r="H120" t="s">
        <v>328</v>
      </c>
      <c r="I120" t="s">
        <v>83</v>
      </c>
      <c r="J120" s="6" t="str">
        <f>HYPERLINK("https://www.biovista.com/db/link/%5B%5B%22Disease%7CCongenital%20Myasthenic%20Syndrome%22%5D,%20%5B%22Gene%7Chemoglobin%22%5D%5D?strength-weight-map=%257B%2522MEDLINE_STRENGTH_AB%2522:1.0,%2522HPO%2522:100.0%257D", "Show Evidence...")</f>
        <v>Show Evidence...</v>
      </c>
    </row>
    <row r="121" spans="1:10" ht="12.75">
      <c r="A121" s="2" t="s">
        <v>50</v>
      </c>
      <c r="B121" s="2" t="s">
        <v>51</v>
      </c>
      <c r="C121" s="2" t="s">
        <v>24</v>
      </c>
      <c r="D121" s="2" t="s">
        <v>52</v>
      </c>
      <c r="E121" s="2" t="s">
        <v>293</v>
      </c>
      <c r="F121" s="11">
        <v>3569</v>
      </c>
      <c r="G121" t="s">
        <v>36</v>
      </c>
      <c r="H121" t="s">
        <v>329</v>
      </c>
      <c r="I121" t="s">
        <v>330</v>
      </c>
      <c r="J121" s="6" t="str">
        <f>HYPERLINK("https://www.biovista.com/db/link/%5B%5B%22Disease%7CCongenital%20Myasthenic%20Syndrome%22%5D,%20%5B%22Gene%7CIL6%22%5D%5D?strength-weight-map=%257B%2522MEDLINE_STRENGTH_AB%2522:1.0,%2522HPO%2522:100.0%257D", "Show Evidence...")</f>
        <v>Show Evidence...</v>
      </c>
    </row>
    <row r="122" spans="1:10" ht="12.75">
      <c r="A122" s="2" t="s">
        <v>50</v>
      </c>
      <c r="B122" s="2" t="s">
        <v>51</v>
      </c>
      <c r="C122" s="2" t="s">
        <v>24</v>
      </c>
      <c r="D122" s="2" t="s">
        <v>52</v>
      </c>
      <c r="E122" s="2" t="s">
        <v>293</v>
      </c>
      <c r="F122" s="11">
        <v>814827</v>
      </c>
      <c r="G122" t="s">
        <v>36</v>
      </c>
      <c r="H122" t="s">
        <v>331</v>
      </c>
      <c r="I122" t="s">
        <v>332</v>
      </c>
      <c r="J122" s="6" t="str">
        <f>HYPERLINK("https://www.biovista.com/db/link/%5B%5B%22Disease%7CCongenital%20Myasthenic%20Syndrome%22%5D,%20%5B%22Gene%7COTP85%22%5D%5D?strength-weight-map=%257B%2522MEDLINE_STRENGTH_AB%2522:1.0,%2522HPO%2522:100.0%257D", "Show Evidence...")</f>
        <v>Show Evidence...</v>
      </c>
    </row>
    <row r="123" spans="1:10" ht="12.75">
      <c r="A123" s="2" t="s">
        <v>50</v>
      </c>
      <c r="B123" s="2" t="s">
        <v>51</v>
      </c>
      <c r="C123" s="2" t="s">
        <v>24</v>
      </c>
      <c r="D123" s="2" t="s">
        <v>52</v>
      </c>
      <c r="E123" s="2" t="s">
        <v>293</v>
      </c>
      <c r="F123" s="11">
        <v>19228</v>
      </c>
      <c r="G123" t="s">
        <v>36</v>
      </c>
      <c r="H123" t="s">
        <v>333</v>
      </c>
      <c r="I123" t="s">
        <v>334</v>
      </c>
      <c r="J123" s="6" t="str">
        <f>HYPERLINK("https://www.biovista.com/db/link/%5B%5B%22Disease%7CCongenital%20Myasthenic%20Syndrome%22%5D,%20%5B%22Gene%7CPPR%22%5D%5D?strength-weight-map=%257B%2522MEDLINE_STRENGTH_AB%2522:1.0,%2522HPO%2522:100.0%257D", "Show Evidence...")</f>
        <v>Show Evidence...</v>
      </c>
    </row>
    <row r="124" spans="1:10" ht="12.75">
      <c r="A124" s="2" t="s">
        <v>50</v>
      </c>
      <c r="B124" s="2" t="s">
        <v>51</v>
      </c>
      <c r="C124" s="2" t="s">
        <v>24</v>
      </c>
      <c r="D124" s="2" t="s">
        <v>52</v>
      </c>
      <c r="E124" s="2" t="s">
        <v>293</v>
      </c>
      <c r="F124" s="11">
        <v>3553</v>
      </c>
      <c r="G124" t="s">
        <v>36</v>
      </c>
      <c r="H124" t="s">
        <v>335</v>
      </c>
      <c r="I124" t="s">
        <v>336</v>
      </c>
      <c r="J124" s="6" t="str">
        <f>HYPERLINK("https://www.biovista.com/db/link/%5B%5B%22Disease%7CCongenital%20Myasthenic%20Syndrome%22%5D,%20%5B%22Gene%7CIL1B%22%5D%5D?strength-weight-map=%257B%2522MEDLINE_STRENGTH_AB%2522:1.0,%2522HPO%2522:100.0%257D", "Show Evidence...")</f>
        <v>Show Evidence...</v>
      </c>
    </row>
    <row r="125" spans="1:10" ht="12.75">
      <c r="A125" s="2" t="s">
        <v>50</v>
      </c>
      <c r="B125" s="2" t="s">
        <v>51</v>
      </c>
      <c r="C125" s="2" t="s">
        <v>24</v>
      </c>
      <c r="D125" s="2" t="s">
        <v>52</v>
      </c>
      <c r="E125" s="2" t="s">
        <v>293</v>
      </c>
      <c r="F125" s="11">
        <v>2673</v>
      </c>
      <c r="G125" t="s">
        <v>36</v>
      </c>
      <c r="H125" t="s">
        <v>337</v>
      </c>
      <c r="I125" t="s">
        <v>338</v>
      </c>
      <c r="J125" s="6" t="str">
        <f>HYPERLINK("https://www.biovista.com/db/link/%5B%5B%22Disease%7CCongenital%20Myasthenic%20Syndrome%22%5D,%20%5B%22Gene%7CGFPT1%22%5D%5D?strength-weight-map=%257B%2522MEDLINE_STRENGTH_AB%2522:1.0,%2522HPO%2522:100.0%257D", "Show Evidence...")</f>
        <v>Show Evidence...</v>
      </c>
    </row>
    <row r="126" spans="1:10" ht="12.75">
      <c r="A126" s="2" t="s">
        <v>50</v>
      </c>
      <c r="B126" s="2" t="s">
        <v>51</v>
      </c>
      <c r="C126" s="2" t="s">
        <v>24</v>
      </c>
      <c r="D126" s="2" t="s">
        <v>52</v>
      </c>
      <c r="E126" s="2" t="s">
        <v>293</v>
      </c>
      <c r="F126" s="11">
        <v>5913</v>
      </c>
      <c r="G126" t="s">
        <v>36</v>
      </c>
      <c r="H126" t="s">
        <v>339</v>
      </c>
      <c r="I126" t="s">
        <v>338</v>
      </c>
      <c r="J126" s="6" t="str">
        <f>HYPERLINK("https://www.biovista.com/db/link/%5B%5B%22Disease%7CCongenital%20Myasthenic%20Syndrome%22%5D,%20%5B%22Gene%7CRAPSYN%22%5D%5D?strength-weight-map=%257B%2522MEDLINE_STRENGTH_AB%2522:1.0,%2522HPO%2522:100.0%257D", "Show Evidence...")</f>
        <v>Show Evidence...</v>
      </c>
    </row>
    <row r="127" spans="1:10" ht="12.75">
      <c r="A127" s="2" t="s">
        <v>50</v>
      </c>
      <c r="B127" s="2" t="s">
        <v>51</v>
      </c>
      <c r="C127" s="2" t="s">
        <v>24</v>
      </c>
      <c r="D127" s="2" t="s">
        <v>52</v>
      </c>
      <c r="E127" s="2" t="s">
        <v>293</v>
      </c>
      <c r="F127" s="11">
        <v>6647</v>
      </c>
      <c r="G127" t="s">
        <v>36</v>
      </c>
      <c r="H127" t="s">
        <v>340</v>
      </c>
      <c r="I127" t="s">
        <v>338</v>
      </c>
      <c r="J127" s="6" t="str">
        <f>HYPERLINK("https://www.biovista.com/db/link/%5B%5B%22Disease%7CCongenital%20Myasthenic%20Syndrome%22%5D,%20%5B%22Gene%7CSOD%22%5D%5D?strength-weight-map=%257B%2522MEDLINE_STRENGTH_AB%2522:1.0,%2522HPO%2522:100.0%257D", "Show Evidence...")</f>
        <v>Show Evidence...</v>
      </c>
    </row>
    <row r="128" spans="1:10" ht="12.75">
      <c r="A128" s="2" t="s">
        <v>50</v>
      </c>
      <c r="B128" s="2" t="s">
        <v>51</v>
      </c>
      <c r="C128" s="2" t="s">
        <v>24</v>
      </c>
      <c r="D128" s="2" t="s">
        <v>52</v>
      </c>
      <c r="E128" s="2" t="s">
        <v>293</v>
      </c>
      <c r="F128" s="11">
        <v>542841</v>
      </c>
      <c r="G128" t="s">
        <v>36</v>
      </c>
      <c r="H128" t="s">
        <v>341</v>
      </c>
      <c r="I128" t="s">
        <v>342</v>
      </c>
      <c r="J128" s="6" t="str">
        <f>HYPERLINK("https://www.biovista.com/db/link/%5B%5B%22Disease%7CCongenital%20Myasthenic%20Syndrome%22%5D,%20%5B%22Gene%7CMIPS%22%5D%5D?strength-weight-map=%257B%2522MEDLINE_STRENGTH_AB%2522:1.0,%2522HPO%2522:100.0%257D", "Show Evidence...")</f>
        <v>Show Evidence...</v>
      </c>
    </row>
    <row r="129" spans="1:10" ht="12.75">
      <c r="A129" s="2" t="s">
        <v>50</v>
      </c>
      <c r="B129" s="2" t="s">
        <v>51</v>
      </c>
      <c r="C129" s="2" t="s">
        <v>24</v>
      </c>
      <c r="D129" s="2" t="s">
        <v>52</v>
      </c>
      <c r="E129" s="2" t="s">
        <v>293</v>
      </c>
      <c r="F129" s="11">
        <v>1134</v>
      </c>
      <c r="G129" t="s">
        <v>36</v>
      </c>
      <c r="H129" t="s">
        <v>343</v>
      </c>
      <c r="I129" t="s">
        <v>344</v>
      </c>
      <c r="J129" s="6" t="str">
        <f>HYPERLINK("https://www.biovista.com/db/link/%5B%5B%22Disease%7CCongenital%20Myasthenic%20Syndrome%22%5D,%20%5B%22Gene%7CCHRNA1%22%5D%5D?strength-weight-map=%257B%2522MEDLINE_STRENGTH_AB%2522:1.0,%2522HPO%2522:100.0%257D", "Show Evidence...")</f>
        <v>Show Evidence...</v>
      </c>
    </row>
    <row r="130" spans="1:10" ht="12.75">
      <c r="A130" s="2" t="s">
        <v>50</v>
      </c>
      <c r="B130" s="2" t="s">
        <v>51</v>
      </c>
      <c r="C130" s="2" t="s">
        <v>24</v>
      </c>
      <c r="D130" s="2" t="s">
        <v>52</v>
      </c>
      <c r="E130" s="2" t="s">
        <v>293</v>
      </c>
      <c r="F130" s="11">
        <v>12647</v>
      </c>
      <c r="G130" t="s">
        <v>36</v>
      </c>
      <c r="H130" t="s">
        <v>345</v>
      </c>
      <c r="I130" t="s">
        <v>346</v>
      </c>
      <c r="J130" s="6" t="str">
        <f>HYPERLINK("https://www.biovista.com/db/link/%5B%5B%22Disease%7CCongenital%20Myasthenic%20Syndrome%22%5D,%20%5B%22Gene%7Ccholine%20acetyltransferase%22%5D%5D?strength-weight-map=%257B%2522MEDLINE_STRENGTH_AB%2522:1.0,%2522HPO%2522:100.0%257D", "Show Evidence...")</f>
        <v>Show Evidence...</v>
      </c>
    </row>
    <row r="131" spans="1:10" ht="12.75">
      <c r="A131" s="2" t="s">
        <v>50</v>
      </c>
      <c r="B131" s="2" t="s">
        <v>51</v>
      </c>
      <c r="C131" s="2" t="s">
        <v>24</v>
      </c>
      <c r="D131" s="2" t="s">
        <v>52</v>
      </c>
      <c r="E131" s="2" t="s">
        <v>293</v>
      </c>
      <c r="F131" s="11">
        <v>56994</v>
      </c>
      <c r="G131" t="s">
        <v>36</v>
      </c>
      <c r="H131" t="s">
        <v>347</v>
      </c>
      <c r="I131" t="s">
        <v>346</v>
      </c>
      <c r="J131" s="6" t="str">
        <f>HYPERLINK("https://www.biovista.com/db/link/%5B%5B%22Disease%7CCongenital%20Myasthenic%20Syndrome%22%5D,%20%5B%22Gene%7CCPT%22%5D%5D?strength-weight-map=%257B%2522MEDLINE_STRENGTH_AB%2522:1.0,%2522HPO%2522:100.0%257D", "Show Evidence...")</f>
        <v>Show Evidence...</v>
      </c>
    </row>
    <row r="132" spans="1:10" ht="12.75">
      <c r="A132" s="2" t="s">
        <v>50</v>
      </c>
      <c r="B132" s="2" t="s">
        <v>51</v>
      </c>
      <c r="C132" s="2" t="s">
        <v>24</v>
      </c>
      <c r="D132" s="2" t="s">
        <v>52</v>
      </c>
      <c r="E132" s="2" t="s">
        <v>293</v>
      </c>
      <c r="F132" s="11">
        <v>590</v>
      </c>
      <c r="G132" t="s">
        <v>36</v>
      </c>
      <c r="H132" t="s">
        <v>348</v>
      </c>
      <c r="I132" t="s">
        <v>349</v>
      </c>
      <c r="J132" s="6" t="str">
        <f>HYPERLINK("https://www.biovista.com/db/link/%5B%5B%22Disease%7CCongenital%20Myasthenic%20Syndrome%22%5D,%20%5B%22Gene%7Ccholinesterase%22%5D%5D?strength-weight-map=%257B%2522MEDLINE_STRENGTH_AB%2522:1.0,%2522HPO%2522:100.0%257D", "Show Evidence...")</f>
        <v>Show Evidence...</v>
      </c>
    </row>
    <row r="133" spans="1:10" ht="12.75">
      <c r="A133" s="2" t="s">
        <v>50</v>
      </c>
      <c r="B133" s="2" t="s">
        <v>51</v>
      </c>
      <c r="C133" s="2" t="s">
        <v>24</v>
      </c>
      <c r="D133" s="2" t="s">
        <v>52</v>
      </c>
      <c r="E133" s="2" t="s">
        <v>293</v>
      </c>
      <c r="F133" s="11">
        <v>34068</v>
      </c>
      <c r="G133" t="s">
        <v>36</v>
      </c>
      <c r="H133" t="s">
        <v>350</v>
      </c>
      <c r="I133" t="s">
        <v>351</v>
      </c>
      <c r="J133" s="6" t="str">
        <f>HYPERLINK("https://www.biovista.com/db/link/%5B%5B%22Disease%7CCongenital%20Myasthenic%20Syndrome%22%5D,%20%5B%22Gene%7Claminin%22%5D%5D?strength-weight-map=%257B%2522MEDLINE_STRENGTH_AB%2522:1.0,%2522HPO%2522:100.0%257D", "Show Evidence...")</f>
        <v>Show Evidence...</v>
      </c>
    </row>
    <row r="134" spans="1:10" ht="12.75">
      <c r="A134" s="2" t="s">
        <v>50</v>
      </c>
      <c r="B134" s="2" t="s">
        <v>51</v>
      </c>
      <c r="C134" s="2" t="s">
        <v>24</v>
      </c>
      <c r="D134" s="2" t="s">
        <v>52</v>
      </c>
      <c r="E134" s="2" t="s">
        <v>293</v>
      </c>
      <c r="F134" s="11">
        <v>1213</v>
      </c>
      <c r="G134" t="s">
        <v>36</v>
      </c>
      <c r="H134" t="s">
        <v>352</v>
      </c>
      <c r="I134" t="s">
        <v>353</v>
      </c>
      <c r="J134" s="6" t="str">
        <f>HYPERLINK("https://www.biovista.com/db/link/%5B%5B%22Disease%7CCongenital%20Myasthenic%20Syndrome%22%5D,%20%5B%22Gene%7CHC%22%5D%5D?strength-weight-map=%257B%2522MEDLINE_STRENGTH_AB%2522:1.0,%2522HPO%2522:100.0%257D", "Show Evidence...")</f>
        <v>Show Evidence...</v>
      </c>
    </row>
    <row r="135" spans="1:10" ht="12.75">
      <c r="A135" s="2" t="s">
        <v>50</v>
      </c>
      <c r="B135" s="2" t="s">
        <v>51</v>
      </c>
      <c r="C135" s="2" t="s">
        <v>24</v>
      </c>
      <c r="D135" s="2" t="s">
        <v>52</v>
      </c>
      <c r="E135" s="2" t="s">
        <v>293</v>
      </c>
      <c r="F135" s="11">
        <v>10699</v>
      </c>
      <c r="G135" t="s">
        <v>36</v>
      </c>
      <c r="H135" t="s">
        <v>354</v>
      </c>
      <c r="I135" t="s">
        <v>353</v>
      </c>
      <c r="J135" s="6" t="str">
        <f>HYPERLINK("https://www.biovista.com/db/link/%5B%5B%22Disease%7CCongenital%20Myasthenic%20Syndrome%22%5D,%20%5B%22Gene%7CLRP4%22%5D%5D?strength-weight-map=%257B%2522MEDLINE_STRENGTH_AB%2522:1.0,%2522HPO%2522:100.0%257D", "Show Evidence...")</f>
        <v>Show Evidence...</v>
      </c>
    </row>
    <row r="136" spans="1:10" ht="12.75">
      <c r="A136" s="2" t="s">
        <v>50</v>
      </c>
      <c r="B136" s="2" t="s">
        <v>51</v>
      </c>
      <c r="C136" s="2" t="s">
        <v>24</v>
      </c>
      <c r="D136" s="2" t="s">
        <v>52</v>
      </c>
      <c r="E136" s="2" t="s">
        <v>293</v>
      </c>
      <c r="F136" s="11">
        <v>375790</v>
      </c>
      <c r="G136" t="s">
        <v>36</v>
      </c>
      <c r="H136" t="s">
        <v>355</v>
      </c>
      <c r="I136" t="s">
        <v>356</v>
      </c>
      <c r="J136" s="6" t="str">
        <f>HYPERLINK("https://www.biovista.com/db/link/%5B%5B%22Disease%7CCongenital%20Myasthenic%20Syndrome%22%5D,%20%5B%22Gene%7CAGRN%22%5D%5D?strength-weight-map=%257B%2522MEDLINE_STRENGTH_AB%2522:1.0,%2522HPO%2522:100.0%257D", "Show Evidence...")</f>
        <v>Show Evidence...</v>
      </c>
    </row>
    <row r="137" spans="1:10" ht="12.75">
      <c r="A137" s="2" t="s">
        <v>50</v>
      </c>
      <c r="B137" s="2" t="s">
        <v>51</v>
      </c>
      <c r="C137" s="2" t="s">
        <v>24</v>
      </c>
      <c r="D137" s="2" t="s">
        <v>52</v>
      </c>
      <c r="E137" s="2" t="s">
        <v>293</v>
      </c>
      <c r="F137" s="11">
        <v>673</v>
      </c>
      <c r="G137" t="s">
        <v>36</v>
      </c>
      <c r="H137" t="s">
        <v>357</v>
      </c>
      <c r="I137" t="s">
        <v>356</v>
      </c>
      <c r="J137" s="6" t="str">
        <f>HYPERLINK("https://www.biovista.com/db/link/%5B%5B%22Disease%7CCongenital%20Myasthenic%20Syndrome%22%5D,%20%5B%22Gene%7CBRAF%22%5D%5D?strength-weight-map=%257B%2522MEDLINE_STRENGTH_AB%2522:1.0,%2522HPO%2522:100.0%257D", "Show Evidence...")</f>
        <v>Show Evidence...</v>
      </c>
    </row>
    <row r="138" spans="1:10" ht="12.75">
      <c r="A138" s="2" t="s">
        <v>50</v>
      </c>
      <c r="B138" s="2" t="s">
        <v>51</v>
      </c>
      <c r="C138" s="2" t="s">
        <v>24</v>
      </c>
      <c r="D138" s="2" t="s">
        <v>52</v>
      </c>
      <c r="E138" s="2" t="s">
        <v>293</v>
      </c>
      <c r="F138" s="11">
        <v>3630</v>
      </c>
      <c r="G138" t="s">
        <v>36</v>
      </c>
      <c r="H138" t="s">
        <v>358</v>
      </c>
      <c r="I138" t="s">
        <v>356</v>
      </c>
      <c r="J138" s="6" t="str">
        <f>HYPERLINK("https://www.biovista.com/db/link/%5B%5B%22Disease%7CCongenital%20Myasthenic%20Syndrome%22%5D,%20%5B%22Gene%7CINS%22%5D%5D?strength-weight-map=%257B%2522MEDLINE_STRENGTH_AB%2522:1.0,%2522HPO%2522:100.0%257D", "Show Evidence...")</f>
        <v>Show Evidence...</v>
      </c>
    </row>
    <row r="139" spans="1:10" ht="12.75">
      <c r="A139" s="2" t="s">
        <v>50</v>
      </c>
      <c r="B139" s="2" t="s">
        <v>51</v>
      </c>
      <c r="C139" s="2" t="s">
        <v>24</v>
      </c>
      <c r="D139" s="2" t="s">
        <v>52</v>
      </c>
      <c r="E139" s="2" t="s">
        <v>53</v>
      </c>
      <c r="F139" s="11" t="s">
        <v>359</v>
      </c>
      <c r="G139" t="s">
        <v>36</v>
      </c>
      <c r="H139" t="s">
        <v>360</v>
      </c>
      <c r="I139" t="s">
        <v>92</v>
      </c>
      <c r="J139" s="6" t="str">
        <f>HYPERLINK("https://www.biovista.com/db/link/%5B%5B%22Disease%7CCongenital%20Myasthenic%20Syndrome%22%5D,%20%5B%22Gene%7Cmuscle-specific%20kinase%22%5D%5D?strength-weight-map=%257B%2522MEDLINE_STRENGTH_AB%2522:1.0,%2522HPO%2522:100.0%257D", "Show Evidence...")</f>
        <v>Show Evidence...</v>
      </c>
    </row>
    <row r="140" spans="1:10" ht="12.75">
      <c r="A140" s="2" t="s">
        <v>50</v>
      </c>
      <c r="B140" s="2" t="s">
        <v>51</v>
      </c>
      <c r="C140" s="2" t="s">
        <v>24</v>
      </c>
      <c r="D140" s="2" t="s">
        <v>52</v>
      </c>
      <c r="E140" s="2" t="s">
        <v>293</v>
      </c>
      <c r="F140" s="11">
        <v>1103</v>
      </c>
      <c r="G140" t="s">
        <v>36</v>
      </c>
      <c r="H140" t="s">
        <v>361</v>
      </c>
      <c r="I140" t="s">
        <v>362</v>
      </c>
      <c r="J140" s="6" t="str">
        <f>HYPERLINK("https://www.biovista.com/db/link/%5B%5B%22Disease%7CCongenital%20Myasthenic%20Syndrome%22%5D,%20%5B%22Gene%7Ccholine%20O-acetyltransferase%22%5D%5D?strength-weight-map=%257B%2522MEDLINE_STRENGTH_AB%2522:1.0,%2522HPO%2522:100.0%257D", "Show Evidence...")</f>
        <v>Show Evidence...</v>
      </c>
    </row>
    <row r="141" spans="1:10" ht="12.75">
      <c r="A141" s="2" t="s">
        <v>50</v>
      </c>
      <c r="B141" s="2" t="s">
        <v>51</v>
      </c>
      <c r="C141" s="2" t="s">
        <v>24</v>
      </c>
      <c r="D141" s="2" t="s">
        <v>52</v>
      </c>
      <c r="E141" s="2" t="s">
        <v>293</v>
      </c>
      <c r="F141" s="11">
        <v>114787</v>
      </c>
      <c r="G141" t="s">
        <v>36</v>
      </c>
      <c r="H141" t="s">
        <v>363</v>
      </c>
      <c r="I141" t="s">
        <v>362</v>
      </c>
      <c r="J141" s="6" t="str">
        <f>HYPERLINK("https://www.biovista.com/db/link/%5B%5B%22Disease%7CCongenital%20Myasthenic%20Syndrome%22%5D,%20%5B%22Gene%7CGRIN1%22%5D%5D?strength-weight-map=%257B%2522MEDLINE_STRENGTH_AB%2522:1.0,%2522HPO%2522:100.0%257D", "Show Evidence...")</f>
        <v>Show Evidence...</v>
      </c>
    </row>
    <row r="142" spans="1:10" ht="12.75">
      <c r="A142" s="2" t="s">
        <v>50</v>
      </c>
      <c r="B142" s="2" t="s">
        <v>51</v>
      </c>
      <c r="C142" s="2" t="s">
        <v>24</v>
      </c>
      <c r="D142" s="2" t="s">
        <v>52</v>
      </c>
      <c r="E142" s="2" t="s">
        <v>293</v>
      </c>
      <c r="F142" s="11">
        <v>809454</v>
      </c>
      <c r="G142" t="s">
        <v>36</v>
      </c>
      <c r="H142" t="s">
        <v>364</v>
      </c>
      <c r="I142" t="s">
        <v>95</v>
      </c>
      <c r="J142" s="6" t="str">
        <f>HYPERLINK("https://www.biovista.com/db/link/%5B%5B%22Disease%7CCongenital%20Myasthenic%20Syndrome%22%5D,%20%5B%22Gene%7Catp9%22%5D%5D?strength-weight-map=%257B%2522MEDLINE_STRENGTH_AB%2522:1.0,%2522HPO%2522:100.0%257D", "Show Evidence...")</f>
        <v>Show Evidence...</v>
      </c>
    </row>
    <row r="143" spans="1:10" ht="12.75">
      <c r="A143" s="2" t="s">
        <v>50</v>
      </c>
      <c r="B143" s="2" t="s">
        <v>51</v>
      </c>
      <c r="C143" s="2" t="s">
        <v>24</v>
      </c>
      <c r="D143" s="2" t="s">
        <v>52</v>
      </c>
      <c r="E143" s="2" t="s">
        <v>53</v>
      </c>
      <c r="F143" s="11" t="s">
        <v>93</v>
      </c>
      <c r="G143" t="s">
        <v>36</v>
      </c>
      <c r="H143" t="s">
        <v>94</v>
      </c>
      <c r="I143" t="s">
        <v>95</v>
      </c>
      <c r="J143" s="6" t="str">
        <f>HYPERLINK("https://www.biovista.com/db/link/%5B%5B%22Disease%7CCongenital%20Myasthenic%20Syndrome%22%5D,%20%5B%22Gene%7CPolymyxins%22%5D%5D?strength-weight-map=%257B%2522MEDLINE_STRENGTH_AB%2522:1.0,%2522HPO%2522:100.0%257D", "Show Evidence...")</f>
        <v>Show Evidence...</v>
      </c>
    </row>
    <row r="144" spans="1:10" ht="12.75">
      <c r="A144" s="2" t="s">
        <v>50</v>
      </c>
      <c r="B144" s="2" t="s">
        <v>51</v>
      </c>
      <c r="C144" s="2" t="s">
        <v>24</v>
      </c>
      <c r="D144" s="2" t="s">
        <v>52</v>
      </c>
      <c r="E144" s="2" t="s">
        <v>53</v>
      </c>
      <c r="F144" s="11" t="s">
        <v>365</v>
      </c>
      <c r="G144" t="s">
        <v>36</v>
      </c>
      <c r="H144" t="s">
        <v>366</v>
      </c>
      <c r="I144" t="s">
        <v>367</v>
      </c>
      <c r="J144" s="6" t="str">
        <f>HYPERLINK("https://www.biovista.com/db/link/%5B%5B%22Disease%7CCongenital%20Myasthenic%20Syndrome%22%5D,%20%5B%22Gene%7CAdaptor%20Proteins,%20Signal%20Transducing%22%5D%5D?strength-weight-map=%257B%2522MEDLINE_STRENGTH_AB%2522:1.0,%2522HPO%2522:100.0%257D", "Show Evidence...")</f>
        <v>Show Evidence...</v>
      </c>
    </row>
    <row r="145" spans="1:10" ht="12.75">
      <c r="A145" s="2" t="s">
        <v>50</v>
      </c>
      <c r="B145" s="2" t="s">
        <v>51</v>
      </c>
      <c r="C145" s="2" t="s">
        <v>24</v>
      </c>
      <c r="D145" s="2" t="s">
        <v>52</v>
      </c>
      <c r="E145" s="2" t="s">
        <v>293</v>
      </c>
      <c r="F145" s="11">
        <v>3913</v>
      </c>
      <c r="G145" t="s">
        <v>36</v>
      </c>
      <c r="H145" t="s">
        <v>368</v>
      </c>
      <c r="I145" t="s">
        <v>367</v>
      </c>
      <c r="J145" s="6" t="str">
        <f>HYPERLINK("https://www.biovista.com/db/link/%5B%5B%22Disease%7CCongenital%20Myasthenic%20Syndrome%22%5D,%20%5B%22Gene%7CLAMB2%22%5D%5D?strength-weight-map=%257B%2522MEDLINE_STRENGTH_AB%2522:1.0,%2522HPO%2522:100.0%257D", "Show Evidence...")</f>
        <v>Show Evidence...</v>
      </c>
    </row>
    <row r="146" spans="1:10" ht="12.75">
      <c r="A146" s="2" t="s">
        <v>50</v>
      </c>
      <c r="B146" s="2" t="s">
        <v>51</v>
      </c>
      <c r="C146" s="2" t="s">
        <v>24</v>
      </c>
      <c r="D146" s="2" t="s">
        <v>52</v>
      </c>
      <c r="E146" s="2" t="s">
        <v>293</v>
      </c>
      <c r="F146" s="11">
        <v>847</v>
      </c>
      <c r="G146" t="s">
        <v>36</v>
      </c>
      <c r="H146" t="s">
        <v>369</v>
      </c>
      <c r="I146" t="s">
        <v>98</v>
      </c>
      <c r="J146" s="6" t="str">
        <f>HYPERLINK("https://www.biovista.com/db/link/%5B%5B%22Disease%7CCongenital%20Myasthenic%20Syndrome%22%5D,%20%5B%22Gene%7Ccatalase%22%5D%5D?strength-weight-map=%257B%2522MEDLINE_STRENGTH_AB%2522:1.0,%2522HPO%2522:100.0%257D", "Show Evidence...")</f>
        <v>Show Evidence...</v>
      </c>
    </row>
    <row r="147" spans="1:10" ht="12.75">
      <c r="A147" s="2" t="s">
        <v>50</v>
      </c>
      <c r="B147" s="2" t="s">
        <v>51</v>
      </c>
      <c r="C147" s="2" t="s">
        <v>24</v>
      </c>
      <c r="D147" s="2" t="s">
        <v>52</v>
      </c>
      <c r="E147" s="2" t="s">
        <v>293</v>
      </c>
      <c r="F147" s="11">
        <v>3845</v>
      </c>
      <c r="G147" t="s">
        <v>36</v>
      </c>
      <c r="H147" t="s">
        <v>370</v>
      </c>
      <c r="I147" t="s">
        <v>371</v>
      </c>
      <c r="J147" s="6" t="str">
        <f>HYPERLINK("https://www.biovista.com/db/link/%5B%5B%22Disease%7CCongenital%20Myasthenic%20Syndrome%22%5D,%20%5B%22Gene%7CKRAS%22%5D%5D?strength-weight-map=%257B%2522MEDLINE_STRENGTH_AB%2522:1.0,%2522HPO%2522:100.0%257D", "Show Evidence...")</f>
        <v>Show Evidence...</v>
      </c>
    </row>
    <row r="148" spans="1:10" ht="12.75">
      <c r="A148" s="2" t="s">
        <v>50</v>
      </c>
      <c r="B148" s="2" t="s">
        <v>51</v>
      </c>
      <c r="C148" s="2" t="s">
        <v>24</v>
      </c>
      <c r="D148" s="2" t="s">
        <v>52</v>
      </c>
      <c r="E148" s="2" t="s">
        <v>293</v>
      </c>
      <c r="F148" s="11">
        <v>10468</v>
      </c>
      <c r="G148" t="s">
        <v>36</v>
      </c>
      <c r="H148" t="s">
        <v>372</v>
      </c>
      <c r="I148" t="s">
        <v>101</v>
      </c>
      <c r="J148" s="6" t="str">
        <f>HYPERLINK("https://www.biovista.com/db/link/%5B%5B%22Disease%7CCongenital%20Myasthenic%20Syndrome%22%5D,%20%5B%22Gene%7CFST%22%5D%5D?strength-weight-map=%257B%2522MEDLINE_STRENGTH_AB%2522:1.0,%2522HPO%2522:100.0%257D", "Show Evidence...")</f>
        <v>Show Evidence...</v>
      </c>
    </row>
    <row r="149" spans="1:10" ht="12.75">
      <c r="A149" s="2" t="s">
        <v>50</v>
      </c>
      <c r="B149" s="2" t="s">
        <v>51</v>
      </c>
      <c r="C149" s="2" t="s">
        <v>24</v>
      </c>
      <c r="D149" s="2" t="s">
        <v>52</v>
      </c>
      <c r="E149" s="2" t="s">
        <v>293</v>
      </c>
      <c r="F149" s="11">
        <v>936995</v>
      </c>
      <c r="G149" t="s">
        <v>36</v>
      </c>
      <c r="H149" t="s">
        <v>373</v>
      </c>
      <c r="I149" t="s">
        <v>374</v>
      </c>
      <c r="J149" s="6" t="str">
        <f>HYPERLINK("https://www.biovista.com/db/link/%5B%5B%22Disease%7CCongenital%20Myasthenic%20Syndrome%22%5D,%20%5B%22Gene%7CatpA%22%5D%5D?strength-weight-map=%257B%2522MEDLINE_STRENGTH_AB%2522:1.0,%2522HPO%2522:100.0%257D", "Show Evidence...")</f>
        <v>Show Evidence...</v>
      </c>
    </row>
    <row r="150" spans="1:10" ht="12.75">
      <c r="A150" s="2" t="s">
        <v>50</v>
      </c>
      <c r="B150" s="2" t="s">
        <v>51</v>
      </c>
      <c r="C150" s="2" t="s">
        <v>24</v>
      </c>
      <c r="D150" s="2" t="s">
        <v>52</v>
      </c>
      <c r="E150" s="2" t="s">
        <v>293</v>
      </c>
      <c r="F150" s="11">
        <v>1798</v>
      </c>
      <c r="G150" t="s">
        <v>36</v>
      </c>
      <c r="H150" t="s">
        <v>375</v>
      </c>
      <c r="I150" t="s">
        <v>374</v>
      </c>
      <c r="J150" s="6" t="str">
        <f>HYPERLINK("https://www.biovista.com/db/link/%5B%5B%22Disease%7CCongenital%20Myasthenic%20Syndrome%22%5D,%20%5B%22Gene%7CDPAGT1%22%5D%5D?strength-weight-map=%257B%2522MEDLINE_STRENGTH_AB%2522:1.0,%2522HPO%2522:100.0%257D", "Show Evidence...")</f>
        <v>Show Evidence...</v>
      </c>
    </row>
    <row r="151" spans="1:10" ht="12.75">
      <c r="A151" s="2" t="s">
        <v>50</v>
      </c>
      <c r="B151" s="2" t="s">
        <v>51</v>
      </c>
      <c r="C151" s="2" t="s">
        <v>24</v>
      </c>
      <c r="D151" s="2" t="s">
        <v>52</v>
      </c>
      <c r="E151" s="2" t="s">
        <v>293</v>
      </c>
      <c r="F151" s="11">
        <v>6329</v>
      </c>
      <c r="G151" t="s">
        <v>36</v>
      </c>
      <c r="H151" t="s">
        <v>376</v>
      </c>
      <c r="I151" t="s">
        <v>374</v>
      </c>
      <c r="J151" s="6" t="str">
        <f>HYPERLINK("https://www.biovista.com/db/link/%5B%5B%22Disease%7CCongenital%20Myasthenic%20Syndrome%22%5D,%20%5B%22Gene%7CSCN4A%22%5D%5D?strength-weight-map=%257B%2522MEDLINE_STRENGTH_AB%2522:1.0,%2522HPO%2522:100.0%257D", "Show Evidence...")</f>
        <v>Show Evidence...</v>
      </c>
    </row>
    <row r="152" spans="1:10" ht="12.75">
      <c r="A152" s="2" t="s">
        <v>50</v>
      </c>
      <c r="B152" s="2" t="s">
        <v>51</v>
      </c>
      <c r="C152" s="2" t="s">
        <v>24</v>
      </c>
      <c r="D152" s="2" t="s">
        <v>52</v>
      </c>
      <c r="E152" s="2" t="s">
        <v>293</v>
      </c>
      <c r="F152" s="11">
        <v>100131187</v>
      </c>
      <c r="G152" t="s">
        <v>36</v>
      </c>
      <c r="H152" t="s">
        <v>377</v>
      </c>
      <c r="I152" t="s">
        <v>374</v>
      </c>
      <c r="J152" s="6" t="str">
        <f>HYPERLINK("https://www.biovista.com/db/link/%5B%5B%22Disease%7CCongenital%20Myasthenic%20Syndrome%22%5D,%20%5B%22Gene%7CTST%22%5D%5D?strength-weight-map=%257B%2522MEDLINE_STRENGTH_AB%2522:1.0,%2522HPO%2522:100.0%257D", "Show Evidence...")</f>
        <v>Show Evidence...</v>
      </c>
    </row>
    <row r="153" spans="1:10" ht="12.75">
      <c r="A153" s="2" t="s">
        <v>50</v>
      </c>
      <c r="B153" s="2" t="s">
        <v>51</v>
      </c>
      <c r="C153" s="2" t="s">
        <v>24</v>
      </c>
      <c r="D153" s="2" t="s">
        <v>52</v>
      </c>
      <c r="E153" s="2" t="s">
        <v>293</v>
      </c>
      <c r="F153" s="11">
        <v>170945</v>
      </c>
      <c r="G153" t="s">
        <v>36</v>
      </c>
      <c r="H153" t="s">
        <v>378</v>
      </c>
      <c r="I153" t="s">
        <v>379</v>
      </c>
      <c r="J153" s="6" t="str">
        <f>HYPERLINK("https://www.biovista.com/db/link/%5B%5B%22Disease%7CCongenital%20Myasthenic%20Syndrome%22%5D,%20%5B%22Gene%7Cnicotinic%20acetylcholine%20receptor%22%5D%5D?strength-weight-map=%257B%2522MEDLINE_STRENGTH_AB%2522:1.0,%2522HPO%2522:100.0%257D", "Show Evidence...")</f>
        <v>Show Evidence...</v>
      </c>
    </row>
    <row r="154" spans="1:10" ht="12.75">
      <c r="A154" s="2" t="s">
        <v>50</v>
      </c>
      <c r="B154" s="2" t="s">
        <v>51</v>
      </c>
      <c r="C154" s="2" t="s">
        <v>24</v>
      </c>
      <c r="D154" s="2" t="s">
        <v>52</v>
      </c>
      <c r="E154" s="2" t="s">
        <v>293</v>
      </c>
      <c r="F154" s="11">
        <v>2054</v>
      </c>
      <c r="G154" t="s">
        <v>36</v>
      </c>
      <c r="H154" t="s">
        <v>380</v>
      </c>
      <c r="I154" t="s">
        <v>104</v>
      </c>
      <c r="J154" s="6" t="str">
        <f>HYPERLINK("https://www.biovista.com/db/link/%5B%5B%22Disease%7CCongenital%20Myasthenic%20Syndrome%22%5D,%20%5B%22Gene%7CSTX2%22%5D%5D?strength-weight-map=%257B%2522MEDLINE_STRENGTH_AB%2522:1.0,%2522HPO%2522:100.0%257D", "Show Evidence...")</f>
        <v>Show Evidence...</v>
      </c>
    </row>
    <row r="155" spans="1:10" ht="12.75">
      <c r="A155" s="2" t="s">
        <v>50</v>
      </c>
      <c r="B155" s="2" t="s">
        <v>51</v>
      </c>
      <c r="C155" s="2" t="s">
        <v>24</v>
      </c>
      <c r="D155" s="2" t="s">
        <v>52</v>
      </c>
      <c r="E155" s="2" t="s">
        <v>293</v>
      </c>
      <c r="F155" s="11">
        <v>7040</v>
      </c>
      <c r="G155" t="s">
        <v>36</v>
      </c>
      <c r="H155" t="s">
        <v>381</v>
      </c>
      <c r="I155" t="s">
        <v>104</v>
      </c>
      <c r="J155" s="6" t="str">
        <f>HYPERLINK("https://www.biovista.com/db/link/%5B%5B%22Disease%7CCongenital%20Myasthenic%20Syndrome%22%5D,%20%5B%22Gene%7CTGFB1%22%5D%5D?strength-weight-map=%257B%2522MEDLINE_STRENGTH_AB%2522:1.0,%2522HPO%2522:100.0%257D", "Show Evidence...")</f>
        <v>Show Evidence...</v>
      </c>
    </row>
    <row r="156" spans="1:10" ht="12.75">
      <c r="A156" s="2" t="s">
        <v>50</v>
      </c>
      <c r="B156" s="2" t="s">
        <v>51</v>
      </c>
      <c r="C156" s="2" t="s">
        <v>24</v>
      </c>
      <c r="D156" s="2" t="s">
        <v>52</v>
      </c>
      <c r="E156" s="2" t="s">
        <v>293</v>
      </c>
      <c r="F156" s="11">
        <v>1636</v>
      </c>
      <c r="G156" t="s">
        <v>36</v>
      </c>
      <c r="H156" t="s">
        <v>382</v>
      </c>
      <c r="I156" t="s">
        <v>107</v>
      </c>
      <c r="J156" s="6" t="str">
        <f>HYPERLINK("https://www.biovista.com/db/link/%5B%5B%22Disease%7CCongenital%20Myasthenic%20Syndrome%22%5D,%20%5B%22Gene%7CACE%22%5D%5D?strength-weight-map=%257B%2522MEDLINE_STRENGTH_AB%2522:1.0,%2522HPO%2522:100.0%257D", "Show Evidence...")</f>
        <v>Show Evidence...</v>
      </c>
    </row>
    <row r="157" spans="1:10" ht="12.75">
      <c r="A157" s="2" t="s">
        <v>50</v>
      </c>
      <c r="B157" s="2" t="s">
        <v>51</v>
      </c>
      <c r="C157" s="2" t="s">
        <v>24</v>
      </c>
      <c r="D157" s="2" t="s">
        <v>52</v>
      </c>
      <c r="E157" s="2" t="s">
        <v>293</v>
      </c>
      <c r="F157" s="11">
        <v>836</v>
      </c>
      <c r="G157" t="s">
        <v>36</v>
      </c>
      <c r="H157" t="s">
        <v>383</v>
      </c>
      <c r="I157" t="s">
        <v>107</v>
      </c>
      <c r="J157" s="6" t="str">
        <f>HYPERLINK("https://www.biovista.com/db/link/%5B%5B%22Disease%7CCongenital%20Myasthenic%20Syndrome%22%5D,%20%5B%22Gene%7CCASP3%22%5D%5D?strength-weight-map=%257B%2522MEDLINE_STRENGTH_AB%2522:1.0,%2522HPO%2522:100.0%257D", "Show Evidence...")</f>
        <v>Show Evidence...</v>
      </c>
    </row>
    <row r="158" spans="1:10" ht="12.75">
      <c r="A158" s="2" t="s">
        <v>50</v>
      </c>
      <c r="B158" s="2" t="s">
        <v>51</v>
      </c>
      <c r="C158" s="2" t="s">
        <v>24</v>
      </c>
      <c r="D158" s="2" t="s">
        <v>52</v>
      </c>
      <c r="E158" s="2" t="s">
        <v>293</v>
      </c>
      <c r="F158" s="11">
        <v>2056</v>
      </c>
      <c r="G158" t="s">
        <v>36</v>
      </c>
      <c r="H158" t="s">
        <v>384</v>
      </c>
      <c r="I158" t="s">
        <v>107</v>
      </c>
      <c r="J158" s="6" t="str">
        <f>HYPERLINK("https://www.biovista.com/db/link/%5B%5B%22Disease%7CCongenital%20Myasthenic%20Syndrome%22%5D,%20%5B%22Gene%7Cerythropoietin%22%5D%5D?strength-weight-map=%257B%2522MEDLINE_STRENGTH_AB%2522:1.0,%2522HPO%2522:100.0%257D", "Show Evidence...")</f>
        <v>Show Evidence...</v>
      </c>
    </row>
    <row r="159" spans="1:10" ht="12.75">
      <c r="A159" s="2" t="s">
        <v>50</v>
      </c>
      <c r="B159" s="2" t="s">
        <v>51</v>
      </c>
      <c r="C159" s="2" t="s">
        <v>24</v>
      </c>
      <c r="D159" s="2" t="s">
        <v>52</v>
      </c>
      <c r="E159" s="2" t="s">
        <v>293</v>
      </c>
      <c r="F159" s="11">
        <v>29925</v>
      </c>
      <c r="G159" t="s">
        <v>36</v>
      </c>
      <c r="H159" t="s">
        <v>385</v>
      </c>
      <c r="I159" t="s">
        <v>107</v>
      </c>
      <c r="J159" s="6" t="str">
        <f>HYPERLINK("https://www.biovista.com/db/link/%5B%5B%22Disease%7CCongenital%20Myasthenic%20Syndrome%22%5D,%20%5B%22Gene%7CGMPPB%22%5D%5D?strength-weight-map=%257B%2522MEDLINE_STRENGTH_AB%2522:1.0,%2522HPO%2522:100.0%257D", "Show Evidence...")</f>
        <v>Show Evidence...</v>
      </c>
    </row>
    <row r="160" spans="1:10" ht="12.75">
      <c r="A160" s="2" t="s">
        <v>50</v>
      </c>
      <c r="B160" s="2" t="s">
        <v>51</v>
      </c>
      <c r="C160" s="2" t="s">
        <v>24</v>
      </c>
      <c r="D160" s="2" t="s">
        <v>52</v>
      </c>
      <c r="E160" s="2" t="s">
        <v>293</v>
      </c>
      <c r="F160" s="11">
        <v>11806</v>
      </c>
      <c r="G160" t="s">
        <v>36</v>
      </c>
      <c r="H160" s="7">
        <v>37135</v>
      </c>
      <c r="I160" t="s">
        <v>107</v>
      </c>
      <c r="J160" s="6" t="str">
        <f>HYPERLINK("https://www.biovista.com/db/link/%5B%5B%22Disease%7CCongenital%20Myasthenic%20Syndrome%22%5D,%20%5B%22Gene%7CSep-1%22%5D%5D?strength-weight-map=%257B%2522MEDLINE_STRENGTH_AB%2522:1.0,%2522HPO%2522:100.0%257D", "Show Evidence...")</f>
        <v>Show Evidence...</v>
      </c>
    </row>
    <row r="161" spans="1:10" ht="12.75">
      <c r="A161" s="2" t="s">
        <v>50</v>
      </c>
      <c r="B161" s="2" t="s">
        <v>51</v>
      </c>
      <c r="C161" s="2" t="s">
        <v>24</v>
      </c>
      <c r="D161" s="2" t="s">
        <v>52</v>
      </c>
      <c r="E161" s="2" t="s">
        <v>293</v>
      </c>
      <c r="F161" s="11">
        <v>1385</v>
      </c>
      <c r="G161" t="s">
        <v>36</v>
      </c>
      <c r="H161" t="s">
        <v>386</v>
      </c>
      <c r="I161" t="s">
        <v>112</v>
      </c>
      <c r="J161" s="6" t="str">
        <f>HYPERLINK("https://www.biovista.com/db/link/%5B%5B%22Disease%7CCongenital%20Myasthenic%20Syndrome%22%5D,%20%5B%22Gene%7CCREB%22%5D%5D?strength-weight-map=%257B%2522MEDLINE_STRENGTH_AB%2522:1.0,%2522HPO%2522:100.0%257D", "Show Evidence...")</f>
        <v>Show Evidence...</v>
      </c>
    </row>
    <row r="162" spans="1:10" ht="12.75">
      <c r="A162" s="2" t="s">
        <v>50</v>
      </c>
      <c r="B162" s="2" t="s">
        <v>51</v>
      </c>
      <c r="C162" s="2" t="s">
        <v>24</v>
      </c>
      <c r="D162" s="2" t="s">
        <v>52</v>
      </c>
      <c r="E162" s="2" t="s">
        <v>293</v>
      </c>
      <c r="F162" s="11">
        <v>2908</v>
      </c>
      <c r="G162" t="s">
        <v>36</v>
      </c>
      <c r="H162" t="s">
        <v>387</v>
      </c>
      <c r="I162" t="s">
        <v>112</v>
      </c>
      <c r="J162" s="6" t="str">
        <f>HYPERLINK("https://www.biovista.com/db/link/%5B%5B%22Disease%7CCongenital%20Myasthenic%20Syndrome%22%5D,%20%5B%22Gene%7Cglucocorticoid%20receptor%22%5D%5D?strength-weight-map=%257B%2522MEDLINE_STRENGTH_AB%2522:1.0,%2522HPO%2522:100.0%257D", "Show Evidence...")</f>
        <v>Show Evidence...</v>
      </c>
    </row>
    <row r="163" spans="1:10" ht="12.75">
      <c r="A163" s="2" t="s">
        <v>50</v>
      </c>
      <c r="B163" s="2" t="s">
        <v>51</v>
      </c>
      <c r="C163" s="2" t="s">
        <v>24</v>
      </c>
      <c r="D163" s="2" t="s">
        <v>52</v>
      </c>
      <c r="E163" s="2" t="s">
        <v>293</v>
      </c>
      <c r="F163" s="11">
        <v>171023</v>
      </c>
      <c r="G163" t="s">
        <v>36</v>
      </c>
      <c r="H163" t="s">
        <v>388</v>
      </c>
      <c r="I163" t="s">
        <v>112</v>
      </c>
      <c r="J163" s="6" t="str">
        <f>HYPERLINK("https://www.biovista.com/db/link/%5B%5B%22Disease%7CCongenital%20Myasthenic%20Syndrome%22%5D,%20%5B%22Gene%7CMDS%22%5D%5D?strength-weight-map=%257B%2522MEDLINE_STRENGTH_AB%2522:1.0,%2522HPO%2522:100.0%257D", "Show Evidence...")</f>
        <v>Show Evidence...</v>
      </c>
    </row>
    <row r="164" spans="1:10" ht="12.75">
      <c r="A164" s="2" t="s">
        <v>50</v>
      </c>
      <c r="B164" s="2" t="s">
        <v>51</v>
      </c>
      <c r="C164" s="2" t="s">
        <v>24</v>
      </c>
      <c r="D164" s="2" t="s">
        <v>52</v>
      </c>
      <c r="E164" s="2" t="s">
        <v>293</v>
      </c>
      <c r="F164" s="11">
        <v>1144</v>
      </c>
      <c r="G164" t="s">
        <v>36</v>
      </c>
      <c r="H164" t="s">
        <v>389</v>
      </c>
      <c r="I164" t="s">
        <v>119</v>
      </c>
      <c r="J164" s="6" t="str">
        <f>HYPERLINK("https://www.biovista.com/db/link/%5B%5B%22Disease%7CCongenital%20Myasthenic%20Syndrome%22%5D,%20%5B%22Gene%7CCHRND%22%5D%5D?strength-weight-map=%257B%2522MEDLINE_STRENGTH_AB%2522:1.0,%2522HPO%2522:100.0%257D", "Show Evidence...")</f>
        <v>Show Evidence...</v>
      </c>
    </row>
    <row r="165" spans="1:10" ht="12.75">
      <c r="A165" s="2" t="s">
        <v>50</v>
      </c>
      <c r="B165" s="2" t="s">
        <v>51</v>
      </c>
      <c r="C165" s="2" t="s">
        <v>24</v>
      </c>
      <c r="D165" s="2" t="s">
        <v>52</v>
      </c>
      <c r="E165" s="2" t="s">
        <v>293</v>
      </c>
      <c r="F165" s="11">
        <v>4790</v>
      </c>
      <c r="G165" t="s">
        <v>36</v>
      </c>
      <c r="H165" t="s">
        <v>390</v>
      </c>
      <c r="I165" t="s">
        <v>119</v>
      </c>
      <c r="J165" s="6" t="str">
        <f>HYPERLINK("https://www.biovista.com/db/link/%5B%5B%22Disease%7CCongenital%20Myasthenic%20Syndrome%22%5D,%20%5B%22Gene%7CNFKB1%22%5D%5D?strength-weight-map=%257B%2522MEDLINE_STRENGTH_AB%2522:1.0,%2522HPO%2522:100.0%257D", "Show Evidence...")</f>
        <v>Show Evidence...</v>
      </c>
    </row>
    <row r="166" spans="1:10" ht="12.75">
      <c r="A166" s="2" t="s">
        <v>50</v>
      </c>
      <c r="B166" s="2" t="s">
        <v>51</v>
      </c>
      <c r="C166" s="2" t="s">
        <v>24</v>
      </c>
      <c r="D166" s="2" t="s">
        <v>52</v>
      </c>
      <c r="E166" s="2" t="s">
        <v>293</v>
      </c>
      <c r="F166" s="11">
        <v>5649</v>
      </c>
      <c r="G166" t="s">
        <v>36</v>
      </c>
      <c r="H166" t="s">
        <v>391</v>
      </c>
      <c r="I166" t="s">
        <v>119</v>
      </c>
      <c r="J166" s="6" t="str">
        <f>HYPERLINK("https://www.biovista.com/db/link/%5B%5B%22Disease%7CCongenital%20Myasthenic%20Syndrome%22%5D,%20%5B%22Gene%7CRL%22%5D%5D?strength-weight-map=%257B%2522MEDLINE_STRENGTH_AB%2522:1.0,%2522HPO%2522:100.0%257D", "Show Evidence...")</f>
        <v>Show Evidence...</v>
      </c>
    </row>
    <row r="167" spans="1:10" ht="12.75">
      <c r="A167" s="2" t="s">
        <v>50</v>
      </c>
      <c r="B167" s="2" t="s">
        <v>51</v>
      </c>
      <c r="C167" s="2" t="s">
        <v>24</v>
      </c>
      <c r="D167" s="2" t="s">
        <v>52</v>
      </c>
      <c r="E167" s="2" t="s">
        <v>293</v>
      </c>
      <c r="F167" s="11">
        <v>207</v>
      </c>
      <c r="G167" t="s">
        <v>36</v>
      </c>
      <c r="H167" t="s">
        <v>392</v>
      </c>
      <c r="I167" t="s">
        <v>122</v>
      </c>
      <c r="J167" s="6" t="str">
        <f>HYPERLINK("https://www.biovista.com/db/link/%5B%5B%22Disease%7CCongenital%20Myasthenic%20Syndrome%22%5D,%20%5B%22Gene%7CAKT%22%5D%5D?strength-weight-map=%257B%2522MEDLINE_STRENGTH_AB%2522:1.0,%2522HPO%2522:100.0%257D", "Show Evidence...")</f>
        <v>Show Evidence...</v>
      </c>
    </row>
    <row r="168" spans="1:10" ht="12.75">
      <c r="A168" s="2" t="s">
        <v>50</v>
      </c>
      <c r="B168" s="2" t="s">
        <v>51</v>
      </c>
      <c r="C168" s="2" t="s">
        <v>24</v>
      </c>
      <c r="D168" s="2" t="s">
        <v>52</v>
      </c>
      <c r="E168" s="2" t="s">
        <v>293</v>
      </c>
      <c r="F168" s="11">
        <v>5443</v>
      </c>
      <c r="G168" t="s">
        <v>36</v>
      </c>
      <c r="H168" t="s">
        <v>393</v>
      </c>
      <c r="I168" t="s">
        <v>127</v>
      </c>
      <c r="J168" s="6" t="str">
        <f>HYPERLINK("https://www.biovista.com/db/link/%5B%5B%22Disease%7CCongenital%20Myasthenic%20Syndrome%22%5D,%20%5B%22Gene%7Cadrenocorticotropic%20hormone%22%5D%5D?strength-weight-map=%257B%2522MEDLINE_STRENGTH_AB%2522:1.0,%2522HPO%2522:100.0%257D", "Show Evidence...")</f>
        <v>Show Evidence...</v>
      </c>
    </row>
    <row r="169" spans="1:10" ht="12.75">
      <c r="A169" s="2" t="s">
        <v>50</v>
      </c>
      <c r="B169" s="2" t="s">
        <v>51</v>
      </c>
      <c r="C169" s="2" t="s">
        <v>24</v>
      </c>
      <c r="D169" s="2" t="s">
        <v>52</v>
      </c>
      <c r="E169" s="2" t="s">
        <v>293</v>
      </c>
      <c r="F169" s="11">
        <v>36271</v>
      </c>
      <c r="G169" t="s">
        <v>36</v>
      </c>
      <c r="H169" t="s">
        <v>394</v>
      </c>
      <c r="I169" t="s">
        <v>127</v>
      </c>
      <c r="J169" s="6" t="str">
        <f>HYPERLINK("https://www.biovista.com/db/link/%5B%5B%22Disease%7CCongenital%20Myasthenic%20Syndrome%22%5D,%20%5B%22Gene%7CF1%22%5D%5D?strength-weight-map=%257B%2522MEDLINE_STRENGTH_AB%2522:1.0,%2522HPO%2522:100.0%257D", "Show Evidence...")</f>
        <v>Show Evidence...</v>
      </c>
    </row>
    <row r="170" spans="1:10" ht="12.75">
      <c r="A170" s="2" t="s">
        <v>50</v>
      </c>
      <c r="B170" s="2" t="s">
        <v>51</v>
      </c>
      <c r="C170" s="2" t="s">
        <v>24</v>
      </c>
      <c r="D170" s="2" t="s">
        <v>52</v>
      </c>
      <c r="E170" s="2" t="s">
        <v>293</v>
      </c>
      <c r="F170" s="11">
        <v>147495</v>
      </c>
      <c r="G170" t="s">
        <v>36</v>
      </c>
      <c r="H170" t="s">
        <v>395</v>
      </c>
      <c r="I170" t="s">
        <v>127</v>
      </c>
      <c r="J170" s="6" t="str">
        <f>HYPERLINK("https://www.biovista.com/db/link/%5B%5B%22Disease%7CCongenital%20Myasthenic%20Syndrome%22%5D,%20%5B%22Gene%7CHHS%22%5D%5D?strength-weight-map=%257B%2522MEDLINE_STRENGTH_AB%2522:1.0,%2522HPO%2522:100.0%257D", "Show Evidence...")</f>
        <v>Show Evidence...</v>
      </c>
    </row>
    <row r="171" spans="1:10" ht="12.75">
      <c r="A171" s="2" t="s">
        <v>50</v>
      </c>
      <c r="B171" s="2" t="s">
        <v>51</v>
      </c>
      <c r="C171" s="2" t="s">
        <v>24</v>
      </c>
      <c r="D171" s="2" t="s">
        <v>52</v>
      </c>
      <c r="E171" s="2" t="s">
        <v>293</v>
      </c>
      <c r="F171" s="11">
        <v>1137</v>
      </c>
      <c r="G171" t="s">
        <v>36</v>
      </c>
      <c r="H171" t="s">
        <v>396</v>
      </c>
      <c r="I171" t="s">
        <v>127</v>
      </c>
      <c r="J171" s="6" t="str">
        <f>HYPERLINK("https://www.biovista.com/db/link/%5B%5B%22Disease%7CCongenital%20Myasthenic%20Syndrome%22%5D,%20%5B%22Gene%7CNACHR%22%5D%5D?strength-weight-map=%257B%2522MEDLINE_STRENGTH_AB%2522:1.0,%2522HPO%2522:100.0%257D", "Show Evidence...")</f>
        <v>Show Evidence...</v>
      </c>
    </row>
    <row r="172" spans="1:10" ht="12.75">
      <c r="A172" s="2" t="s">
        <v>50</v>
      </c>
      <c r="B172" s="2" t="s">
        <v>51</v>
      </c>
      <c r="C172" s="2" t="s">
        <v>24</v>
      </c>
      <c r="D172" s="2" t="s">
        <v>52</v>
      </c>
      <c r="E172" s="2" t="s">
        <v>293</v>
      </c>
      <c r="F172" s="11">
        <v>809587</v>
      </c>
      <c r="G172" t="s">
        <v>36</v>
      </c>
      <c r="H172" t="s">
        <v>397</v>
      </c>
      <c r="I172" t="s">
        <v>127</v>
      </c>
      <c r="J172" s="6" t="str">
        <f>HYPERLINK("https://www.biovista.com/db/link/%5B%5B%22Disease%7CCongenital%20Myasthenic%20Syndrome%22%5D,%20%5B%22Gene%7Corf138%22%5D%5D?strength-weight-map=%257B%2522MEDLINE_STRENGTH_AB%2522:1.0,%2522HPO%2522:100.0%257D", "Show Evidence...")</f>
        <v>Show Evidence...</v>
      </c>
    </row>
    <row r="173" spans="1:10" ht="12.75">
      <c r="A173" s="2" t="s">
        <v>50</v>
      </c>
      <c r="B173" s="2" t="s">
        <v>51</v>
      </c>
      <c r="C173" s="2" t="s">
        <v>24</v>
      </c>
      <c r="D173" s="2" t="s">
        <v>52</v>
      </c>
      <c r="E173" s="2" t="s">
        <v>293</v>
      </c>
      <c r="F173" s="11">
        <v>1767</v>
      </c>
      <c r="G173" t="s">
        <v>36</v>
      </c>
      <c r="H173" t="s">
        <v>398</v>
      </c>
      <c r="I173" t="s">
        <v>127</v>
      </c>
      <c r="J173" s="6" t="str">
        <f>HYPERLINK("https://www.biovista.com/db/link/%5B%5B%22Disease%7CCongenital%20Myasthenic%20Syndrome%22%5D,%20%5B%22Gene%7CPCD%22%5D%5D?strength-weight-map=%257B%2522MEDLINE_STRENGTH_AB%2522:1.0,%2522HPO%2522:100.0%257D", "Show Evidence...")</f>
        <v>Show Evidence...</v>
      </c>
    </row>
    <row r="174" spans="1:10" ht="12.75">
      <c r="A174" s="2" t="s">
        <v>50</v>
      </c>
      <c r="B174" s="2" t="s">
        <v>51</v>
      </c>
      <c r="C174" s="2" t="s">
        <v>24</v>
      </c>
      <c r="D174" s="2" t="s">
        <v>52</v>
      </c>
      <c r="E174" s="2" t="s">
        <v>293</v>
      </c>
      <c r="F174" s="11">
        <v>5933</v>
      </c>
      <c r="G174" t="s">
        <v>36</v>
      </c>
      <c r="H174" t="s">
        <v>399</v>
      </c>
      <c r="I174" t="s">
        <v>127</v>
      </c>
      <c r="J174" s="6" t="str">
        <f>HYPERLINK("https://www.biovista.com/db/link/%5B%5B%22Disease%7CCongenital%20Myasthenic%20Syndrome%22%5D,%20%5B%22Gene%7CRBL1%22%5D%5D?strength-weight-map=%257B%2522MEDLINE_STRENGTH_AB%2522:1.0,%2522HPO%2522:100.0%257D", "Show Evidence...")</f>
        <v>Show Evidence...</v>
      </c>
    </row>
    <row r="175" spans="1:10" ht="12.75">
      <c r="A175" s="2" t="s">
        <v>50</v>
      </c>
      <c r="B175" s="2" t="s">
        <v>51</v>
      </c>
      <c r="C175" s="2" t="s">
        <v>24</v>
      </c>
      <c r="D175" s="2" t="s">
        <v>52</v>
      </c>
      <c r="E175" s="2" t="s">
        <v>293</v>
      </c>
      <c r="F175" s="11">
        <v>94241</v>
      </c>
      <c r="G175" t="s">
        <v>36</v>
      </c>
      <c r="H175" t="s">
        <v>400</v>
      </c>
      <c r="I175" t="s">
        <v>130</v>
      </c>
      <c r="J175" s="6" t="str">
        <f>HYPERLINK("https://www.biovista.com/db/link/%5B%5B%22Disease%7CCongenital%20Myasthenic%20Syndrome%22%5D,%20%5B%22Gene%7CTP53INP1%22%5D%5D?strength-weight-map=%257B%2522MEDLINE_STRENGTH_AB%2522:1.0,%2522HPO%2522:100.0%257D", "Show Evidence...")</f>
        <v>Show Evidence...</v>
      </c>
    </row>
    <row r="176" spans="1:10" ht="12.75">
      <c r="A176" s="2" t="s">
        <v>50</v>
      </c>
      <c r="B176" s="2" t="s">
        <v>51</v>
      </c>
      <c r="C176" s="2" t="s">
        <v>24</v>
      </c>
      <c r="D176" s="2" t="s">
        <v>52</v>
      </c>
      <c r="E176" s="2" t="s">
        <v>293</v>
      </c>
      <c r="F176" s="11">
        <v>100176946</v>
      </c>
      <c r="G176" t="s">
        <v>36</v>
      </c>
      <c r="H176" t="s">
        <v>401</v>
      </c>
      <c r="I176" t="s">
        <v>137</v>
      </c>
      <c r="J176" s="6" t="str">
        <f>HYPERLINK("https://www.biovista.com/db/link/%5B%5B%22Disease%7CCongenital%20Myasthenic%20Syndrome%22%5D,%20%5B%22Gene%7Ccreatine%20kinase%22%5D%5D?strength-weight-map=%257B%2522MEDLINE_STRENGTH_AB%2522:1.0,%2522HPO%2522:100.0%257D", "Show Evidence...")</f>
        <v>Show Evidence...</v>
      </c>
    </row>
    <row r="177" spans="1:10" ht="12.75">
      <c r="A177" s="2" t="s">
        <v>50</v>
      </c>
      <c r="B177" s="2" t="s">
        <v>51</v>
      </c>
      <c r="C177" s="2" t="s">
        <v>24</v>
      </c>
      <c r="D177" s="2" t="s">
        <v>52</v>
      </c>
      <c r="E177" s="2" t="s">
        <v>293</v>
      </c>
      <c r="F177" s="11">
        <v>3702</v>
      </c>
      <c r="G177" t="s">
        <v>36</v>
      </c>
      <c r="H177" t="s">
        <v>402</v>
      </c>
      <c r="I177" t="s">
        <v>137</v>
      </c>
      <c r="J177" s="6" t="str">
        <f>HYPERLINK("https://www.biovista.com/db/link/%5B%5B%22Disease%7CCongenital%20Myasthenic%20Syndrome%22%5D,%20%5B%22Gene%7CEMT%22%5D%5D?strength-weight-map=%257B%2522MEDLINE_STRENGTH_AB%2522:1.0,%2522HPO%2522:100.0%257D", "Show Evidence...")</f>
        <v>Show Evidence...</v>
      </c>
    </row>
    <row r="178" spans="1:10" ht="12.75">
      <c r="A178" s="2" t="s">
        <v>50</v>
      </c>
      <c r="B178" s="2" t="s">
        <v>51</v>
      </c>
      <c r="C178" s="2" t="s">
        <v>24</v>
      </c>
      <c r="D178" s="2" t="s">
        <v>52</v>
      </c>
      <c r="E178" s="2" t="s">
        <v>293</v>
      </c>
      <c r="F178" s="11">
        <v>2048</v>
      </c>
      <c r="G178" t="s">
        <v>36</v>
      </c>
      <c r="H178" t="s">
        <v>403</v>
      </c>
      <c r="I178" t="s">
        <v>137</v>
      </c>
      <c r="J178" s="6" t="str">
        <f>HYPERLINK("https://www.biovista.com/db/link/%5B%5B%22Disease%7CCongenital%20Myasthenic%20Syndrome%22%5D,%20%5B%22Gene%7CERK%22%5D%5D?strength-weight-map=%257B%2522MEDLINE_STRENGTH_AB%2522:1.0,%2522HPO%2522:100.0%257D", "Show Evidence...")</f>
        <v>Show Evidence...</v>
      </c>
    </row>
    <row r="179" spans="1:10" ht="12.75">
      <c r="A179" s="2" t="s">
        <v>50</v>
      </c>
      <c r="B179" s="2" t="s">
        <v>51</v>
      </c>
      <c r="C179" s="2" t="s">
        <v>24</v>
      </c>
      <c r="D179" s="2" t="s">
        <v>52</v>
      </c>
      <c r="E179" s="2" t="s">
        <v>53</v>
      </c>
      <c r="F179" s="11" t="s">
        <v>404</v>
      </c>
      <c r="G179" t="s">
        <v>36</v>
      </c>
      <c r="H179" t="s">
        <v>405</v>
      </c>
      <c r="I179" t="s">
        <v>137</v>
      </c>
      <c r="J179" s="6" t="str">
        <f>HYPERLINK("https://www.biovista.com/db/link/%5B%5B%22Disease%7CCongenital%20Myasthenic%20Syndrome%22%5D,%20%5B%22Gene%7CNF-kappa%20B%22%5D%5D?strength-weight-map=%257B%2522MEDLINE_STRENGTH_AB%2522:1.0,%2522HPO%2522:100.0%257D", "Show Evidence...")</f>
        <v>Show Evidence...</v>
      </c>
    </row>
    <row r="180" spans="1:10" ht="12.75">
      <c r="A180" s="2" t="s">
        <v>50</v>
      </c>
      <c r="B180" s="2" t="s">
        <v>51</v>
      </c>
      <c r="C180" s="2" t="s">
        <v>24</v>
      </c>
      <c r="D180" s="2" t="s">
        <v>52</v>
      </c>
      <c r="E180" s="2" t="s">
        <v>53</v>
      </c>
      <c r="F180" s="11" t="s">
        <v>142</v>
      </c>
      <c r="G180" t="s">
        <v>36</v>
      </c>
      <c r="H180" t="s">
        <v>143</v>
      </c>
      <c r="I180" t="s">
        <v>137</v>
      </c>
      <c r="J180" s="6" t="str">
        <f>HYPERLINK("https://www.biovista.com/db/link/%5B%5B%22Disease%7CCongenital%20Myasthenic%20Syndrome%22%5D,%20%5B%22Gene%7CPolymyxin%20B%22%5D%5D?strength-weight-map=%257B%2522MEDLINE_STRENGTH_AB%2522:1.0,%2522HPO%2522:100.0%257D", "Show Evidence...")</f>
        <v>Show Evidence...</v>
      </c>
    </row>
    <row r="181" spans="1:10" ht="12.75">
      <c r="A181" s="2" t="s">
        <v>50</v>
      </c>
      <c r="B181" s="2" t="s">
        <v>51</v>
      </c>
      <c r="C181" s="2" t="s">
        <v>24</v>
      </c>
      <c r="D181" s="2" t="s">
        <v>52</v>
      </c>
      <c r="E181" s="2" t="s">
        <v>53</v>
      </c>
      <c r="F181" s="11" t="s">
        <v>406</v>
      </c>
      <c r="G181" t="s">
        <v>36</v>
      </c>
      <c r="H181" t="s">
        <v>407</v>
      </c>
      <c r="I181" t="s">
        <v>137</v>
      </c>
      <c r="J181" s="6" t="str">
        <f>HYPERLINK("https://www.biovista.com/db/link/%5B%5B%22Disease%7CCongenital%20Myasthenic%20Syndrome%22%5D,%20%5B%22Gene%7CReceptors,%20Angiotensin%22%5D%5D?strength-weight-map=%257B%2522MEDLINE_STRENGTH_AB%2522:1.0,%2522HPO%2522:100.0%257D", "Show Evidence...")</f>
        <v>Show Evidence...</v>
      </c>
    </row>
    <row r="182" spans="1:10" ht="12.75">
      <c r="A182" s="2" t="s">
        <v>50</v>
      </c>
      <c r="B182" s="2" t="s">
        <v>51</v>
      </c>
      <c r="C182" s="2" t="s">
        <v>24</v>
      </c>
      <c r="D182" s="2" t="s">
        <v>52</v>
      </c>
      <c r="E182" s="2" t="s">
        <v>293</v>
      </c>
      <c r="F182" s="11">
        <v>56975</v>
      </c>
      <c r="G182" t="s">
        <v>36</v>
      </c>
      <c r="H182" t="s">
        <v>408</v>
      </c>
      <c r="I182" t="s">
        <v>146</v>
      </c>
      <c r="J182" s="6" t="str">
        <f>HYPERLINK("https://www.biovista.com/db/link/%5B%5B%22Disease%7CCongenital%20Myasthenic%20Syndrome%22%5D,%20%5B%22Gene%7CFAM20C%22%5D%5D?strength-weight-map=%257B%2522MEDLINE_STRENGTH_AB%2522:1.0,%2522HPO%2522:100.0%257D", "Show Evidence...")</f>
        <v>Show Evidence...</v>
      </c>
    </row>
    <row r="183" spans="1:10" ht="12.75">
      <c r="A183" s="2" t="s">
        <v>50</v>
      </c>
      <c r="B183" s="2" t="s">
        <v>51</v>
      </c>
      <c r="C183" s="2" t="s">
        <v>24</v>
      </c>
      <c r="D183" s="2" t="s">
        <v>52</v>
      </c>
      <c r="E183" s="2" t="s">
        <v>53</v>
      </c>
      <c r="F183" s="11" t="s">
        <v>409</v>
      </c>
      <c r="G183" t="s">
        <v>36</v>
      </c>
      <c r="H183" t="s">
        <v>410</v>
      </c>
      <c r="I183" t="s">
        <v>146</v>
      </c>
      <c r="J183" s="6" t="s">
        <v>411</v>
      </c>
    </row>
    <row r="184" spans="1:10" ht="12.75">
      <c r="A184" s="2" t="s">
        <v>50</v>
      </c>
      <c r="B184" s="2" t="s">
        <v>51</v>
      </c>
      <c r="C184" s="2" t="s">
        <v>24</v>
      </c>
      <c r="D184" s="2" t="s">
        <v>52</v>
      </c>
      <c r="E184" s="2" t="s">
        <v>293</v>
      </c>
      <c r="F184" s="11">
        <v>79158</v>
      </c>
      <c r="G184" t="s">
        <v>36</v>
      </c>
      <c r="H184" t="s">
        <v>412</v>
      </c>
      <c r="I184" t="s">
        <v>146</v>
      </c>
      <c r="J184" s="6" t="str">
        <f>HYPERLINK("https://www.biovista.com/db/link/%5B%5B%22Disease%7CCongenital%20Myasthenic%20Syndrome%22%5D,%20%5B%22Gene%7CICD%22%5D%5D?strength-weight-map=%257B%2522MEDLINE_STRENGTH_AB%2522:1.0,%2522HPO%2522:100.0%257D", "Show Evidence...")</f>
        <v>Show Evidence...</v>
      </c>
    </row>
    <row r="185" spans="1:10" ht="12.75">
      <c r="A185" s="2" t="s">
        <v>50</v>
      </c>
      <c r="B185" s="2" t="s">
        <v>51</v>
      </c>
      <c r="C185" s="2" t="s">
        <v>24</v>
      </c>
      <c r="D185" s="2" t="s">
        <v>52</v>
      </c>
      <c r="E185" s="2" t="s">
        <v>293</v>
      </c>
      <c r="F185" s="11">
        <v>3586</v>
      </c>
      <c r="G185" t="s">
        <v>36</v>
      </c>
      <c r="H185" t="s">
        <v>413</v>
      </c>
      <c r="I185" t="s">
        <v>146</v>
      </c>
      <c r="J185" s="6" t="str">
        <f>HYPERLINK("https://www.biovista.com/db/link/%5B%5B%22Disease%7CCongenital%20Myasthenic%20Syndrome%22%5D,%20%5B%22Gene%7CIL10%22%5D%5D?strength-weight-map=%257B%2522MEDLINE_STRENGTH_AB%2522:1.0,%2522HPO%2522:100.0%257D", "Show Evidence...")</f>
        <v>Show Evidence...</v>
      </c>
    </row>
    <row r="186" spans="1:10" ht="12.75">
      <c r="A186" s="2" t="s">
        <v>50</v>
      </c>
      <c r="B186" s="2" t="s">
        <v>51</v>
      </c>
      <c r="C186" s="2" t="s">
        <v>24</v>
      </c>
      <c r="D186" s="2" t="s">
        <v>52</v>
      </c>
      <c r="E186" s="2" t="s">
        <v>293</v>
      </c>
      <c r="F186" s="11">
        <v>7422</v>
      </c>
      <c r="G186" t="s">
        <v>36</v>
      </c>
      <c r="H186" t="s">
        <v>414</v>
      </c>
      <c r="I186" t="s">
        <v>146</v>
      </c>
      <c r="J186" s="6" t="str">
        <f>HYPERLINK("https://www.biovista.com/db/link/%5B%5B%22Disease%7CCongenital%20Myasthenic%20Syndrome%22%5D,%20%5B%22Gene%7CVEGFA%22%5D%5D?strength-weight-map=%257B%2522MEDLINE_STRENGTH_AB%2522:1.0,%2522HPO%2522:100.0%257D", "Show Evidence...")</f>
        <v>Show Evidence...</v>
      </c>
    </row>
    <row r="187" spans="1:10" ht="12.75">
      <c r="A187" s="2" t="s">
        <v>50</v>
      </c>
      <c r="B187" s="2" t="s">
        <v>51</v>
      </c>
      <c r="C187" s="2" t="s">
        <v>24</v>
      </c>
      <c r="D187" s="2" t="s">
        <v>52</v>
      </c>
      <c r="E187" s="2" t="s">
        <v>293</v>
      </c>
      <c r="F187" s="11">
        <v>1140</v>
      </c>
      <c r="G187" t="s">
        <v>36</v>
      </c>
      <c r="H187" t="s">
        <v>415</v>
      </c>
      <c r="I187" t="s">
        <v>151</v>
      </c>
      <c r="J187" s="6" t="str">
        <f>HYPERLINK("https://www.biovista.com/db/link/%5B%5B%22Disease%7CCongenital%20Myasthenic%20Syndrome%22%5D,%20%5B%22Gene%7CCHRNB1%22%5D%5D?strength-weight-map=%257B%2522MEDLINE_STRENGTH_AB%2522:1.0,%2522HPO%2522:100.0%257D", "Show Evidence...")</f>
        <v>Show Evidence...</v>
      </c>
    </row>
    <row r="188" spans="1:10" ht="12.75">
      <c r="A188" s="2" t="s">
        <v>50</v>
      </c>
      <c r="B188" s="2" t="s">
        <v>51</v>
      </c>
      <c r="C188" s="2" t="s">
        <v>24</v>
      </c>
      <c r="D188" s="2" t="s">
        <v>52</v>
      </c>
      <c r="E188" s="2" t="s">
        <v>293</v>
      </c>
      <c r="F188" s="11">
        <v>1401</v>
      </c>
      <c r="G188" t="s">
        <v>36</v>
      </c>
      <c r="H188" t="s">
        <v>416</v>
      </c>
      <c r="I188" t="s">
        <v>151</v>
      </c>
      <c r="J188" s="6" t="str">
        <f>HYPERLINK("https://www.biovista.com/db/link/%5B%5B%22Disease%7CCongenital%20Myasthenic%20Syndrome%22%5D,%20%5B%22Gene%7CCRP%22%5D%5D?strength-weight-map=%257B%2522MEDLINE_STRENGTH_AB%2522:1.0,%2522HPO%2522:100.0%257D", "Show Evidence...")</f>
        <v>Show Evidence...</v>
      </c>
    </row>
    <row r="189" spans="1:10" ht="12.75">
      <c r="A189" s="2" t="s">
        <v>50</v>
      </c>
      <c r="B189" s="2" t="s">
        <v>51</v>
      </c>
      <c r="C189" s="2" t="s">
        <v>24</v>
      </c>
      <c r="D189" s="2" t="s">
        <v>52</v>
      </c>
      <c r="E189" s="2" t="s">
        <v>293</v>
      </c>
      <c r="F189" s="11">
        <v>2056</v>
      </c>
      <c r="G189" t="s">
        <v>36</v>
      </c>
      <c r="H189" t="s">
        <v>417</v>
      </c>
      <c r="I189" t="s">
        <v>151</v>
      </c>
      <c r="J189" s="6" t="str">
        <f>HYPERLINK("https://www.biovista.com/db/link/%5B%5B%22Disease%7CCongenital%20Myasthenic%20Syndrome%22%5D,%20%5B%22Gene%7CEPO%22%5D%5D?strength-weight-map=%257B%2522MEDLINE_STRENGTH_AB%2522:1.0,%2522HPO%2522:100.0%257D", "Show Evidence...")</f>
        <v>Show Evidence...</v>
      </c>
    </row>
    <row r="190" spans="1:10" ht="12.75">
      <c r="A190" s="2" t="s">
        <v>50</v>
      </c>
      <c r="B190" s="2" t="s">
        <v>51</v>
      </c>
      <c r="C190" s="2" t="s">
        <v>24</v>
      </c>
      <c r="D190" s="2" t="s">
        <v>52</v>
      </c>
      <c r="E190" s="2" t="s">
        <v>293</v>
      </c>
      <c r="F190" s="11">
        <v>5155</v>
      </c>
      <c r="G190" t="s">
        <v>36</v>
      </c>
      <c r="H190" t="s">
        <v>418</v>
      </c>
      <c r="I190" t="s">
        <v>151</v>
      </c>
      <c r="J190" s="6" t="str">
        <f>HYPERLINK("https://www.biovista.com/db/link/%5B%5B%22Disease%7CCongenital%20Myasthenic%20Syndrome%22%5D,%20%5B%22Gene%7CPDGFB%22%5D%5D?strength-weight-map=%257B%2522MEDLINE_STRENGTH_AB%2522:1.0,%2522HPO%2522:100.0%257D", "Show Evidence...")</f>
        <v>Show Evidence...</v>
      </c>
    </row>
    <row r="191" spans="1:10" ht="12.75">
      <c r="A191" s="2" t="s">
        <v>50</v>
      </c>
      <c r="B191" s="2" t="s">
        <v>51</v>
      </c>
      <c r="C191" s="2" t="s">
        <v>24</v>
      </c>
      <c r="D191" s="2" t="s">
        <v>52</v>
      </c>
      <c r="E191" s="2" t="s">
        <v>293</v>
      </c>
      <c r="F191" s="11">
        <v>5199</v>
      </c>
      <c r="G191" t="s">
        <v>36</v>
      </c>
      <c r="H191" t="s">
        <v>419</v>
      </c>
      <c r="I191" t="s">
        <v>151</v>
      </c>
      <c r="J191" s="6" t="str">
        <f>HYPERLINK("https://www.biovista.com/db/link/%5B%5B%22Disease%7CCongenital%20Myasthenic%20Syndrome%22%5D,%20%5B%22Gene%7CPFC%22%5D%5D?strength-weight-map=%257B%2522MEDLINE_STRENGTH_AB%2522:1.0,%2522HPO%2522:100.0%257D", "Show Evidence...")</f>
        <v>Show Evidence...</v>
      </c>
    </row>
    <row r="192" spans="1:10" ht="12.75">
      <c r="A192" s="2" t="s">
        <v>50</v>
      </c>
      <c r="B192" s="2" t="s">
        <v>51</v>
      </c>
      <c r="C192" s="2" t="s">
        <v>24</v>
      </c>
      <c r="D192" s="2" t="s">
        <v>52</v>
      </c>
      <c r="E192" s="2" t="s">
        <v>293</v>
      </c>
      <c r="F192" s="11">
        <v>6750</v>
      </c>
      <c r="G192" t="s">
        <v>36</v>
      </c>
      <c r="H192" s="7" t="s">
        <v>420</v>
      </c>
      <c r="I192" t="s">
        <v>151</v>
      </c>
      <c r="J192" s="6" t="str">
        <f>HYPERLINK("https://www.biovista.com/db/link/%5B%5B%22Disease%7CCongenital%20Myasthenic%20Syndrome%22%5D,%20%5B%22Gene%7CSST%22%5D%5D?strength-weight-map=%257B%2522MEDLINE_STRENGTH_AB%2522:1.0,%2522HPO%2522:100.0%257D", "Show Evidence...")</f>
        <v>Show Evidence...</v>
      </c>
    </row>
    <row r="193" spans="1:10" ht="12.75">
      <c r="A193" s="2" t="s">
        <v>50</v>
      </c>
      <c r="B193" s="2" t="s">
        <v>51</v>
      </c>
      <c r="C193" s="2" t="s">
        <v>24</v>
      </c>
      <c r="D193" s="2" t="s">
        <v>52</v>
      </c>
      <c r="E193" s="2" t="s">
        <v>293</v>
      </c>
      <c r="F193" s="11">
        <v>4915</v>
      </c>
      <c r="G193" t="s">
        <v>36</v>
      </c>
      <c r="H193" t="s">
        <v>421</v>
      </c>
      <c r="I193" t="s">
        <v>151</v>
      </c>
      <c r="J193" s="6" t="str">
        <f>HYPERLINK("https://www.biovista.com/db/link/%5B%5B%22Disease%7CCongenital%20Myasthenic%20Syndrome%22%5D,%20%5B%22Gene%7CTRKB%22%5D%5D?strength-weight-map=%257B%2522MEDLINE_STRENGTH_AB%2522:1.0,%2522HPO%2522:100.0%257D", "Show Evidence...")</f>
        <v>Show Evidence...</v>
      </c>
    </row>
    <row r="194" spans="1:10" ht="12.75">
      <c r="A194" s="2" t="s">
        <v>50</v>
      </c>
      <c r="B194" s="2" t="s">
        <v>51</v>
      </c>
      <c r="C194" s="2" t="s">
        <v>24</v>
      </c>
      <c r="D194" s="2" t="s">
        <v>52</v>
      </c>
      <c r="E194" s="2" t="s">
        <v>293</v>
      </c>
      <c r="F194" s="11">
        <v>23607</v>
      </c>
      <c r="G194" t="s">
        <v>36</v>
      </c>
      <c r="H194" t="s">
        <v>422</v>
      </c>
      <c r="I194" t="s">
        <v>154</v>
      </c>
      <c r="J194" s="6" t="str">
        <f>HYPERLINK("https://www.biovista.com/db/link/%5B%5B%22Disease%7CCongenital%20Myasthenic%20Syndrome%22%5D,%20%5B%22Gene%7CCD2AP%22%5D%5D?strength-weight-map=%257B%2522MEDLINE_STRENGTH_AB%2522:1.0,%2522HPO%2522:100.0%257D", "Show Evidence...")</f>
        <v>Show Evidence...</v>
      </c>
    </row>
    <row r="195" spans="1:10" ht="12.75">
      <c r="A195" s="2" t="s">
        <v>50</v>
      </c>
      <c r="B195" s="2" t="s">
        <v>51</v>
      </c>
      <c r="C195" s="2" t="s">
        <v>24</v>
      </c>
      <c r="D195" s="2" t="s">
        <v>52</v>
      </c>
      <c r="E195" s="2" t="s">
        <v>293</v>
      </c>
      <c r="F195" s="11">
        <v>4513</v>
      </c>
      <c r="G195" t="s">
        <v>36</v>
      </c>
      <c r="H195" t="s">
        <v>423</v>
      </c>
      <c r="I195" t="s">
        <v>154</v>
      </c>
      <c r="J195" s="6" t="str">
        <f>HYPERLINK("https://www.biovista.com/db/link/%5B%5B%22Disease%7CCongenital%20Myasthenic%20Syndrome%22%5D,%20%5B%22Gene%7CCOX2%22%5D%5D?strength-weight-map=%257B%2522MEDLINE_STRENGTH_AB%2522:1.0,%2522HPO%2522:100.0%257D", "Show Evidence...")</f>
        <v>Show Evidence...</v>
      </c>
    </row>
    <row r="196" spans="1:10" ht="12.75">
      <c r="A196" s="2" t="s">
        <v>50</v>
      </c>
      <c r="B196" s="2" t="s">
        <v>51</v>
      </c>
      <c r="C196" s="2" t="s">
        <v>24</v>
      </c>
      <c r="D196" s="2" t="s">
        <v>52</v>
      </c>
      <c r="E196" s="2" t="s">
        <v>53</v>
      </c>
      <c r="F196" s="11" t="s">
        <v>424</v>
      </c>
      <c r="G196" t="s">
        <v>36</v>
      </c>
      <c r="H196" t="s">
        <v>425</v>
      </c>
      <c r="I196" t="s">
        <v>154</v>
      </c>
      <c r="J196" s="6" t="str">
        <f>HYPERLINK("https://www.biovista.com/db/link/%5B%5B%22Disease%7CCongenital%20Myasthenic%20Syndrome%22%5D,%20%5B%22Gene%7CElectron%20Transport%20Complex%20IV%22%5D%5D?strength-weight-map=%257B%2522MEDLINE_STRENGTH_AB%2522:1.0,%2522HPO%2522:100.0%257D", "Show Evidence...")</f>
        <v>Show Evidence...</v>
      </c>
    </row>
    <row r="197" spans="1:10" ht="12.75">
      <c r="A197" s="2" t="s">
        <v>50</v>
      </c>
      <c r="B197" s="2" t="s">
        <v>51</v>
      </c>
      <c r="C197" s="2" t="s">
        <v>24</v>
      </c>
      <c r="D197" s="2" t="s">
        <v>52</v>
      </c>
      <c r="E197" s="2" t="s">
        <v>293</v>
      </c>
      <c r="F197" s="11">
        <v>60899174</v>
      </c>
      <c r="G197" t="s">
        <v>36</v>
      </c>
      <c r="H197" t="s">
        <v>426</v>
      </c>
      <c r="I197" t="s">
        <v>154</v>
      </c>
      <c r="J197" s="6" t="str">
        <f>HYPERLINK("https://www.biovista.com/db/link/%5B%5B%22Disease%7CCongenital%20Myasthenic%20Syndrome%22%5D,%20%5B%22Gene%7CiaaA%22%5D%5D?strength-weight-map=%257B%2522MEDLINE_STRENGTH_AB%2522:1.0,%2522HPO%2522:100.0%257D", "Show Evidence...")</f>
        <v>Show Evidence...</v>
      </c>
    </row>
    <row r="198" spans="1:10" ht="12.75">
      <c r="A198" s="2" t="s">
        <v>50</v>
      </c>
      <c r="B198" s="2" t="s">
        <v>51</v>
      </c>
      <c r="C198" s="2" t="s">
        <v>24</v>
      </c>
      <c r="D198" s="2" t="s">
        <v>52</v>
      </c>
      <c r="E198" s="2" t="s">
        <v>293</v>
      </c>
      <c r="F198" s="11">
        <v>3458</v>
      </c>
      <c r="G198" t="s">
        <v>36</v>
      </c>
      <c r="H198" t="s">
        <v>427</v>
      </c>
      <c r="I198" t="s">
        <v>154</v>
      </c>
      <c r="J198" s="6" t="str">
        <f>HYPERLINK("https://www.biovista.com/db/link/%5B%5B%22Disease%7CCongenital%20Myasthenic%20Syndrome%22%5D,%20%5B%22Gene%7CIFNG%22%5D%5D?strength-weight-map=%257B%2522MEDLINE_STRENGTH_AB%2522:1.0,%2522HPO%2522:100.0%257D", "Show Evidence...")</f>
        <v>Show Evidence...</v>
      </c>
    </row>
    <row r="199" spans="1:10" ht="12.75">
      <c r="A199" s="2" t="s">
        <v>50</v>
      </c>
      <c r="B199" s="2" t="s">
        <v>51</v>
      </c>
      <c r="C199" s="2" t="s">
        <v>24</v>
      </c>
      <c r="D199" s="2" t="s">
        <v>52</v>
      </c>
      <c r="E199" s="2" t="s">
        <v>293</v>
      </c>
      <c r="F199" s="11">
        <v>340719</v>
      </c>
      <c r="G199" t="s">
        <v>36</v>
      </c>
      <c r="H199" t="s">
        <v>428</v>
      </c>
      <c r="I199" t="s">
        <v>154</v>
      </c>
      <c r="J199" s="6" t="str">
        <f>HYPERLINK("https://www.biovista.com/db/link/%5B%5B%22Disease%7CCongenital%20Myasthenic%20Syndrome%22%5D,%20%5B%22Gene%7CNOS1%22%5D%5D?strength-weight-map=%257B%2522MEDLINE_STRENGTH_AB%2522:1.0,%2522HPO%2522:100.0%257D", "Show Evidence...")</f>
        <v>Show Evidence...</v>
      </c>
    </row>
    <row r="200" spans="1:10" ht="12.75">
      <c r="A200" s="2" t="s">
        <v>50</v>
      </c>
      <c r="B200" s="2" t="s">
        <v>51</v>
      </c>
      <c r="C200" s="2" t="s">
        <v>24</v>
      </c>
      <c r="D200" s="2" t="s">
        <v>52</v>
      </c>
      <c r="E200" s="2" t="s">
        <v>293</v>
      </c>
      <c r="F200" s="11">
        <v>3880727</v>
      </c>
      <c r="G200" t="s">
        <v>36</v>
      </c>
      <c r="H200" t="s">
        <v>429</v>
      </c>
      <c r="I200" t="s">
        <v>154</v>
      </c>
      <c r="J200" s="6" t="str">
        <f>HYPERLINK("https://www.biovista.com/db/link/%5B%5B%22Disease%7CCongenital%20Myasthenic%20Syndrome%22%5D,%20%5B%22Gene%7Cnuo10.5%22%5D%5D?strength-weight-map=%257B%2522MEDLINE_STRENGTH_AB%2522:1.0,%2522HPO%2522:100.0%257D", "Show Evidence...")</f>
        <v>Show Evidence...</v>
      </c>
    </row>
    <row r="201" spans="1:10" ht="12.75">
      <c r="A201" s="2" t="s">
        <v>50</v>
      </c>
      <c r="B201" s="2" t="s">
        <v>51</v>
      </c>
      <c r="C201" s="2" t="s">
        <v>24</v>
      </c>
      <c r="D201" s="2" t="s">
        <v>52</v>
      </c>
      <c r="E201" s="2" t="s">
        <v>293</v>
      </c>
      <c r="F201" s="11">
        <v>3878171</v>
      </c>
      <c r="G201" t="s">
        <v>36</v>
      </c>
      <c r="H201" t="s">
        <v>430</v>
      </c>
      <c r="I201" t="s">
        <v>157</v>
      </c>
      <c r="J201" s="6" t="str">
        <f>HYPERLINK("https://www.biovista.com/db/link/%5B%5B%22Disease%7CCongenital%20Myasthenic%20Syndrome%22%5D,%20%5B%22Gene%7Cpentatricopeptide%20repeat%20protein%22%5D%5D?strength-weight-map=%257B%2522MEDLINE_STRENGTH_AB%2522:1.0,%2522HPO%2522:100.0%257D", "Show Evidence...")</f>
        <v>Show Evidence...</v>
      </c>
    </row>
    <row r="202" spans="1:10" ht="12.75">
      <c r="A202" s="2" t="s">
        <v>50</v>
      </c>
      <c r="B202" s="2" t="s">
        <v>51</v>
      </c>
      <c r="C202" s="2" t="s">
        <v>24</v>
      </c>
      <c r="D202" s="2" t="s">
        <v>52</v>
      </c>
      <c r="E202" s="2" t="s">
        <v>431</v>
      </c>
      <c r="F202" s="11" t="s">
        <v>432</v>
      </c>
      <c r="G202" t="s">
        <v>38</v>
      </c>
      <c r="H202" t="s">
        <v>433</v>
      </c>
      <c r="I202" t="s">
        <v>434</v>
      </c>
      <c r="J202" s="6" t="str">
        <f>HYPERLINK("https://www.biovista.com/db/link/%5B%5B%22Disease%7CCongenital%20Myasthenic%20Syndrome%22%5D,%20%5B%22Human%20Phenotype%7CFatigable%20weakness%22%5D%5D?strength-weight-map=%257B%2522MEDLINE_STRENGTH_AB%2522:1.0,%2522HPO%2522:100.0%257D", "Show Evidence...")</f>
        <v>Show Evidence...</v>
      </c>
    </row>
    <row r="203" spans="1:10" ht="12.75">
      <c r="A203" s="2" t="s">
        <v>50</v>
      </c>
      <c r="B203" s="2" t="s">
        <v>51</v>
      </c>
      <c r="C203" s="2" t="s">
        <v>24</v>
      </c>
      <c r="D203" s="2" t="s">
        <v>52</v>
      </c>
      <c r="E203" s="2" t="s">
        <v>431</v>
      </c>
      <c r="F203" s="11" t="s">
        <v>435</v>
      </c>
      <c r="G203" t="s">
        <v>38</v>
      </c>
      <c r="H203" t="s">
        <v>436</v>
      </c>
      <c r="I203" t="s">
        <v>437</v>
      </c>
      <c r="J203" s="6" t="str">
        <f>HYPERLINK("https://www.biovista.com/db/link/%5B%5B%22Disease%7CCongenital%20Myasthenic%20Syndrome%22%5D,%20%5B%22Human%20Phenotype%7CPtosis%22%5D%5D?strength-weight-map=%257B%2522MEDLINE_STRENGTH_AB%2522:1.0,%2522HPO%2522:100.0%257D", "Show Evidence...")</f>
        <v>Show Evidence...</v>
      </c>
    </row>
    <row r="204" spans="1:10" ht="12.75">
      <c r="A204" s="2" t="s">
        <v>50</v>
      </c>
      <c r="B204" s="2" t="s">
        <v>51</v>
      </c>
      <c r="C204" s="2" t="s">
        <v>24</v>
      </c>
      <c r="D204" s="2" t="s">
        <v>52</v>
      </c>
      <c r="E204" s="2" t="s">
        <v>431</v>
      </c>
      <c r="F204" s="11" t="s">
        <v>438</v>
      </c>
      <c r="G204" t="s">
        <v>38</v>
      </c>
      <c r="H204" t="s">
        <v>439</v>
      </c>
      <c r="I204" t="s">
        <v>440</v>
      </c>
      <c r="J204" s="6" t="str">
        <f>HYPERLINK("https://www.biovista.com/db/link/%5B%5B%22Disease%7CCongenital%20Myasthenic%20Syndrome%22%5D,%20%5B%22Human%20Phenotype%7CProximal%20muscle%20weakness%22%5D%5D?strength-weight-map=%257B%2522MEDLINE_STRENGTH_AB%2522:1.0,%2522HPO%2522:100.0%257D", "Show Evidence...")</f>
        <v>Show Evidence...</v>
      </c>
    </row>
    <row r="205" spans="1:10" ht="12.75">
      <c r="A205" s="2" t="s">
        <v>50</v>
      </c>
      <c r="B205" s="2" t="s">
        <v>51</v>
      </c>
      <c r="C205" s="2" t="s">
        <v>24</v>
      </c>
      <c r="D205" s="2" t="s">
        <v>52</v>
      </c>
      <c r="E205" s="2" t="s">
        <v>431</v>
      </c>
      <c r="F205" s="11" t="s">
        <v>441</v>
      </c>
      <c r="G205" t="s">
        <v>38</v>
      </c>
      <c r="H205" t="s">
        <v>442</v>
      </c>
      <c r="I205" t="s">
        <v>443</v>
      </c>
      <c r="J205" s="6" t="str">
        <f>HYPERLINK("https://www.biovista.com/db/link/%5B%5B%22Disease%7CCongenital%20Myasthenic%20Syndrome%22%5D,%20%5B%22Human%20Phenotype%7CDysphagia%22%5D%5D?strength-weight-map=%257B%2522MEDLINE_STRENGTH_AB%2522:1.0,%2522HPO%2522:100.0%257D", "Show Evidence...")</f>
        <v>Show Evidence...</v>
      </c>
    </row>
    <row r="206" spans="1:10" ht="12.75">
      <c r="A206" s="2" t="s">
        <v>50</v>
      </c>
      <c r="B206" s="2" t="s">
        <v>51</v>
      </c>
      <c r="C206" s="2" t="s">
        <v>24</v>
      </c>
      <c r="D206" s="2" t="s">
        <v>52</v>
      </c>
      <c r="E206" s="2" t="s">
        <v>431</v>
      </c>
      <c r="F206" s="11" t="s">
        <v>444</v>
      </c>
      <c r="G206" t="s">
        <v>38</v>
      </c>
      <c r="H206" t="s">
        <v>445</v>
      </c>
      <c r="I206" t="s">
        <v>446</v>
      </c>
      <c r="J206" s="6" t="str">
        <f>HYPERLINK("https://www.biovista.com/db/link/%5B%5B%22Disease%7CCongenital%20Myasthenic%20Syndrome%22%5D,%20%5B%22Human%20Phenotype%7CFeeding%20difficulties%22%5D%5D?strength-weight-map=%257B%2522MEDLINE_STRENGTH_AB%2522:1.0,%2522HPO%2522:100.0%257D", "Show Evidence...")</f>
        <v>Show Evidence...</v>
      </c>
    </row>
    <row r="207" spans="1:10" ht="12.75">
      <c r="A207" s="2" t="s">
        <v>50</v>
      </c>
      <c r="B207" s="2" t="s">
        <v>51</v>
      </c>
      <c r="C207" s="2" t="s">
        <v>24</v>
      </c>
      <c r="D207" s="2" t="s">
        <v>52</v>
      </c>
      <c r="E207" s="2" t="s">
        <v>431</v>
      </c>
      <c r="F207" s="11" t="s">
        <v>447</v>
      </c>
      <c r="G207" t="s">
        <v>38</v>
      </c>
      <c r="H207" t="s">
        <v>448</v>
      </c>
      <c r="I207" t="s">
        <v>449</v>
      </c>
      <c r="J207" s="6" t="str">
        <f>HYPERLINK("https://www.biovista.com/db/link/%5B%5B%22Disease%7CCongenital%20Myasthenic%20Syndrome%22%5D,%20%5B%22Human%20Phenotype%7CPoor%20suck%22%5D%5D?strength-weight-map=%257B%2522MEDLINE_STRENGTH_AB%2522:1.0,%2522HPO%2522:100.0%257D", "Show Evidence...")</f>
        <v>Show Evidence...</v>
      </c>
    </row>
    <row r="208" spans="1:10" ht="12.75">
      <c r="A208" s="2" t="s">
        <v>50</v>
      </c>
      <c r="B208" s="2" t="s">
        <v>51</v>
      </c>
      <c r="C208" s="2" t="s">
        <v>24</v>
      </c>
      <c r="D208" s="2" t="s">
        <v>52</v>
      </c>
      <c r="E208" s="2" t="s">
        <v>431</v>
      </c>
      <c r="F208" s="11" t="s">
        <v>450</v>
      </c>
      <c r="G208" t="s">
        <v>38</v>
      </c>
      <c r="H208" t="s">
        <v>451</v>
      </c>
      <c r="I208" t="s">
        <v>452</v>
      </c>
      <c r="J208" s="6" t="str">
        <f>HYPERLINK("https://www.biovista.com/db/link/%5B%5B%22Disease%7CCongenital%20Myasthenic%20Syndrome%22%5D,%20%5B%22Human%20Phenotype%7CNeck%20muscle%20weakness%22%5D%5D?strength-weight-map=%257B%2522MEDLINE_STRENGTH_AB%2522:1.0,%2522HPO%2522:100.0%257D", "Show Evidence...")</f>
        <v>Show Evidence...</v>
      </c>
    </row>
    <row r="209" spans="1:10" ht="12.75">
      <c r="A209" s="2" t="s">
        <v>50</v>
      </c>
      <c r="B209" s="2" t="s">
        <v>51</v>
      </c>
      <c r="C209" s="2" t="s">
        <v>24</v>
      </c>
      <c r="D209" s="2" t="s">
        <v>52</v>
      </c>
      <c r="E209" s="2" t="s">
        <v>431</v>
      </c>
      <c r="F209" s="11" t="s">
        <v>453</v>
      </c>
      <c r="G209" t="s">
        <v>38</v>
      </c>
      <c r="H209" t="s">
        <v>454</v>
      </c>
      <c r="I209" t="s">
        <v>455</v>
      </c>
      <c r="J209" s="6" t="str">
        <f>HYPERLINK("https://www.biovista.com/db/link/%5B%5B%22Disease%7CCongenital%20Myasthenic%20Syndrome%22%5D,%20%5B%22Human%20Phenotype%7CFrontalis%20muscle%20weakness%22%5D%5D?strength-weight-map=%257B%2522MEDLINE_STRENGTH_AB%2522:1.0,%2522HPO%2522:100.0%257D", "Show Evidence...")</f>
        <v>Show Evidence...</v>
      </c>
    </row>
    <row r="210" spans="1:10" ht="12.75">
      <c r="A210" s="2" t="s">
        <v>50</v>
      </c>
      <c r="B210" s="2" t="s">
        <v>51</v>
      </c>
      <c r="C210" s="2" t="s">
        <v>24</v>
      </c>
      <c r="D210" s="2" t="s">
        <v>52</v>
      </c>
      <c r="E210" s="2" t="s">
        <v>431</v>
      </c>
      <c r="F210" s="11" t="s">
        <v>456</v>
      </c>
      <c r="G210" t="s">
        <v>38</v>
      </c>
      <c r="H210" t="s">
        <v>457</v>
      </c>
      <c r="I210" t="s">
        <v>455</v>
      </c>
      <c r="J210" s="6" t="s">
        <v>458</v>
      </c>
    </row>
    <row r="211" spans="1:10" ht="12.75">
      <c r="A211" s="2" t="s">
        <v>50</v>
      </c>
      <c r="B211" s="2" t="s">
        <v>51</v>
      </c>
      <c r="C211" s="2" t="s">
        <v>24</v>
      </c>
      <c r="D211" s="2" t="s">
        <v>52</v>
      </c>
      <c r="E211" s="2" t="s">
        <v>431</v>
      </c>
      <c r="F211" s="11" t="s">
        <v>459</v>
      </c>
      <c r="G211" t="s">
        <v>38</v>
      </c>
      <c r="H211" t="s">
        <v>460</v>
      </c>
      <c r="I211" t="s">
        <v>455</v>
      </c>
      <c r="J211" s="6" t="str">
        <f>HYPERLINK("https://www.biovista.com/db/link/%5B%5B%22Disease%7CCongenital%20Myasthenic%20Syndrome%22%5D,%20%5B%22Human%20Phenotype%7CSudden%20episodic%20apnea%22%5D%5D?strength-weight-map=%257B%2522MEDLINE_STRENGTH_AB%2522:1.0,%2522HPO%2522:100.0%257D", "Show Evidence...")</f>
        <v>Show Evidence...</v>
      </c>
    </row>
    <row r="212" spans="1:10" ht="12.75">
      <c r="A212" s="2" t="s">
        <v>50</v>
      </c>
      <c r="B212" s="2" t="s">
        <v>51</v>
      </c>
      <c r="C212" s="2" t="s">
        <v>24</v>
      </c>
      <c r="D212" s="2" t="s">
        <v>52</v>
      </c>
      <c r="E212" s="2" t="s">
        <v>431</v>
      </c>
      <c r="F212" s="11" t="s">
        <v>461</v>
      </c>
      <c r="G212" t="s">
        <v>38</v>
      </c>
      <c r="H212" t="s">
        <v>462</v>
      </c>
      <c r="I212" t="s">
        <v>463</v>
      </c>
      <c r="J212" s="6" t="str">
        <f>HYPERLINK("https://www.biovista.com/db/link/%5B%5B%22Disease%7CCongenital%20Myasthenic%20Syndrome%22%5D,%20%5B%22Human%20Phenotype%7CArthrogryposis%20multiplex%20congenita%22%5D%5D?strength-weight-map=%257B%2522MEDLINE_STRENGTH_AB%2522:1.0,%2522HPO%2522:100.0%257D", "Show Evidence...")</f>
        <v>Show Evidence...</v>
      </c>
    </row>
    <row r="213" spans="1:10" ht="12.75">
      <c r="A213" s="2" t="s">
        <v>50</v>
      </c>
      <c r="B213" s="2" t="s">
        <v>51</v>
      </c>
      <c r="C213" s="2" t="s">
        <v>24</v>
      </c>
      <c r="D213" s="2" t="s">
        <v>52</v>
      </c>
      <c r="E213" s="2" t="s">
        <v>431</v>
      </c>
      <c r="F213" s="11" t="s">
        <v>464</v>
      </c>
      <c r="G213" t="s">
        <v>38</v>
      </c>
      <c r="H213" t="s">
        <v>465</v>
      </c>
      <c r="I213" t="s">
        <v>466</v>
      </c>
      <c r="J213" s="6" t="str">
        <f>HYPERLINK("https://www.biovista.com/db/link/%5B%5B%22Disease%7CCongenital%20Myasthenic%20Syndrome%22%5D,%20%5B%22Human%20Phenotype%7CAtaxia%22%5D%5D?strength-weight-map=%257B%2522MEDLINE_STRENGTH_AB%2522:1.0,%2522HPO%2522:100.0%257D", "Show Evidence...")</f>
        <v>Show Evidence...</v>
      </c>
    </row>
    <row r="214" spans="1:10" ht="12.75">
      <c r="A214" s="2" t="s">
        <v>50</v>
      </c>
      <c r="B214" s="2" t="s">
        <v>51</v>
      </c>
      <c r="C214" s="2" t="s">
        <v>24</v>
      </c>
      <c r="D214" s="2" t="s">
        <v>52</v>
      </c>
      <c r="E214" s="2" t="s">
        <v>431</v>
      </c>
      <c r="F214" s="11" t="s">
        <v>467</v>
      </c>
      <c r="G214" t="s">
        <v>38</v>
      </c>
      <c r="H214" t="s">
        <v>468</v>
      </c>
      <c r="I214" t="s">
        <v>469</v>
      </c>
      <c r="J214" s="6" t="str">
        <f>HYPERLINK("https://www.biovista.com/db/link/%5B%5B%22Disease%7CCongenital%20Myasthenic%20Syndrome%22%5D,%20%5B%22Human%20Phenotype%7COphthalmoplegia%22%5D%5D?strength-weight-map=%257B%2522MEDLINE_STRENGTH_AB%2522:1.0,%2522HPO%2522:100.0%257D", "Show Evidence...")</f>
        <v>Show Evidence...</v>
      </c>
    </row>
    <row r="215" spans="1:10" ht="12.75">
      <c r="A215" s="2" t="s">
        <v>50</v>
      </c>
      <c r="B215" s="2" t="s">
        <v>51</v>
      </c>
      <c r="C215" s="2" t="s">
        <v>24</v>
      </c>
      <c r="D215" s="2" t="s">
        <v>52</v>
      </c>
      <c r="E215" s="2" t="s">
        <v>431</v>
      </c>
      <c r="F215" s="11" t="s">
        <v>470</v>
      </c>
      <c r="G215" t="s">
        <v>38</v>
      </c>
      <c r="H215" t="s">
        <v>471</v>
      </c>
      <c r="I215" t="s">
        <v>472</v>
      </c>
      <c r="J215" s="6" t="str">
        <f>HYPERLINK("https://www.biovista.com/db/link/%5B%5B%22Disease%7CCongenital%20Myasthenic%20Syndrome%22%5D,%20%5B%22Human%20Phenotype%7CIntellectual%20disability%22%5D%5D?strength-weight-map=%257B%2522MEDLINE_STRENGTH_AB%2522:1.0,%2522HPO%2522:100.0%257D", "Show Evidence...")</f>
        <v>Show Evidence...</v>
      </c>
    </row>
    <row r="216" spans="1:10" ht="12.75">
      <c r="A216" s="2" t="s">
        <v>50</v>
      </c>
      <c r="B216" s="2" t="s">
        <v>51</v>
      </c>
      <c r="C216" s="2" t="s">
        <v>24</v>
      </c>
      <c r="D216" s="2" t="s">
        <v>52</v>
      </c>
      <c r="E216" s="2" t="s">
        <v>431</v>
      </c>
      <c r="F216" s="11" t="s">
        <v>473</v>
      </c>
      <c r="G216" t="s">
        <v>38</v>
      </c>
      <c r="H216" t="s">
        <v>474</v>
      </c>
      <c r="I216" t="s">
        <v>475</v>
      </c>
      <c r="J216" s="6" t="str">
        <f>HYPERLINK("https://www.biovista.com/db/link/%5B%5B%22Disease%7CCongenital%20Myasthenic%20Syndrome%22%5D,%20%5B%22Human%20Phenotype%7CGeneralized%20muscle%20weakness%22%5D%5D?strength-weight-map=%257B%2522MEDLINE_STRENGTH_AB%2522:1.0,%2522HPO%2522:100.0%257D", "Show Evidence...")</f>
        <v>Show Evidence...</v>
      </c>
    </row>
    <row r="217" spans="1:10" ht="12.75">
      <c r="A217" s="2" t="s">
        <v>50</v>
      </c>
      <c r="B217" s="2" t="s">
        <v>51</v>
      </c>
      <c r="C217" s="2" t="s">
        <v>24</v>
      </c>
      <c r="D217" s="2" t="s">
        <v>52</v>
      </c>
      <c r="E217" s="2" t="s">
        <v>431</v>
      </c>
      <c r="F217" s="11" t="s">
        <v>476</v>
      </c>
      <c r="G217" t="s">
        <v>38</v>
      </c>
      <c r="H217" t="s">
        <v>477</v>
      </c>
      <c r="I217" t="s">
        <v>478</v>
      </c>
      <c r="J217" s="6" t="str">
        <f>HYPERLINK("https://www.biovista.com/db/link/%5B%5B%22Disease%7CCongenital%20Myasthenic%20Syndrome%22%5D,%20%5B%22Human%20Phenotype%7CBulbar%20palsy%22%5D%5D?strength-weight-map=%257B%2522MEDLINE_STRENGTH_AB%2522:1.0,%2522HPO%2522:100.0%257D", "Show Evidence...")</f>
        <v>Show Evidence...</v>
      </c>
    </row>
    <row r="218" spans="1:10" ht="12.75">
      <c r="A218" s="2" t="s">
        <v>50</v>
      </c>
      <c r="B218" s="2" t="s">
        <v>51</v>
      </c>
      <c r="C218" s="2" t="s">
        <v>24</v>
      </c>
      <c r="D218" s="2" t="s">
        <v>52</v>
      </c>
      <c r="E218" s="2" t="s">
        <v>431</v>
      </c>
      <c r="F218" s="11" t="s">
        <v>479</v>
      </c>
      <c r="G218" t="s">
        <v>38</v>
      </c>
      <c r="H218" t="s">
        <v>480</v>
      </c>
      <c r="I218" t="s">
        <v>481</v>
      </c>
      <c r="J218" s="6" t="str">
        <f>HYPERLINK("https://www.biovista.com/db/link/%5B%5B%22Disease%7CCongenital%20Myasthenic%20Syndrome%22%5D,%20%5B%22Human%20Phenotype%7CCyanosis%22%5D%5D?strength-weight-map=%257B%2522MEDLINE_STRENGTH_AB%2522:1.0,%2522HPO%2522:100.0%257D", "Show Evidence...")</f>
        <v>Show Evidence...</v>
      </c>
    </row>
    <row r="219" spans="1:10" ht="12.75">
      <c r="A219" s="2" t="s">
        <v>50</v>
      </c>
      <c r="B219" s="2" t="s">
        <v>51</v>
      </c>
      <c r="C219" s="2" t="s">
        <v>24</v>
      </c>
      <c r="D219" s="2" t="s">
        <v>52</v>
      </c>
      <c r="E219" s="2" t="s">
        <v>431</v>
      </c>
      <c r="F219" s="11" t="s">
        <v>482</v>
      </c>
      <c r="G219" t="s">
        <v>38</v>
      </c>
      <c r="H219" t="s">
        <v>483</v>
      </c>
      <c r="I219" t="s">
        <v>481</v>
      </c>
      <c r="J219" s="6" t="str">
        <f>HYPERLINK("https://www.biovista.com/db/link/%5B%5B%22Disease%7CCongenital%20Myasthenic%20Syndrome%22%5D,%20%5B%22Human%20Phenotype%7CDecreased%20fetal%20movement%22%5D%5D?strength-weight-map=%257B%2522MEDLINE_STRENGTH_AB%2522:1.0,%2522HPO%2522:100.0%257D", "Show Evidence...")</f>
        <v>Show Evidence...</v>
      </c>
    </row>
    <row r="220" spans="1:10" ht="12.75">
      <c r="A220" s="2" t="s">
        <v>50</v>
      </c>
      <c r="B220" s="2" t="s">
        <v>51</v>
      </c>
      <c r="C220" s="2" t="s">
        <v>24</v>
      </c>
      <c r="D220" s="2" t="s">
        <v>52</v>
      </c>
      <c r="E220" s="2" t="s">
        <v>431</v>
      </c>
      <c r="F220" s="11" t="s">
        <v>484</v>
      </c>
      <c r="G220" t="s">
        <v>38</v>
      </c>
      <c r="H220" t="s">
        <v>485</v>
      </c>
      <c r="I220" t="s">
        <v>486</v>
      </c>
      <c r="J220" s="6" t="str">
        <f>HYPERLINK("https://www.biovista.com/db/link/%5B%5B%22Disease%7CCongenital%20Myasthenic%20Syndrome%22%5D,%20%5B%22Human%20Phenotype%7CEasy%20fatigability%22%5D%5D?strength-weight-map=%257B%2522MEDLINE_STRENGTH_AB%2522:1.0,%2522HPO%2522:100.0%257D", "Show Evidence...")</f>
        <v>Show Evidence...</v>
      </c>
    </row>
    <row r="221" spans="1:10" ht="12.75">
      <c r="A221" s="2" t="s">
        <v>50</v>
      </c>
      <c r="B221" s="2" t="s">
        <v>51</v>
      </c>
      <c r="C221" s="2" t="s">
        <v>24</v>
      </c>
      <c r="D221" s="2" t="s">
        <v>52</v>
      </c>
      <c r="E221" s="2" t="s">
        <v>431</v>
      </c>
      <c r="F221" s="11" t="s">
        <v>487</v>
      </c>
      <c r="G221" t="s">
        <v>38</v>
      </c>
      <c r="H221" t="s">
        <v>488</v>
      </c>
      <c r="I221" t="s">
        <v>489</v>
      </c>
      <c r="J221" s="6" t="str">
        <f>HYPERLINK("https://www.biovista.com/db/link/%5B%5B%22Disease%7CCongenital%20Myasthenic%20Syndrome%22%5D,%20%5B%22Human%20Phenotype%7CNeuropathic%20spinal%20arthropathy%22%5D%5D?strength-weight-map=%257B%2522MEDLINE_STRENGTH_AB%2522:1.0,%2522HPO%2522:100.0%257D", "Show Evidence...")</f>
        <v>Show Evidence...</v>
      </c>
    </row>
    <row r="222" spans="1:10" ht="12.75">
      <c r="A222" s="2" t="s">
        <v>50</v>
      </c>
      <c r="B222" s="2" t="s">
        <v>51</v>
      </c>
      <c r="C222" s="2" t="s">
        <v>24</v>
      </c>
      <c r="D222" s="2" t="s">
        <v>52</v>
      </c>
      <c r="E222" s="2" t="s">
        <v>431</v>
      </c>
      <c r="F222" s="11" t="s">
        <v>490</v>
      </c>
      <c r="G222" t="s">
        <v>38</v>
      </c>
      <c r="H222" t="s">
        <v>491</v>
      </c>
      <c r="I222" t="s">
        <v>492</v>
      </c>
      <c r="J222" s="6" t="str">
        <f>HYPERLINK("https://www.biovista.com/db/link/%5B%5B%22Disease%7CCongenital%20Myasthenic%20Syndrome%22%5D,%20%5B%22Human%20Phenotype%7CEpisodic%20respiratory%20distress%22%5D%5D?strength-weight-map=%257B%2522MEDLINE_STRENGTH_AB%2522:1.0,%2522HPO%2522:100.0%257D", "Show Evidence...")</f>
        <v>Show Evidence...</v>
      </c>
    </row>
    <row r="223" spans="1:10" ht="12.75">
      <c r="A223" s="2" t="s">
        <v>50</v>
      </c>
      <c r="B223" s="2" t="s">
        <v>51</v>
      </c>
      <c r="C223" s="2" t="s">
        <v>24</v>
      </c>
      <c r="D223" s="2" t="s">
        <v>52</v>
      </c>
      <c r="E223" s="2" t="s">
        <v>431</v>
      </c>
      <c r="F223" s="11" t="s">
        <v>493</v>
      </c>
      <c r="G223" t="s">
        <v>38</v>
      </c>
      <c r="H223" t="s">
        <v>494</v>
      </c>
      <c r="I223" t="s">
        <v>492</v>
      </c>
      <c r="J223" s="6" t="str">
        <f>HYPERLINK("https://www.biovista.com/db/link/%5B%5B%22Disease%7CCongenital%20Myasthenic%20Syndrome%22%5D,%20%5B%22Human%20Phenotype%7CGait%20disturbance%22%5D%5D?strength-weight-map=%257B%2522MEDLINE_STRENGTH_AB%2522:1.0,%2522HPO%2522:100.0%257D", "Show Evidence...")</f>
        <v>Show Evidence...</v>
      </c>
    </row>
    <row r="224" spans="1:10" ht="12.75">
      <c r="A224" s="2" t="s">
        <v>50</v>
      </c>
      <c r="B224" s="2" t="s">
        <v>51</v>
      </c>
      <c r="C224" s="2" t="s">
        <v>24</v>
      </c>
      <c r="D224" s="2" t="s">
        <v>52</v>
      </c>
      <c r="E224" s="2" t="s">
        <v>431</v>
      </c>
      <c r="F224" s="11" t="s">
        <v>495</v>
      </c>
      <c r="G224" t="s">
        <v>38</v>
      </c>
      <c r="H224" t="s">
        <v>496</v>
      </c>
      <c r="I224" t="s">
        <v>492</v>
      </c>
      <c r="J224" s="6" t="str">
        <f>HYPERLINK("https://www.biovista.com/db/link/%5B%5B%22Disease%7CCongenital%20Myasthenic%20Syndrome%22%5D,%20%5B%22Human%20Phenotype%7CHypernasal%20speech%22%5D%5D?strength-weight-map=%257B%2522MEDLINE_STRENGTH_AB%2522:1.0,%2522HPO%2522:100.0%257D", "Show Evidence...")</f>
        <v>Show Evidence...</v>
      </c>
    </row>
    <row r="225" spans="1:10" ht="12.75">
      <c r="A225" s="2" t="s">
        <v>50</v>
      </c>
      <c r="B225" s="2" t="s">
        <v>51</v>
      </c>
      <c r="C225" s="2" t="s">
        <v>24</v>
      </c>
      <c r="D225" s="2" t="s">
        <v>52</v>
      </c>
      <c r="E225" s="2" t="s">
        <v>431</v>
      </c>
      <c r="F225" s="11" t="s">
        <v>497</v>
      </c>
      <c r="G225" t="s">
        <v>38</v>
      </c>
      <c r="H225" t="s">
        <v>498</v>
      </c>
      <c r="I225" t="s">
        <v>499</v>
      </c>
      <c r="J225" s="6" t="s">
        <v>500</v>
      </c>
    </row>
    <row r="226" spans="1:10" ht="12.75">
      <c r="A226" s="2" t="s">
        <v>50</v>
      </c>
      <c r="B226" s="2" t="s">
        <v>51</v>
      </c>
      <c r="C226" s="2" t="s">
        <v>24</v>
      </c>
      <c r="D226" s="2" t="s">
        <v>52</v>
      </c>
      <c r="E226" s="2" t="s">
        <v>431</v>
      </c>
      <c r="F226" s="11" t="s">
        <v>501</v>
      </c>
      <c r="G226" t="s">
        <v>38</v>
      </c>
      <c r="H226" t="s">
        <v>502</v>
      </c>
      <c r="I226" t="s">
        <v>499</v>
      </c>
      <c r="J226" s="6" t="str">
        <f>HYPERLINK("https://www.biovista.com/db/link/%5B%5B%22Disease%7CCongenital%20Myasthenic%20Syndrome%22%5D,%20%5B%22Human%20Phenotype%7CCentral%20sleep%20apnea%22%5D%5D?strength-weight-map=%257B%2522MEDLINE_STRENGTH_AB%2522:1.0,%2522HPO%2522:100.0%257D", "Show Evidence...")</f>
        <v>Show Evidence...</v>
      </c>
    </row>
    <row r="227" spans="1:10" ht="12.75">
      <c r="A227" s="2" t="s">
        <v>50</v>
      </c>
      <c r="B227" s="2" t="s">
        <v>51</v>
      </c>
      <c r="C227" s="2" t="s">
        <v>24</v>
      </c>
      <c r="D227" s="2" t="s">
        <v>52</v>
      </c>
      <c r="E227" s="2" t="s">
        <v>431</v>
      </c>
      <c r="F227" s="11" t="s">
        <v>503</v>
      </c>
      <c r="G227" t="s">
        <v>38</v>
      </c>
      <c r="H227" t="s">
        <v>504</v>
      </c>
      <c r="I227" t="s">
        <v>499</v>
      </c>
      <c r="J227" s="6" t="str">
        <f>HYPERLINK("https://www.biovista.com/db/link/%5B%5B%22Disease%7CCongenital%20Myasthenic%20Syndrome%22%5D,%20%5B%22Human%20Phenotype%7CChoking%20episodes%22%5D%5D?strength-weight-map=%257B%2522MEDLINE_STRENGTH_AB%2522:1.0,%2522HPO%2522:100.0%257D", "Show Evidence...")</f>
        <v>Show Evidence...</v>
      </c>
    </row>
    <row r="228" spans="1:10" ht="12.75">
      <c r="A228" s="2" t="s">
        <v>50</v>
      </c>
      <c r="B228" s="2" t="s">
        <v>51</v>
      </c>
      <c r="C228" s="2" t="s">
        <v>24</v>
      </c>
      <c r="D228" s="2" t="s">
        <v>52</v>
      </c>
      <c r="E228" s="2" t="s">
        <v>431</v>
      </c>
      <c r="F228" s="11" t="s">
        <v>505</v>
      </c>
      <c r="G228" t="s">
        <v>38</v>
      </c>
      <c r="H228" t="s">
        <v>506</v>
      </c>
      <c r="I228" t="s">
        <v>499</v>
      </c>
      <c r="J228" t="s">
        <v>507</v>
      </c>
    </row>
    <row r="229" spans="1:10" ht="12.75">
      <c r="A229" s="2" t="s">
        <v>50</v>
      </c>
      <c r="B229" s="2" t="s">
        <v>51</v>
      </c>
      <c r="C229" s="2" t="s">
        <v>24</v>
      </c>
      <c r="D229" s="2" t="s">
        <v>52</v>
      </c>
      <c r="E229" s="2" t="s">
        <v>431</v>
      </c>
      <c r="F229" s="11" t="s">
        <v>508</v>
      </c>
      <c r="G229" t="s">
        <v>38</v>
      </c>
      <c r="H229" t="s">
        <v>509</v>
      </c>
      <c r="I229" t="s">
        <v>499</v>
      </c>
      <c r="J229" s="6" t="str">
        <f>HYPERLINK("https://www.biovista.com/db/link/%5B%5B%22Disease%7CCongenital%20Myasthenic%20Syndrome%22%5D,%20%5B%22Human%20Phenotype%7CMuscle%20fiber%20atrophy%22%5D%5D?strength-weight-map=%257B%2522MEDLINE_STRENGTH_AB%2522:1.0,%2522HPO%2522:100.0%257D", "Show Evidence...")</f>
        <v>Show Evidence...</v>
      </c>
    </row>
    <row r="230" spans="1:10" ht="12.75">
      <c r="A230" s="2" t="s">
        <v>50</v>
      </c>
      <c r="B230" s="2" t="s">
        <v>51</v>
      </c>
      <c r="C230" s="2" t="s">
        <v>24</v>
      </c>
      <c r="D230" s="2" t="s">
        <v>52</v>
      </c>
      <c r="E230" s="2" t="s">
        <v>431</v>
      </c>
      <c r="F230" s="11" t="s">
        <v>510</v>
      </c>
      <c r="G230" t="s">
        <v>38</v>
      </c>
      <c r="H230" t="s">
        <v>511</v>
      </c>
      <c r="I230" t="s">
        <v>499</v>
      </c>
      <c r="J230" s="6" t="str">
        <f>HYPERLINK("https://www.biovista.com/db/link/%5B%5B%22Disease%7CCongenital%20Myasthenic%20Syndrome%22%5D,%20%5B%22Human%20Phenotype%7CNasal%20regurgitation%22%5D%5D?strength-weight-map=%257B%2522MEDLINE_STRENGTH_AB%2522:1.0,%2522HPO%2522:100.0%257D", "Show Evidence...")</f>
        <v>Show Evidence...</v>
      </c>
    </row>
    <row r="231" spans="1:10" ht="12.75">
      <c r="A231" s="2" t="s">
        <v>50</v>
      </c>
      <c r="B231" s="2" t="s">
        <v>51</v>
      </c>
      <c r="C231" s="2" t="s">
        <v>24</v>
      </c>
      <c r="D231" s="2" t="s">
        <v>52</v>
      </c>
      <c r="E231" s="2" t="s">
        <v>431</v>
      </c>
      <c r="F231" s="11" t="s">
        <v>512</v>
      </c>
      <c r="G231" t="s">
        <v>38</v>
      </c>
      <c r="H231" t="s">
        <v>513</v>
      </c>
      <c r="I231" t="s">
        <v>499</v>
      </c>
      <c r="J231" s="6" t="str">
        <f>HYPERLINK("https://www.biovista.com/db/link/%5B%5B%22Disease%7CCongenital%20Myasthenic%20Syndrome%22%5D,%20%5B%22Human%20Phenotype%7CRecurrent%20respiratory%20infections%22%5D%5D?strength-weight-map=%257B%2522MEDLINE_STRENGTH_AB%2522:1.0,%2522HPO%2522:100.0%257D", "Show Evidence...")</f>
        <v>Show Evidence...</v>
      </c>
    </row>
    <row r="232" spans="1:10" ht="12.75">
      <c r="A232" s="2" t="s">
        <v>50</v>
      </c>
      <c r="B232" s="2" t="s">
        <v>51</v>
      </c>
      <c r="C232" s="2" t="s">
        <v>24</v>
      </c>
      <c r="D232" s="2" t="s">
        <v>52</v>
      </c>
      <c r="E232" s="2" t="s">
        <v>431</v>
      </c>
      <c r="F232" s="11" t="s">
        <v>514</v>
      </c>
      <c r="G232" t="s">
        <v>38</v>
      </c>
      <c r="H232" t="s">
        <v>515</v>
      </c>
      <c r="I232" t="s">
        <v>516</v>
      </c>
      <c r="J232" s="6" t="str">
        <f>HYPERLINK("https://www.biovista.com/db/link/%5B%5B%22Disease%7CCongenital%20Myasthenic%20Syndrome%22%5D,%20%5B%22Human%20Phenotype%7CHypotonia%22%5D%5D?strength-weight-map=%257B%2522MEDLINE_STRENGTH_AB%2522:1.0,%2522HPO%2522:100.0%257D", "Show Evidence...")</f>
        <v>Show Evidence...</v>
      </c>
    </row>
    <row r="233" spans="1:10" ht="12.75">
      <c r="A233" s="2" t="s">
        <v>50</v>
      </c>
      <c r="B233" s="2" t="s">
        <v>51</v>
      </c>
      <c r="C233" s="2" t="s">
        <v>24</v>
      </c>
      <c r="D233" s="2" t="s">
        <v>52</v>
      </c>
      <c r="E233" s="2" t="s">
        <v>431</v>
      </c>
      <c r="F233" s="11" t="s">
        <v>517</v>
      </c>
      <c r="G233" t="s">
        <v>38</v>
      </c>
      <c r="H233" t="s">
        <v>518</v>
      </c>
      <c r="I233" t="s">
        <v>519</v>
      </c>
      <c r="J233" s="6" t="str">
        <f>HYPERLINK("https://www.biovista.com/db/link/%5B%5B%22Disease%7CCongenital%20Myasthenic%20Syndrome%22%5D,%20%5B%22Human%20Phenotype%7CSeizure%22%5D%5D?strength-weight-map=%257B%2522MEDLINE_STRENGTH_AB%2522:1.0,%2522HPO%2522:100.0%257D", "Show Evidence...")</f>
        <v>Show Evidence...</v>
      </c>
    </row>
    <row r="234" spans="1:10" ht="12.75">
      <c r="A234" s="2" t="s">
        <v>50</v>
      </c>
      <c r="B234" s="2" t="s">
        <v>51</v>
      </c>
      <c r="C234" s="2" t="s">
        <v>24</v>
      </c>
      <c r="D234" s="2" t="s">
        <v>52</v>
      </c>
      <c r="E234" s="2" t="s">
        <v>431</v>
      </c>
      <c r="F234" s="11" t="s">
        <v>520</v>
      </c>
      <c r="G234" t="s">
        <v>38</v>
      </c>
      <c r="H234" t="s">
        <v>521</v>
      </c>
      <c r="I234" t="s">
        <v>522</v>
      </c>
      <c r="J234" s="6" t="str">
        <f>HYPERLINK("https://www.biovista.com/db/link/%5B%5B%22Disease%7CCongenital%20Myasthenic%20Syndrome%22%5D,%20%5B%22Human%20Phenotype%7CMotor%20delay%22%5D%5D?strength-weight-map=%257B%2522MEDLINE_STRENGTH_AB%2522:1.0,%2522HPO%2522:100.0%257D", "Show Evidence...")</f>
        <v>Show Evidence...</v>
      </c>
    </row>
    <row r="235" spans="1:10" ht="12.75">
      <c r="A235" s="2" t="s">
        <v>50</v>
      </c>
      <c r="B235" s="2" t="s">
        <v>51</v>
      </c>
      <c r="C235" s="2" t="s">
        <v>24</v>
      </c>
      <c r="D235" s="2" t="s">
        <v>52</v>
      </c>
      <c r="E235" s="2" t="s">
        <v>431</v>
      </c>
      <c r="F235" s="11" t="s">
        <v>523</v>
      </c>
      <c r="G235" t="s">
        <v>38</v>
      </c>
      <c r="H235" t="s">
        <v>524</v>
      </c>
      <c r="I235" t="s">
        <v>525</v>
      </c>
      <c r="J235" s="6" t="str">
        <f>HYPERLINK("https://www.biovista.com/db/link/%5B%5B%22Disease%7CCongenital%20Myasthenic%20Syndrome%22%5D,%20%5B%22Human%20Phenotype%7CLimb-girdle%20muscle%20weakness%22%5D%5D?strength-weight-map=%257B%2522MEDLINE_STRENGTH_AB%2522:1.0,%2522HPO%2522:100.0%257D", "Show Evidence...")</f>
        <v>Show Evidence...</v>
      </c>
    </row>
    <row r="236" spans="1:10" ht="12.75">
      <c r="A236" s="2" t="s">
        <v>50</v>
      </c>
      <c r="B236" s="2" t="s">
        <v>51</v>
      </c>
      <c r="C236" s="2" t="s">
        <v>24</v>
      </c>
      <c r="D236" s="2" t="s">
        <v>52</v>
      </c>
      <c r="E236" s="2" t="s">
        <v>431</v>
      </c>
      <c r="F236" s="11" t="s">
        <v>526</v>
      </c>
      <c r="G236" t="s">
        <v>38</v>
      </c>
      <c r="H236" t="s">
        <v>527</v>
      </c>
      <c r="I236" t="s">
        <v>528</v>
      </c>
      <c r="J236" s="6" t="str">
        <f>HYPERLINK("https://www.biovista.com/db/link/%5B%5B%22Disease%7CCongenital%20Myasthenic%20Syndrome%22%5D,%20%5B%22Human%20Phenotype%7CStridor%22%5D%5D?strength-weight-map=%257B%2522MEDLINE_STRENGTH_AB%2522:1.0,%2522HPO%2522:100.0%257D", "Show Evidence...")</f>
        <v>Show Evidence...</v>
      </c>
    </row>
    <row r="237" spans="1:10" ht="12.75">
      <c r="A237" s="2" t="s">
        <v>50</v>
      </c>
      <c r="B237" s="2" t="s">
        <v>51</v>
      </c>
      <c r="C237" s="2" t="s">
        <v>24</v>
      </c>
      <c r="D237" s="2" t="s">
        <v>52</v>
      </c>
      <c r="E237" s="2" t="s">
        <v>431</v>
      </c>
      <c r="F237" s="11" t="s">
        <v>529</v>
      </c>
      <c r="G237" t="s">
        <v>38</v>
      </c>
      <c r="H237" t="s">
        <v>530</v>
      </c>
      <c r="I237" t="s">
        <v>531</v>
      </c>
      <c r="J237" s="6" t="str">
        <f>HYPERLINK("https://www.biovista.com/db/link/%5B%5B%22Disease%7CCongenital%20Myasthenic%20Syndrome%22%5D,%20%5B%22Human%20Phenotype%7CAreflexia%22%5D%5D?strength-weight-map=%257B%2522MEDLINE_STRENGTH_AB%2522:1.0,%2522HPO%2522:100.0%257D", "Show Evidence...")</f>
        <v>Show Evidence...</v>
      </c>
    </row>
    <row r="238" spans="1:10" ht="12.75">
      <c r="A238" s="2" t="s">
        <v>50</v>
      </c>
      <c r="B238" s="2" t="s">
        <v>51</v>
      </c>
      <c r="C238" s="2" t="s">
        <v>24</v>
      </c>
      <c r="D238" s="2" t="s">
        <v>52</v>
      </c>
      <c r="E238" s="2" t="s">
        <v>431</v>
      </c>
      <c r="F238" s="11" t="s">
        <v>532</v>
      </c>
      <c r="G238" t="s">
        <v>38</v>
      </c>
      <c r="H238" t="s">
        <v>533</v>
      </c>
      <c r="I238" t="s">
        <v>534</v>
      </c>
      <c r="J238" s="6" t="str">
        <f>HYPERLINK("https://www.biovista.com/db/link/%5B%5B%22Disease%7CCongenital%20Myasthenic%20Syndrome%22%5D,%20%5B%22Human%20Phenotype%7CHigh%20palate%22%5D%5D?strength-weight-map=%257B%2522MEDLINE_STRENGTH_AB%2522:1.0,%2522HPO%2522:100.0%257D", "Show Evidence...")</f>
        <v>Show Evidence...</v>
      </c>
    </row>
    <row r="239" spans="1:10" ht="12.75">
      <c r="A239" s="2" t="s">
        <v>50</v>
      </c>
      <c r="B239" s="2" t="s">
        <v>51</v>
      </c>
      <c r="C239" s="2" t="s">
        <v>24</v>
      </c>
      <c r="D239" s="2" t="s">
        <v>52</v>
      </c>
      <c r="E239" s="2" t="s">
        <v>431</v>
      </c>
      <c r="F239" s="11" t="s">
        <v>535</v>
      </c>
      <c r="G239" t="s">
        <v>38</v>
      </c>
      <c r="H239" t="s">
        <v>536</v>
      </c>
      <c r="I239" t="s">
        <v>537</v>
      </c>
      <c r="J239" s="6" t="str">
        <f>HYPERLINK("https://www.biovista.com/db/link/%5B%5B%22Disease%7CCongenital%20Myasthenic%20Syndrome%22%5D,%20%5B%22Human%20Phenotype%7CKyphoscoliosis%22%5D%5D?strength-weight-map=%257B%2522MEDLINE_STRENGTH_AB%2522:1.0,%2522HPO%2522:100.0%257D", "Show Evidence...")</f>
        <v>Show Evidence...</v>
      </c>
    </row>
    <row r="240" spans="1:10" ht="12.75">
      <c r="A240" s="2" t="s">
        <v>50</v>
      </c>
      <c r="B240" s="2" t="s">
        <v>51</v>
      </c>
      <c r="C240" s="2" t="s">
        <v>24</v>
      </c>
      <c r="D240" s="2" t="s">
        <v>52</v>
      </c>
      <c r="E240" s="2" t="s">
        <v>431</v>
      </c>
      <c r="F240" s="11" t="s">
        <v>538</v>
      </c>
      <c r="G240" t="s">
        <v>38</v>
      </c>
      <c r="H240" t="s">
        <v>539</v>
      </c>
      <c r="I240" t="s">
        <v>537</v>
      </c>
      <c r="J240" s="6" t="str">
        <f>HYPERLINK("https://www.biovista.com/db/link/%5B%5B%22Disease%7CCongenital%20Myasthenic%20Syndrome%22%5D,%20%5B%22Human%20Phenotype%7CWaddling%20gait%22%5D%5D?strength-weight-map=%257B%2522MEDLINE_STRENGTH_AB%2522:1.0,%2522HPO%2522:100.0%257D", "Show Evidence...")</f>
        <v>Show Evidence...</v>
      </c>
    </row>
    <row r="241" spans="1:10" ht="12.75">
      <c r="A241" s="2" t="s">
        <v>50</v>
      </c>
      <c r="B241" s="2" t="s">
        <v>51</v>
      </c>
      <c r="C241" s="2" t="s">
        <v>24</v>
      </c>
      <c r="D241" s="2" t="s">
        <v>52</v>
      </c>
      <c r="E241" s="2" t="s">
        <v>431</v>
      </c>
      <c r="F241" s="11" t="s">
        <v>540</v>
      </c>
      <c r="G241" t="s">
        <v>38</v>
      </c>
      <c r="H241" t="s">
        <v>541</v>
      </c>
      <c r="I241" t="s">
        <v>542</v>
      </c>
      <c r="J241" s="6" t="str">
        <f>HYPERLINK("https://www.biovista.com/db/link/%5B%5B%22Disease%7CCongenital%20Myasthenic%20Syndrome%22%5D,%20%5B%22Human%20Phenotype%7CDysphonia%22%5D%5D?strength-weight-map=%257B%2522MEDLINE_STRENGTH_AB%2522:1.0,%2522HPO%2522:100.0%257D", "Show Evidence...")</f>
        <v>Show Evidence...</v>
      </c>
    </row>
    <row r="242" spans="1:10" ht="12.75">
      <c r="A242" s="2" t="s">
        <v>50</v>
      </c>
      <c r="B242" s="2" t="s">
        <v>51</v>
      </c>
      <c r="C242" s="2" t="s">
        <v>24</v>
      </c>
      <c r="D242" s="2" t="s">
        <v>52</v>
      </c>
      <c r="E242" s="2" t="s">
        <v>431</v>
      </c>
      <c r="F242" s="11" t="s">
        <v>543</v>
      </c>
      <c r="G242" t="s">
        <v>38</v>
      </c>
      <c r="H242" t="s">
        <v>544</v>
      </c>
      <c r="I242" t="s">
        <v>542</v>
      </c>
      <c r="J242" s="6" t="str">
        <f>HYPERLINK("https://www.biovista.com/db/link/%5B%5B%22Disease%7CCongenital%20Myasthenic%20Syndrome%22%5D,%20%5B%22Human%20Phenotype%7CWeak%20cry%22%5D%5D?strength-weight-map=%257B%2522MEDLINE_STRENGTH_AB%2522:1.0,%2522HPO%2522:100.0%257D", "Show Evidence...")</f>
        <v>Show Evidence...</v>
      </c>
    </row>
    <row r="243" spans="1:10" ht="12.75">
      <c r="A243" s="2" t="s">
        <v>50</v>
      </c>
      <c r="B243" s="2" t="s">
        <v>51</v>
      </c>
      <c r="C243" s="2" t="s">
        <v>24</v>
      </c>
      <c r="D243" s="2" t="s">
        <v>52</v>
      </c>
      <c r="E243" s="2" t="s">
        <v>431</v>
      </c>
      <c r="F243" s="11" t="s">
        <v>545</v>
      </c>
      <c r="G243" t="s">
        <v>38</v>
      </c>
      <c r="H243" t="s">
        <v>546</v>
      </c>
      <c r="I243" t="s">
        <v>547</v>
      </c>
      <c r="J243" s="6" t="str">
        <f>HYPERLINK("https://www.biovista.com/db/link/%5B%5B%22Disease%7CCongenital%20Myasthenic%20Syndrome%22%5D,%20%5B%22Human%20Phenotype%7CPes%20cavus%22%5D%5D?strength-weight-map=%257B%2522MEDLINE_STRENGTH_AB%2522:1.0,%2522HPO%2522:100.0%257D", "Show Evidence...")</f>
        <v>Show Evidence...</v>
      </c>
    </row>
    <row r="244" spans="1:10" ht="12.75">
      <c r="A244" s="2" t="s">
        <v>50</v>
      </c>
      <c r="B244" s="2" t="s">
        <v>51</v>
      </c>
      <c r="C244" s="2" t="s">
        <v>24</v>
      </c>
      <c r="D244" s="2" t="s">
        <v>52</v>
      </c>
      <c r="E244" s="2" t="s">
        <v>431</v>
      </c>
      <c r="F244" s="11" t="s">
        <v>548</v>
      </c>
      <c r="G244" t="s">
        <v>38</v>
      </c>
      <c r="H244" t="s">
        <v>549</v>
      </c>
      <c r="I244" t="s">
        <v>547</v>
      </c>
      <c r="J244" s="6" t="str">
        <f>HYPERLINK("https://www.biovista.com/db/link/%5B%5B%22Disease%7CCongenital%20Myasthenic%20Syndrome%22%5D,%20%5B%22Human%20Phenotype%7CPoor%20head%20control%22%5D%5D?strength-weight-map=%257B%2522MEDLINE_STRENGTH_AB%2522:1.0,%2522HPO%2522:100.0%257D", "Show Evidence...")</f>
        <v>Show Evidence...</v>
      </c>
    </row>
    <row r="245" spans="1:10" ht="12.75">
      <c r="A245" s="2" t="s">
        <v>50</v>
      </c>
      <c r="B245" s="2" t="s">
        <v>51</v>
      </c>
      <c r="C245" s="2" t="s">
        <v>24</v>
      </c>
      <c r="D245" s="2" t="s">
        <v>52</v>
      </c>
      <c r="E245" s="2" t="s">
        <v>431</v>
      </c>
      <c r="F245" s="11" t="s">
        <v>550</v>
      </c>
      <c r="G245" t="s">
        <v>38</v>
      </c>
      <c r="H245" t="s">
        <v>551</v>
      </c>
      <c r="I245" t="s">
        <v>552</v>
      </c>
      <c r="J245" s="6" t="str">
        <f>HYPERLINK("https://www.biovista.com/db/link/%5B%5B%22Disease%7CCongenital%20Myasthenic%20Syndrome%22%5D,%20%5B%22Human%20Phenotype%7CDistal%20amyotrophy%22%5D%5D?strength-weight-map=%257B%2522MEDLINE_STRENGTH_AB%2522:1.0,%2522HPO%2522:100.0%257D", "Show Evidence...")</f>
        <v>Show Evidence...</v>
      </c>
    </row>
    <row r="246" spans="1:10" ht="12.75">
      <c r="A246" s="2" t="s">
        <v>50</v>
      </c>
      <c r="B246" s="2" t="s">
        <v>51</v>
      </c>
      <c r="C246" s="2" t="s">
        <v>24</v>
      </c>
      <c r="D246" s="2" t="s">
        <v>52</v>
      </c>
      <c r="E246" s="2" t="s">
        <v>431</v>
      </c>
      <c r="F246" s="11" t="s">
        <v>553</v>
      </c>
      <c r="G246" t="s">
        <v>38</v>
      </c>
      <c r="H246" t="s">
        <v>554</v>
      </c>
      <c r="I246" t="s">
        <v>552</v>
      </c>
      <c r="J246" s="6" t="s">
        <v>555</v>
      </c>
    </row>
    <row r="247" spans="1:10" ht="12.75">
      <c r="A247" s="2" t="s">
        <v>50</v>
      </c>
      <c r="B247" s="2" t="s">
        <v>51</v>
      </c>
      <c r="C247" s="2" t="s">
        <v>24</v>
      </c>
      <c r="D247" s="2" t="s">
        <v>52</v>
      </c>
      <c r="E247" s="2" t="s">
        <v>431</v>
      </c>
      <c r="F247" s="11" t="s">
        <v>556</v>
      </c>
      <c r="G247" t="s">
        <v>38</v>
      </c>
      <c r="H247" t="s">
        <v>557</v>
      </c>
      <c r="I247" t="s">
        <v>552</v>
      </c>
      <c r="J247" s="6" t="str">
        <f>HYPERLINK("https://www.biovista.com/db/link/%5B%5B%22Disease%7CCongenital%20Myasthenic%20Syndrome%22%5D,%20%5B%22Human%20Phenotype%7CEMG:%20myopathic%20abnormalities%22%5D%5D?strength-weight-map=%257B%2522MEDLINE_STRENGTH_AB%2522:1.0,%2522HPO%2522:100.0%257D", "Show Evidence...")</f>
        <v>Show Evidence...</v>
      </c>
    </row>
    <row r="248" spans="1:10" ht="12.75">
      <c r="A248" s="2" t="s">
        <v>50</v>
      </c>
      <c r="B248" s="2" t="s">
        <v>51</v>
      </c>
      <c r="C248" s="2" t="s">
        <v>24</v>
      </c>
      <c r="D248" s="2" t="s">
        <v>52</v>
      </c>
      <c r="E248" s="2" t="s">
        <v>431</v>
      </c>
      <c r="F248" s="11" t="s">
        <v>558</v>
      </c>
      <c r="G248" t="s">
        <v>38</v>
      </c>
      <c r="H248" t="s">
        <v>559</v>
      </c>
      <c r="I248" t="s">
        <v>552</v>
      </c>
      <c r="J248" s="6" t="str">
        <f>HYPERLINK("https://www.biovista.com/db/link/%5B%5B%22Disease%7CCongenital%20Myasthenic%20Syndrome%22%5D,%20%5B%22Human%20Phenotype%7CLong%20face%22%5D%5D?strength-weight-map=%257B%2522MEDLINE_STRENGTH_AB%2522:1.0,%2522HPO%2522:100.0%257D", "Show Evidence...")</f>
        <v>Show Evidence...</v>
      </c>
    </row>
    <row r="249" spans="1:10" ht="12.75">
      <c r="A249" s="2" t="s">
        <v>50</v>
      </c>
      <c r="B249" s="2" t="s">
        <v>51</v>
      </c>
      <c r="C249" s="2" t="s">
        <v>24</v>
      </c>
      <c r="D249" s="2" t="s">
        <v>52</v>
      </c>
      <c r="E249" s="2" t="s">
        <v>431</v>
      </c>
      <c r="F249" s="11" t="s">
        <v>560</v>
      </c>
      <c r="G249" t="s">
        <v>38</v>
      </c>
      <c r="H249" t="s">
        <v>561</v>
      </c>
      <c r="I249" t="s">
        <v>552</v>
      </c>
      <c r="J249" s="6" t="str">
        <f>HYPERLINK("https://www.biovista.com/db/link/%5B%5B%22Disease%7CCongenital%20Myasthenic%20Syndrome%22%5D,%20%5B%22Human%20Phenotype%7CNarrow%20jaw%22%5D%5D?strength-weight-map=%257B%2522MEDLINE_STRENGTH_AB%2522:1.0,%2522HPO%2522:100.0%257D", "Show Evidence...")</f>
        <v>Show Evidence...</v>
      </c>
    </row>
    <row r="250" spans="1:10" ht="12.75">
      <c r="A250" s="2" t="s">
        <v>50</v>
      </c>
      <c r="B250" s="2" t="s">
        <v>51</v>
      </c>
      <c r="C250" s="2" t="s">
        <v>24</v>
      </c>
      <c r="D250" s="2" t="s">
        <v>52</v>
      </c>
      <c r="E250" s="2" t="s">
        <v>431</v>
      </c>
      <c r="F250" s="11" t="s">
        <v>562</v>
      </c>
      <c r="G250" t="s">
        <v>38</v>
      </c>
      <c r="H250" t="s">
        <v>563</v>
      </c>
      <c r="I250" t="s">
        <v>552</v>
      </c>
      <c r="J250" s="6" t="str">
        <f>HYPERLINK("https://www.biovista.com/db/link/%5B%5B%22Disease%7CCongenital%20Myasthenic%20Syndrome%22%5D,%20%5B%22Human%20Phenotype%7CSpinal%20rigidity%22%5D%5D?strength-weight-map=%257B%2522MEDLINE_STRENGTH_AB%2522:1.0,%2522HPO%2522:100.0%257D", "Show Evidence...")</f>
        <v>Show Evidence...</v>
      </c>
    </row>
    <row r="251" spans="1:10" ht="12.75">
      <c r="A251" s="2" t="s">
        <v>50</v>
      </c>
      <c r="B251" s="2" t="s">
        <v>51</v>
      </c>
      <c r="C251" s="2" t="s">
        <v>24</v>
      </c>
      <c r="D251" s="2" t="s">
        <v>52</v>
      </c>
      <c r="E251" s="2" t="s">
        <v>431</v>
      </c>
      <c r="F251" s="11" t="s">
        <v>564</v>
      </c>
      <c r="G251" t="s">
        <v>38</v>
      </c>
      <c r="H251" t="s">
        <v>565</v>
      </c>
      <c r="I251" t="s">
        <v>552</v>
      </c>
      <c r="J251" s="6" t="str">
        <f>HYPERLINK("https://www.biovista.com/db/link/%5B%5B%22Disease%7CCongenital%20Myasthenic%20Syndrome%22%5D,%20%5B%22Human%20Phenotype%7CTip-toe%20gait%22%5D%5D?strength-weight-map=%257B%2522MEDLINE_STRENGTH_AB%2522:1.0,%2522HPO%2522:100.0%257D", "Show Evidence...")</f>
        <v>Show Evidence...</v>
      </c>
    </row>
    <row r="252" spans="1:10" ht="12.75">
      <c r="A252" s="2" t="s">
        <v>50</v>
      </c>
      <c r="B252" s="2" t="s">
        <v>51</v>
      </c>
      <c r="C252" s="2" t="s">
        <v>24</v>
      </c>
      <c r="D252" s="2" t="s">
        <v>52</v>
      </c>
      <c r="E252" s="2" t="s">
        <v>431</v>
      </c>
      <c r="F252" s="11" t="s">
        <v>566</v>
      </c>
      <c r="G252" t="s">
        <v>38</v>
      </c>
      <c r="H252" t="s">
        <v>567</v>
      </c>
      <c r="I252" t="s">
        <v>568</v>
      </c>
      <c r="J252" s="6" t="str">
        <f>HYPERLINK("https://www.biovista.com/db/link/%5B%5B%22Disease%7CCongenital%20Myasthenic%20Syndrome%22%5D,%20%5B%22Human%20Phenotype%7CDepression%22%5D%5D?strength-weight-map=%257B%2522MEDLINE_STRENGTH_AB%2522:1.0,%2522HPO%2522:100.0%257D", "Show Evidence...")</f>
        <v>Show Evidence...</v>
      </c>
    </row>
    <row r="253" spans="1:10" ht="12.75">
      <c r="A253" s="2" t="s">
        <v>50</v>
      </c>
      <c r="B253" s="2" t="s">
        <v>51</v>
      </c>
      <c r="C253" s="2" t="s">
        <v>24</v>
      </c>
      <c r="D253" s="2" t="s">
        <v>52</v>
      </c>
      <c r="E253" s="2" t="s">
        <v>431</v>
      </c>
      <c r="F253" s="11" t="s">
        <v>569</v>
      </c>
      <c r="G253" t="s">
        <v>38</v>
      </c>
      <c r="H253" t="s">
        <v>570</v>
      </c>
      <c r="I253" t="s">
        <v>571</v>
      </c>
      <c r="J253" s="6" t="str">
        <f>HYPERLINK("https://www.biovista.com/db/link/%5B%5B%22Disease%7CCongenital%20Myasthenic%20Syndrome%22%5D,%20%5B%22Human%20Phenotype%7CObstructive%20sleep%20apnea%22%5D%5D?strength-weight-map=%257B%2522MEDLINE_STRENGTH_AB%2522:1.0,%2522HPO%2522:100.0%257D", "Show Evidence...")</f>
        <v>Show Evidence...</v>
      </c>
    </row>
    <row r="254" spans="1:10" ht="12.75">
      <c r="A254" s="2" t="s">
        <v>50</v>
      </c>
      <c r="B254" s="2" t="s">
        <v>51</v>
      </c>
      <c r="C254" s="2" t="s">
        <v>24</v>
      </c>
      <c r="D254" s="2" t="s">
        <v>52</v>
      </c>
      <c r="E254" s="2" t="s">
        <v>431</v>
      </c>
      <c r="F254" s="11" t="s">
        <v>572</v>
      </c>
      <c r="G254" t="s">
        <v>38</v>
      </c>
      <c r="H254" t="s">
        <v>573</v>
      </c>
      <c r="I254" t="s">
        <v>574</v>
      </c>
      <c r="J254" s="6" t="str">
        <f>HYPERLINK("https://www.biovista.com/db/link/%5B%5B%22Disease%7CCongenital%20Myasthenic%20Syndrome%22%5D,%20%5B%22Human%20Phenotype%7CJoint%20hypermobility%22%5D%5D?strength-weight-map=%257B%2522MEDLINE_STRENGTH_AB%2522:1.0,%2522HPO%2522:100.0%257D", "Show Evidence...")</f>
        <v>Show Evidence...</v>
      </c>
    </row>
    <row r="255" spans="1:10" ht="12.75">
      <c r="A255" s="2" t="s">
        <v>50</v>
      </c>
      <c r="B255" s="2" t="s">
        <v>51</v>
      </c>
      <c r="C255" s="2" t="s">
        <v>24</v>
      </c>
      <c r="D255" s="2" t="s">
        <v>52</v>
      </c>
      <c r="E255" s="2" t="s">
        <v>431</v>
      </c>
      <c r="F255" s="11" t="s">
        <v>575</v>
      </c>
      <c r="G255" t="s">
        <v>38</v>
      </c>
      <c r="H255" t="s">
        <v>576</v>
      </c>
      <c r="I255" t="s">
        <v>577</v>
      </c>
      <c r="J255" s="6" t="str">
        <f>HYPERLINK("https://www.biovista.com/db/link/%5B%5B%22Disease%7CCongenital%20Myasthenic%20Syndrome%22%5D,%20%5B%22Human%20Phenotype%7CSensorineural%20hearing%20impairment%22%5D%5D?strength-weight-map=%257B%2522MEDLINE_STRENGTH_AB%2522:1.0,%2522HPO%2522:100.0%257D", "Show Evidence...")</f>
        <v>Show Evidence...</v>
      </c>
    </row>
    <row r="256" spans="1:10" ht="12.75">
      <c r="A256" s="2" t="s">
        <v>50</v>
      </c>
      <c r="B256" s="2" t="s">
        <v>51</v>
      </c>
      <c r="C256" s="2" t="s">
        <v>24</v>
      </c>
      <c r="D256" s="2" t="s">
        <v>52</v>
      </c>
      <c r="E256" s="2" t="s">
        <v>431</v>
      </c>
      <c r="F256" s="11" t="s">
        <v>578</v>
      </c>
      <c r="G256" t="s">
        <v>38</v>
      </c>
      <c r="H256" t="s">
        <v>579</v>
      </c>
      <c r="I256" t="s">
        <v>580</v>
      </c>
      <c r="J256" s="6" t="str">
        <f>HYPERLINK("https://www.biovista.com/db/link/%5B%5B%22Disease%7CCongenital%20Myasthenic%20Syndrome%22%5D,%20%5B%22Human%20Phenotype%7CDiplopia%22%5D%5D?strength-weight-map=%257B%2522MEDLINE_STRENGTH_AB%2522:1.0,%2522HPO%2522:100.0%257D", "Show Evidence...")</f>
        <v>Show Evidence...</v>
      </c>
    </row>
    <row r="257" spans="1:10" ht="12.75">
      <c r="A257" s="2" t="s">
        <v>50</v>
      </c>
      <c r="B257" s="2" t="s">
        <v>51</v>
      </c>
      <c r="C257" s="2" t="s">
        <v>24</v>
      </c>
      <c r="D257" s="2" t="s">
        <v>52</v>
      </c>
      <c r="E257" s="2" t="s">
        <v>431</v>
      </c>
      <c r="F257" s="11" t="s">
        <v>581</v>
      </c>
      <c r="G257" t="s">
        <v>38</v>
      </c>
      <c r="H257" t="s">
        <v>582</v>
      </c>
      <c r="I257" t="s">
        <v>583</v>
      </c>
      <c r="J257" s="6" t="str">
        <f>HYPERLINK("https://www.biovista.com/db/link/%5B%5B%22Disease%7CCongenital%20Myasthenic%20Syndrome%22%5D,%20%5B%22Human%20Phenotype%7CGastroesophageal%20reflux%22%5D%5D?strength-weight-map=%257B%2522MEDLINE_STRENGTH_AB%2522:1.0,%2522HPO%2522:100.0%257D", "Show Evidence...")</f>
        <v>Show Evidence...</v>
      </c>
    </row>
    <row r="258" spans="1:10" ht="12.75">
      <c r="A258" s="2" t="s">
        <v>50</v>
      </c>
      <c r="B258" s="2" t="s">
        <v>51</v>
      </c>
      <c r="C258" s="2" t="s">
        <v>24</v>
      </c>
      <c r="D258" s="2" t="s">
        <v>52</v>
      </c>
      <c r="E258" s="2" t="s">
        <v>431</v>
      </c>
      <c r="F258" s="11" t="s">
        <v>584</v>
      </c>
      <c r="G258" t="s">
        <v>38</v>
      </c>
      <c r="H258" t="s">
        <v>585</v>
      </c>
      <c r="I258" t="s">
        <v>586</v>
      </c>
      <c r="J258" s="6" t="str">
        <f>HYPERLINK("https://www.biovista.com/db/link/%5B%5B%22Disease%7CCongenital%20Myasthenic%20Syndrome%22%5D,%20%5B%22Human%20Phenotype%7CPolyhydramnios%22%5D%5D?strength-weight-map=%257B%2522MEDLINE_STRENGTH_AB%2522:1.0,%2522HPO%2522:100.0%257D", "Show Evidence...")</f>
        <v>Show Evidence...</v>
      </c>
    </row>
    <row r="259" spans="1:10" ht="12.75">
      <c r="A259" s="2" t="s">
        <v>50</v>
      </c>
      <c r="B259" s="2" t="s">
        <v>51</v>
      </c>
      <c r="C259" s="2" t="s">
        <v>24</v>
      </c>
      <c r="D259" s="2" t="s">
        <v>52</v>
      </c>
      <c r="E259" s="2" t="s">
        <v>431</v>
      </c>
      <c r="F259" s="11" t="s">
        <v>587</v>
      </c>
      <c r="G259" t="s">
        <v>38</v>
      </c>
      <c r="H259" t="s">
        <v>588</v>
      </c>
      <c r="I259" t="s">
        <v>589</v>
      </c>
      <c r="J259" s="6" t="str">
        <f>HYPERLINK("https://www.biovista.com/db/link/%5B%5B%22Disease%7CCongenital%20Myasthenic%20Syndrome%22%5D,%20%5B%22Human%20Phenotype%7CNystagmus%22%5D%5D?strength-weight-map=%257B%2522MEDLINE_STRENGTH_AB%2522:1.0,%2522HPO%2522:100.0%257D", "Show Evidence...")</f>
        <v>Show Evidence...</v>
      </c>
    </row>
    <row r="260" spans="1:10" ht="12.75">
      <c r="A260" s="2" t="s">
        <v>50</v>
      </c>
      <c r="B260" s="2" t="s">
        <v>51</v>
      </c>
      <c r="C260" s="2" t="s">
        <v>24</v>
      </c>
      <c r="D260" s="2" t="s">
        <v>52</v>
      </c>
      <c r="E260" s="2" t="s">
        <v>431</v>
      </c>
      <c r="F260" s="11" t="s">
        <v>590</v>
      </c>
      <c r="G260" t="s">
        <v>38</v>
      </c>
      <c r="H260" t="s">
        <v>591</v>
      </c>
      <c r="I260" t="s">
        <v>592</v>
      </c>
      <c r="J260" s="6" t="str">
        <f>HYPERLINK("https://www.biovista.com/db/link/%5B%5B%22Disease%7CCongenital%20Myasthenic%20Syndrome%22%5D,%20%5B%22Human%20Phenotype%7CRespiratory%20arrest%22%5D%5D?strength-weight-map=%257B%2522MEDLINE_STRENGTH_AB%2522:1.0,%2522HPO%2522:100.0%257D", "Show Evidence...")</f>
        <v>Show Evidence...</v>
      </c>
    </row>
    <row r="261" spans="1:10" ht="12.75">
      <c r="A261" s="2" t="s">
        <v>50</v>
      </c>
      <c r="B261" s="2" t="s">
        <v>51</v>
      </c>
      <c r="C261" s="2" t="s">
        <v>24</v>
      </c>
      <c r="D261" s="2" t="s">
        <v>52</v>
      </c>
      <c r="E261" s="2" t="s">
        <v>431</v>
      </c>
      <c r="F261" s="11" t="s">
        <v>593</v>
      </c>
      <c r="G261" t="s">
        <v>38</v>
      </c>
      <c r="H261" t="s">
        <v>594</v>
      </c>
      <c r="I261" t="s">
        <v>595</v>
      </c>
      <c r="J261" s="6" t="str">
        <f>HYPERLINK("https://www.biovista.com/db/link/%5B%5B%22Disease%7CCongenital%20Myasthenic%20Syndrome%22%5D,%20%5B%22Human%20Phenotype%7CCongenital%20hip%20dislocation%22%5D%5D?strength-weight-map=%257B%2522MEDLINE_STRENGTH_AB%2522:1.0,%2522HPO%2522:100.0%257D", "Show Evidence...")</f>
        <v>Show Evidence...</v>
      </c>
    </row>
    <row r="262" spans="1:10" ht="12.75">
      <c r="A262" s="2" t="s">
        <v>50</v>
      </c>
      <c r="B262" s="2" t="s">
        <v>51</v>
      </c>
      <c r="C262" s="2" t="s">
        <v>24</v>
      </c>
      <c r="D262" s="2" t="s">
        <v>52</v>
      </c>
      <c r="E262" s="2" t="s">
        <v>431</v>
      </c>
      <c r="F262" s="11" t="s">
        <v>596</v>
      </c>
      <c r="G262" t="s">
        <v>38</v>
      </c>
      <c r="H262" t="s">
        <v>597</v>
      </c>
      <c r="I262" t="s">
        <v>595</v>
      </c>
      <c r="J262" s="6" t="str">
        <f>HYPERLINK("https://www.biovista.com/db/link/%5B%5B%22Disease%7CCongenital%20Myasthenic%20Syndrome%22%5D,%20%5B%22Human%20Phenotype%7CEsotropia%22%5D%5D?strength-weight-map=%257B%2522MEDLINE_STRENGTH_AB%2522:1.0,%2522HPO%2522:100.0%257D", "Show Evidence...")</f>
        <v>Show Evidence...</v>
      </c>
    </row>
    <row r="263" spans="1:10" ht="12.75">
      <c r="A263" s="2" t="s">
        <v>50</v>
      </c>
      <c r="B263" s="2" t="s">
        <v>51</v>
      </c>
      <c r="C263" s="2" t="s">
        <v>24</v>
      </c>
      <c r="D263" s="2" t="s">
        <v>52</v>
      </c>
      <c r="E263" s="2" t="s">
        <v>431</v>
      </c>
      <c r="F263" s="11" t="s">
        <v>598</v>
      </c>
      <c r="G263" t="s">
        <v>38</v>
      </c>
      <c r="H263" t="s">
        <v>599</v>
      </c>
      <c r="I263" t="s">
        <v>595</v>
      </c>
      <c r="J263" s="6" t="str">
        <f>HYPERLINK("https://www.biovista.com/db/link/%5B%5B%22Disease%7CCongenital%20Myasthenic%20Syndrome%22%5D,%20%5B%22Human%20Phenotype%7CLow-set%20ears%22%5D%5D?strength-weight-map=%257B%2522MEDLINE_STRENGTH_AB%2522:1.0,%2522HPO%2522:100.0%257D", "Show Evidence...")</f>
        <v>Show Evidence...</v>
      </c>
    </row>
    <row r="264" spans="1:10" ht="12.75">
      <c r="A264" s="2" t="s">
        <v>50</v>
      </c>
      <c r="B264" s="2" t="s">
        <v>51</v>
      </c>
      <c r="C264" s="2" t="s">
        <v>24</v>
      </c>
      <c r="D264" s="2" t="s">
        <v>52</v>
      </c>
      <c r="E264" s="2" t="s">
        <v>431</v>
      </c>
      <c r="F264" s="11" t="s">
        <v>600</v>
      </c>
      <c r="G264" t="s">
        <v>38</v>
      </c>
      <c r="H264" t="s">
        <v>601</v>
      </c>
      <c r="I264" t="s">
        <v>595</v>
      </c>
      <c r="J264" s="6" t="str">
        <f>HYPERLINK("https://www.biovista.com/db/link/%5B%5B%22Disease%7CCongenital%20Myasthenic%20Syndrome%22%5D,%20%5B%22Human%20Phenotype%7CPectus%20carinatum%22%5D%5D?strength-weight-map=%257B%2522MEDLINE_STRENGTH_AB%2522:1.0,%2522HPO%2522:100.0%257D", "Show Evidence...")</f>
        <v>Show Evidence...</v>
      </c>
    </row>
    <row r="265" spans="1:10" ht="12.75">
      <c r="A265" s="2" t="s">
        <v>50</v>
      </c>
      <c r="B265" s="2" t="s">
        <v>51</v>
      </c>
      <c r="C265" s="2" t="s">
        <v>24</v>
      </c>
      <c r="D265" s="2" t="s">
        <v>52</v>
      </c>
      <c r="E265" s="2" t="s">
        <v>431</v>
      </c>
      <c r="F265" s="11" t="s">
        <v>602</v>
      </c>
      <c r="G265" t="s">
        <v>38</v>
      </c>
      <c r="H265" t="s">
        <v>603</v>
      </c>
      <c r="I265" t="s">
        <v>604</v>
      </c>
      <c r="J265" s="6" t="s">
        <v>605</v>
      </c>
    </row>
    <row r="266" spans="1:10" ht="12.75">
      <c r="A266" s="2" t="s">
        <v>50</v>
      </c>
      <c r="B266" s="2" t="s">
        <v>51</v>
      </c>
      <c r="C266" s="2" t="s">
        <v>24</v>
      </c>
      <c r="D266" s="2" t="s">
        <v>52</v>
      </c>
      <c r="E266" s="2" t="s">
        <v>431</v>
      </c>
      <c r="F266" s="11" t="s">
        <v>606</v>
      </c>
      <c r="G266" t="s">
        <v>38</v>
      </c>
      <c r="H266" t="s">
        <v>607</v>
      </c>
      <c r="I266" t="s">
        <v>604</v>
      </c>
      <c r="J266" s="6" t="str">
        <f>HYPERLINK("https://www.biovista.com/db/link/%5B%5B%22Disease%7CCongenital%20Myasthenic%20Syndrome%22%5D,%20%5B%22Human%20Phenotype%7CHyporeflexia%22%5D%5D?strength-weight-map=%257B%2522MEDLINE_STRENGTH_AB%2522:1.0,%2522HPO%2522:100.0%257D", "Show Evidence...")</f>
        <v>Show Evidence...</v>
      </c>
    </row>
    <row r="267" spans="1:10" ht="12.75">
      <c r="A267" s="2" t="s">
        <v>50</v>
      </c>
      <c r="B267" s="2" t="s">
        <v>51</v>
      </c>
      <c r="C267" s="2" t="s">
        <v>24</v>
      </c>
      <c r="D267" s="2" t="s">
        <v>52</v>
      </c>
      <c r="E267" s="2" t="s">
        <v>431</v>
      </c>
      <c r="F267" s="11" t="s">
        <v>608</v>
      </c>
      <c r="G267" t="s">
        <v>38</v>
      </c>
      <c r="H267" t="s">
        <v>609</v>
      </c>
      <c r="I267" t="s">
        <v>604</v>
      </c>
      <c r="J267" s="6" t="str">
        <f>HYPERLINK("https://www.biovista.com/db/link/%5B%5B%22Disease%7CCongenital%20Myasthenic%20Syndrome%22%5D,%20%5B%22Human%20Phenotype%7CMicroretrognathia%22%5D%5D?strength-weight-map=%257B%2522MEDLINE_STRENGTH_AB%2522:1.0,%2522HPO%2522:100.0%257D", "Show Evidence...")</f>
        <v>Show Evidence...</v>
      </c>
    </row>
    <row r="268" spans="1:10" ht="12.75">
      <c r="A268" s="2" t="s">
        <v>50</v>
      </c>
      <c r="B268" s="2" t="s">
        <v>51</v>
      </c>
      <c r="C268" s="2" t="s">
        <v>24</v>
      </c>
      <c r="D268" s="2" t="s">
        <v>52</v>
      </c>
      <c r="E268" s="2" t="s">
        <v>431</v>
      </c>
      <c r="F268" s="11" t="s">
        <v>610</v>
      </c>
      <c r="G268" t="s">
        <v>38</v>
      </c>
      <c r="H268" t="s">
        <v>611</v>
      </c>
      <c r="I268" t="s">
        <v>604</v>
      </c>
      <c r="J268" s="6" t="str">
        <f>HYPERLINK("https://www.biovista.com/db/link/%5B%5B%22Disease%7CCongenital%20Myasthenic%20Syndrome%22%5D,%20%5B%22Human%20Phenotype%7CMotor%20polyneuropathy%22%5D%5D?strength-weight-map=%257B%2522MEDLINE_STRENGTH_AB%2522:1.0,%2522HPO%2522:100.0%257D", "Show Evidence...")</f>
        <v>Show Evidence...</v>
      </c>
    </row>
    <row r="269" spans="1:10" ht="12.75">
      <c r="A269" s="2" t="s">
        <v>50</v>
      </c>
      <c r="B269" s="2" t="s">
        <v>51</v>
      </c>
      <c r="C269" s="2" t="s">
        <v>24</v>
      </c>
      <c r="D269" s="2" t="s">
        <v>52</v>
      </c>
      <c r="E269" s="2" t="s">
        <v>431</v>
      </c>
      <c r="F269" s="11" t="s">
        <v>612</v>
      </c>
      <c r="G269" t="s">
        <v>38</v>
      </c>
      <c r="H269" t="s">
        <v>613</v>
      </c>
      <c r="I269" t="s">
        <v>604</v>
      </c>
      <c r="J269" s="6" t="str">
        <f>HYPERLINK("https://www.biovista.com/db/link/%5B%5B%22Disease%7CCongenital%20Myasthenic%20Syndrome%22%5D,%20%5B%22Human%20Phenotype%7CStaring%20gaze%22%5D%5D?strength-weight-map=%257B%2522MEDLINE_STRENGTH_AB%2522:1.0,%2522HPO%2522:100.0%257D", "Show Evidence...")</f>
        <v>Show Evidence...</v>
      </c>
    </row>
    <row r="270" spans="1:10" ht="12.75">
      <c r="A270" s="2" t="s">
        <v>50</v>
      </c>
      <c r="B270" s="2" t="s">
        <v>51</v>
      </c>
      <c r="C270" s="2" t="s">
        <v>24</v>
      </c>
      <c r="D270" s="2" t="s">
        <v>52</v>
      </c>
      <c r="E270" s="2" t="s">
        <v>431</v>
      </c>
      <c r="F270" s="11" t="s">
        <v>614</v>
      </c>
      <c r="G270" t="s">
        <v>38</v>
      </c>
      <c r="H270" t="s">
        <v>615</v>
      </c>
      <c r="I270" t="s">
        <v>616</v>
      </c>
      <c r="J270" s="6" t="str">
        <f>HYPERLINK("https://www.biovista.com/db/link/%5B%5B%22Disease%7CCongenital%20Myasthenic%20Syndrome%22%5D,%20%5B%22Human%20Phenotype%7CNeoplasm%22%5D%5D?strength-weight-map=%257B%2522MEDLINE_STRENGTH_AB%2522:1.0,%2522HPO%2522:100.0%257D", "Show Evidence...")</f>
        <v>Show Evidence...</v>
      </c>
    </row>
    <row r="271" spans="1:10" ht="12.75">
      <c r="A271" s="2" t="s">
        <v>50</v>
      </c>
      <c r="B271" s="2" t="s">
        <v>51</v>
      </c>
      <c r="C271" s="2" t="s">
        <v>24</v>
      </c>
      <c r="D271" s="2" t="s">
        <v>52</v>
      </c>
      <c r="E271" s="2" t="s">
        <v>431</v>
      </c>
      <c r="F271" s="11" t="s">
        <v>617</v>
      </c>
      <c r="G271" t="s">
        <v>38</v>
      </c>
      <c r="H271" t="s">
        <v>618</v>
      </c>
      <c r="I271" t="s">
        <v>619</v>
      </c>
      <c r="J271" s="6" t="str">
        <f>HYPERLINK("https://www.biovista.com/db/link/%5B%5B%22Disease%7CCongenital%20Myasthenic%20Syndrome%22%5D,%20%5B%22Human%20Phenotype%7CHealthy%22%5D%5D?strength-weight-map=%257B%2522MEDLINE_STRENGTH_AB%2522:1.0,%2522HPO%2522:100.0%257D", "Show Evidence...")</f>
        <v>Show Evidence...</v>
      </c>
    </row>
    <row r="272" spans="1:10" ht="12.75">
      <c r="A272" s="2" t="s">
        <v>50</v>
      </c>
      <c r="B272" s="2" t="s">
        <v>51</v>
      </c>
      <c r="C272" s="2" t="s">
        <v>24</v>
      </c>
      <c r="D272" s="2" t="s">
        <v>52</v>
      </c>
      <c r="E272" s="2" t="s">
        <v>431</v>
      </c>
      <c r="F272" s="11" t="s">
        <v>620</v>
      </c>
      <c r="G272" t="s">
        <v>38</v>
      </c>
      <c r="H272" t="s">
        <v>621</v>
      </c>
      <c r="I272" t="s">
        <v>619</v>
      </c>
      <c r="J272" s="6" t="str">
        <f>HYPERLINK("https://www.biovista.com/db/link/%5B%5B%22Disease%7CCongenital%20Myasthenic%20Syndrome%22%5D,%20%5B%22Human%20Phenotype%7CPain%22%5D%5D?strength-weight-map=%257B%2522MEDLINE_STRENGTH_AB%2522:1.0,%2522HPO%2522:100.0%257D", "Show Evidence...")</f>
        <v>Show Evidence...</v>
      </c>
    </row>
    <row r="273" spans="1:10" ht="12.75">
      <c r="A273" s="2" t="s">
        <v>50</v>
      </c>
      <c r="B273" s="2" t="s">
        <v>51</v>
      </c>
      <c r="C273" s="2" t="s">
        <v>24</v>
      </c>
      <c r="D273" s="2" t="s">
        <v>52</v>
      </c>
      <c r="E273" s="2" t="s">
        <v>431</v>
      </c>
      <c r="F273" s="11" t="s">
        <v>622</v>
      </c>
      <c r="G273" t="s">
        <v>38</v>
      </c>
      <c r="H273" t="s">
        <v>623</v>
      </c>
      <c r="I273" t="s">
        <v>624</v>
      </c>
      <c r="J273" s="6" t="str">
        <f>HYPERLINK("https://www.biovista.com/db/link/%5B%5B%22Disease%7CCongenital%20Myasthenic%20Syndrome%22%5D,%20%5B%22Human%20Phenotype%7CMuscle%20weakness%22%5D%5D?strength-weight-map=%257B%2522MEDLINE_STRENGTH_AB%2522:1.0,%2522HPO%2522:100.0%257D", "Show Evidence...")</f>
        <v>Show Evidence...</v>
      </c>
    </row>
    <row r="274" spans="1:10" ht="12.75">
      <c r="A274" s="2" t="s">
        <v>50</v>
      </c>
      <c r="B274" s="2" t="s">
        <v>51</v>
      </c>
      <c r="C274" s="2" t="s">
        <v>24</v>
      </c>
      <c r="D274" s="2" t="s">
        <v>52</v>
      </c>
      <c r="E274" s="2" t="s">
        <v>431</v>
      </c>
      <c r="F274" s="11" t="s">
        <v>625</v>
      </c>
      <c r="G274" t="s">
        <v>38</v>
      </c>
      <c r="H274" t="s">
        <v>626</v>
      </c>
      <c r="I274" t="s">
        <v>627</v>
      </c>
      <c r="J274" s="6" t="str">
        <f>HYPERLINK("https://www.biovista.com/db/link/%5B%5B%22Disease%7CCongenital%20Myasthenic%20Syndrome%22%5D,%20%5B%22Human%20Phenotype%7CAnhedonia%22%5D%5D?strength-weight-map=%257B%2522MEDLINE_STRENGTH_AB%2522:1.0,%2522HPO%2522:100.0%257D", "Show Evidence...")</f>
        <v>Show Evidence...</v>
      </c>
    </row>
    <row r="275" spans="1:10" ht="12.75">
      <c r="A275" s="2" t="s">
        <v>50</v>
      </c>
      <c r="B275" s="2" t="s">
        <v>51</v>
      </c>
      <c r="C275" s="2" t="s">
        <v>24</v>
      </c>
      <c r="D275" s="2" t="s">
        <v>52</v>
      </c>
      <c r="E275" s="2" t="s">
        <v>431</v>
      </c>
      <c r="F275" s="11" t="s">
        <v>628</v>
      </c>
      <c r="G275" t="s">
        <v>38</v>
      </c>
      <c r="H275" t="s">
        <v>629</v>
      </c>
      <c r="I275" t="s">
        <v>630</v>
      </c>
      <c r="J275" s="6" t="str">
        <f>HYPERLINK("https://www.biovista.com/db/link/%5B%5B%22Disease%7CCongenital%20Myasthenic%20Syndrome%22%5D,%20%5B%22Human%20Phenotype%7CCongestive%20heart%20failure%22%5D%5D?strength-weight-map=%257B%2522MEDLINE_STRENGTH_AB%2522:1.0,%2522HPO%2522:100.0%257D", "Show Evidence...")</f>
        <v>Show Evidence...</v>
      </c>
    </row>
    <row r="276" spans="1:10" ht="12.75">
      <c r="A276" s="2" t="s">
        <v>50</v>
      </c>
      <c r="B276" s="2" t="s">
        <v>51</v>
      </c>
      <c r="C276" s="2" t="s">
        <v>24</v>
      </c>
      <c r="D276" s="2" t="s">
        <v>52</v>
      </c>
      <c r="E276" s="2" t="s">
        <v>431</v>
      </c>
      <c r="F276" s="11" t="s">
        <v>631</v>
      </c>
      <c r="G276" t="s">
        <v>38</v>
      </c>
      <c r="H276" t="s">
        <v>632</v>
      </c>
      <c r="I276" t="s">
        <v>633</v>
      </c>
      <c r="J276" s="6" t="str">
        <f>HYPERLINK("https://www.biovista.com/db/link/%5B%5B%22Disease%7CCongenital%20Myasthenic%20Syndrome%22%5D,%20%5B%22Human%20Phenotype%7CAsthenia%22%5D%5D?strength-weight-map=%257B%2522MEDLINE_STRENGTH_AB%2522:1.0,%2522HPO%2522:100.0%257D", "Show Evidence...")</f>
        <v>Show Evidence...</v>
      </c>
    </row>
    <row r="277" spans="1:10" ht="12.75">
      <c r="A277" s="2" t="s">
        <v>50</v>
      </c>
      <c r="B277" s="2" t="s">
        <v>51</v>
      </c>
      <c r="C277" s="2" t="s">
        <v>24</v>
      </c>
      <c r="D277" s="2" t="s">
        <v>52</v>
      </c>
      <c r="E277" s="2" t="s">
        <v>431</v>
      </c>
      <c r="F277" s="11" t="s">
        <v>634</v>
      </c>
      <c r="G277" t="s">
        <v>38</v>
      </c>
      <c r="H277" t="s">
        <v>635</v>
      </c>
      <c r="I277" t="s">
        <v>636</v>
      </c>
      <c r="J277" s="6" t="str">
        <f>HYPERLINK("https://www.biovista.com/db/link/%5B%5B%22Disease%7CCongenital%20Myasthenic%20Syndrome%22%5D,%20%5B%22Human%20Phenotype%7CAnxiety%22%5D%5D?strength-weight-map=%257B%2522MEDLINE_STRENGTH_AB%2522:1.0,%2522HPO%2522:100.0%257D", "Show Evidence...")</f>
        <v>Show Evidence...</v>
      </c>
    </row>
    <row r="278" spans="1:10" ht="12.75">
      <c r="A278" s="2" t="s">
        <v>50</v>
      </c>
      <c r="B278" s="2" t="s">
        <v>51</v>
      </c>
      <c r="C278" s="2" t="s">
        <v>24</v>
      </c>
      <c r="D278" s="2" t="s">
        <v>52</v>
      </c>
      <c r="E278" s="2" t="s">
        <v>431</v>
      </c>
      <c r="F278" s="11" t="s">
        <v>637</v>
      </c>
      <c r="G278" t="s">
        <v>38</v>
      </c>
      <c r="H278" t="s">
        <v>638</v>
      </c>
      <c r="I278" t="s">
        <v>639</v>
      </c>
      <c r="J278" s="6" t="str">
        <f>HYPERLINK("https://www.biovista.com/db/link/%5B%5B%22Disease%7CCongenital%20Myasthenic%20Syndrome%22%5D,%20%5B%22Human%20Phenotype%7CHypoxemia%22%5D%5D?strength-weight-map=%257B%2522MEDLINE_STRENGTH_AB%2522:1.0,%2522HPO%2522:100.0%257D", "Show Evidence...")</f>
        <v>Show Evidence...</v>
      </c>
    </row>
    <row r="279" spans="1:10" ht="12.75">
      <c r="A279" s="2" t="s">
        <v>50</v>
      </c>
      <c r="B279" s="2" t="s">
        <v>51</v>
      </c>
      <c r="C279" s="2" t="s">
        <v>24</v>
      </c>
      <c r="D279" s="2" t="s">
        <v>52</v>
      </c>
      <c r="E279" s="2" t="s">
        <v>431</v>
      </c>
      <c r="F279" s="11" t="s">
        <v>640</v>
      </c>
      <c r="G279" t="s">
        <v>38</v>
      </c>
      <c r="H279" t="s">
        <v>641</v>
      </c>
      <c r="I279" t="s">
        <v>642</v>
      </c>
      <c r="J279" s="6" t="str">
        <f>HYPERLINK("https://www.biovista.com/db/link/%5B%5B%22Disease%7CCongenital%20Myasthenic%20Syndrome%22%5D,%20%5B%22Human%20Phenotype%7CRecurrent%22%5D%5D?strength-weight-map=%257B%2522MEDLINE_STRENGTH_AB%2522:1.0,%2522HPO%2522:100.0%257D", "Show Evidence...")</f>
        <v>Show Evidence...</v>
      </c>
    </row>
    <row r="280" spans="1:10" ht="12.75">
      <c r="A280" s="2" t="s">
        <v>50</v>
      </c>
      <c r="B280" s="2" t="s">
        <v>51</v>
      </c>
      <c r="C280" s="2" t="s">
        <v>24</v>
      </c>
      <c r="D280" s="2" t="s">
        <v>52</v>
      </c>
      <c r="E280" s="2" t="s">
        <v>431</v>
      </c>
      <c r="F280" s="11" t="s">
        <v>643</v>
      </c>
      <c r="G280" t="s">
        <v>38</v>
      </c>
      <c r="H280" t="s">
        <v>644</v>
      </c>
      <c r="I280" t="s">
        <v>645</v>
      </c>
      <c r="J280" s="6" t="s">
        <v>646</v>
      </c>
    </row>
    <row r="281" spans="1:10" ht="12.75">
      <c r="A281" s="2" t="s">
        <v>50</v>
      </c>
      <c r="B281" s="2" t="s">
        <v>51</v>
      </c>
      <c r="C281" s="2" t="s">
        <v>24</v>
      </c>
      <c r="D281" s="2" t="s">
        <v>52</v>
      </c>
      <c r="E281" s="2" t="s">
        <v>431</v>
      </c>
      <c r="F281" s="11" t="s">
        <v>647</v>
      </c>
      <c r="G281" t="s">
        <v>38</v>
      </c>
      <c r="H281" t="s">
        <v>648</v>
      </c>
      <c r="I281" t="s">
        <v>649</v>
      </c>
      <c r="J281" s="6" t="str">
        <f>HYPERLINK("https://www.biovista.com/db/link/%5B%5B%22Disease%7CCongenital%20Myasthenic%20Syndrome%22%5D,%20%5B%22Human%20Phenotype%7CStroke%22%5D%5D?strength-weight-map=%257B%2522MEDLINE_STRENGTH_AB%2522:1.0,%2522HPO%2522:100.0%257D", "Show Evidence...")</f>
        <v>Show Evidence...</v>
      </c>
    </row>
    <row r="282" spans="1:10" ht="12.75">
      <c r="A282" s="2" t="s">
        <v>50</v>
      </c>
      <c r="B282" s="2" t="s">
        <v>51</v>
      </c>
      <c r="C282" s="2" t="s">
        <v>24</v>
      </c>
      <c r="D282" s="2" t="s">
        <v>52</v>
      </c>
      <c r="E282" s="2" t="s">
        <v>431</v>
      </c>
      <c r="F282" s="11" t="s">
        <v>650</v>
      </c>
      <c r="G282" t="s">
        <v>38</v>
      </c>
      <c r="H282" t="s">
        <v>651</v>
      </c>
      <c r="I282" t="s">
        <v>74</v>
      </c>
      <c r="J282" s="6" t="str">
        <f>HYPERLINK("https://www.biovista.com/db/link/%5B%5B%22Disease%7CCongenital%20Myasthenic%20Syndrome%22%5D,%20%5B%22Human%20Phenotype%7CPneumonia%22%5D%5D?strength-weight-map=%257B%2522MEDLINE_STRENGTH_AB%2522:1.0,%2522HPO%2522:100.0%257D", "Show Evidence...")</f>
        <v>Show Evidence...</v>
      </c>
    </row>
    <row r="283" spans="1:10" ht="12.75">
      <c r="A283" s="2" t="s">
        <v>50</v>
      </c>
      <c r="B283" s="2" t="s">
        <v>51</v>
      </c>
      <c r="C283" s="2" t="s">
        <v>24</v>
      </c>
      <c r="D283" s="2" t="s">
        <v>52</v>
      </c>
      <c r="E283" s="2" t="s">
        <v>431</v>
      </c>
      <c r="F283" s="11" t="s">
        <v>652</v>
      </c>
      <c r="G283" t="s">
        <v>38</v>
      </c>
      <c r="H283" t="s">
        <v>653</v>
      </c>
      <c r="I283" t="s">
        <v>311</v>
      </c>
      <c r="J283" s="6" t="str">
        <f>HYPERLINK("https://www.biovista.com/db/link/%5B%5B%22Disease%7CCongenital%20Myasthenic%20Syndrome%22%5D,%20%5B%22Human%20Phenotype%7CMyocardial%20infarction%22%5D%5D?strength-weight-map=%257B%2522MEDLINE_STRENGTH_AB%2522:1.0,%2522HPO%2522:100.0%257D", "Show Evidence...")</f>
        <v>Show Evidence...</v>
      </c>
    </row>
    <row r="284" spans="1:10" ht="12.75">
      <c r="A284" s="2" t="s">
        <v>50</v>
      </c>
      <c r="B284" s="2" t="s">
        <v>51</v>
      </c>
      <c r="C284" s="2" t="s">
        <v>24</v>
      </c>
      <c r="D284" s="2" t="s">
        <v>52</v>
      </c>
      <c r="E284" s="2" t="s">
        <v>431</v>
      </c>
      <c r="F284" s="11" t="s">
        <v>654</v>
      </c>
      <c r="G284" t="s">
        <v>38</v>
      </c>
      <c r="H284" t="s">
        <v>655</v>
      </c>
      <c r="I284" t="s">
        <v>656</v>
      </c>
      <c r="J284" s="6" t="str">
        <f>HYPERLINK("https://www.biovista.com/db/link/%5B%5B%22Disease%7CCongenital%20Myasthenic%20Syndrome%22%5D,%20%5B%22Human%20Phenotype%7CHypertension%22%5D%5D?strength-weight-map=%257B%2522MEDLINE_STRENGTH_AB%2522:1.0,%2522HPO%2522:100.0%257D", "Show Evidence...")</f>
        <v>Show Evidence...</v>
      </c>
    </row>
    <row r="285" spans="1:10" ht="12.75">
      <c r="A285" s="2" t="s">
        <v>50</v>
      </c>
      <c r="B285" s="2" t="s">
        <v>51</v>
      </c>
      <c r="C285" s="2" t="s">
        <v>24</v>
      </c>
      <c r="D285" s="2" t="s">
        <v>52</v>
      </c>
      <c r="E285" s="2" t="s">
        <v>431</v>
      </c>
      <c r="F285" s="11" t="s">
        <v>657</v>
      </c>
      <c r="G285" t="s">
        <v>38</v>
      </c>
      <c r="H285" t="s">
        <v>658</v>
      </c>
      <c r="I285" t="s">
        <v>659</v>
      </c>
      <c r="J285" s="6" t="str">
        <f>HYPERLINK("https://www.biovista.com/db/link/%5B%5B%22Disease%7CCongenital%20Myasthenic%20Syndrome%22%5D,%20%5B%22Human%20Phenotype%7CObesity%22%5D%5D?strength-weight-map=%257B%2522MEDLINE_STRENGTH_AB%2522:1.0,%2522HPO%2522:100.0%257D", "Show Evidence...")</f>
        <v>Show Evidence...</v>
      </c>
    </row>
    <row r="286" spans="1:10" ht="12.75">
      <c r="A286" s="2" t="s">
        <v>50</v>
      </c>
      <c r="B286" s="2" t="s">
        <v>51</v>
      </c>
      <c r="C286" s="2" t="s">
        <v>24</v>
      </c>
      <c r="D286" s="2" t="s">
        <v>52</v>
      </c>
      <c r="E286" s="2" t="s">
        <v>431</v>
      </c>
      <c r="F286" s="11" t="s">
        <v>660</v>
      </c>
      <c r="G286" t="s">
        <v>38</v>
      </c>
      <c r="H286" t="s">
        <v>661</v>
      </c>
      <c r="I286" t="s">
        <v>313</v>
      </c>
      <c r="J286" s="6" t="str">
        <f>HYPERLINK("https://www.biovista.com/db/link/%5B%5B%22Disease%7CCongenital%20Myasthenic%20Syndrome%22%5D,%20%5B%22Human%20Phenotype%7CAtypical%20behavior%22%5D%5D?strength-weight-map=%257B%2522MEDLINE_STRENGTH_AB%2522:1.0,%2522HPO%2522:100.0%257D", "Show Evidence...")</f>
        <v>Show Evidence...</v>
      </c>
    </row>
    <row r="287" spans="1:10" ht="12.75">
      <c r="A287" s="2" t="s">
        <v>50</v>
      </c>
      <c r="B287" s="2" t="s">
        <v>51</v>
      </c>
      <c r="C287" s="2" t="s">
        <v>24</v>
      </c>
      <c r="D287" s="2" t="s">
        <v>52</v>
      </c>
      <c r="E287" s="2" t="s">
        <v>431</v>
      </c>
      <c r="F287" s="11" t="s">
        <v>662</v>
      </c>
      <c r="G287" t="s">
        <v>38</v>
      </c>
      <c r="H287" t="s">
        <v>663</v>
      </c>
      <c r="I287" t="s">
        <v>664</v>
      </c>
      <c r="J287" s="6" t="str">
        <f>HYPERLINK("https://www.biovista.com/db/link/%5B%5B%22Disease%7CCongenital%20Myasthenic%20Syndrome%22%5D,%20%5B%22Human%20Phenotype%7CPolycythemia%22%5D%5D?strength-weight-map=%257B%2522MEDLINE_STRENGTH_AB%2522:1.0,%2522HPO%2522:100.0%257D", "Show Evidence...")</f>
        <v>Show Evidence...</v>
      </c>
    </row>
    <row r="288" spans="1:10" ht="12.75">
      <c r="A288" s="2" t="s">
        <v>50</v>
      </c>
      <c r="B288" s="2" t="s">
        <v>51</v>
      </c>
      <c r="C288" s="2" t="s">
        <v>24</v>
      </c>
      <c r="D288" s="2" t="s">
        <v>52</v>
      </c>
      <c r="E288" s="2" t="s">
        <v>431</v>
      </c>
      <c r="F288" s="11" t="s">
        <v>665</v>
      </c>
      <c r="G288" t="s">
        <v>38</v>
      </c>
      <c r="H288" t="s">
        <v>666</v>
      </c>
      <c r="I288" t="s">
        <v>667</v>
      </c>
      <c r="J288" s="6" t="str">
        <f>HYPERLINK("https://www.biovista.com/db/link/%5B%5B%22Disease%7CCongenital%20Myasthenic%20Syndrome%22%5D,%20%5B%22Human%20Phenotype%7CSepsis%22%5D%5D?strength-weight-map=%257B%2522MEDLINE_STRENGTH_AB%2522:1.0,%2522HPO%2522:100.0%257D", "Show Evidence...")</f>
        <v>Show Evidence...</v>
      </c>
    </row>
    <row r="289" spans="1:10" ht="12.75">
      <c r="A289" s="2" t="s">
        <v>50</v>
      </c>
      <c r="B289" s="2" t="s">
        <v>51</v>
      </c>
      <c r="C289" s="2" t="s">
        <v>24</v>
      </c>
      <c r="D289" s="2" t="s">
        <v>52</v>
      </c>
      <c r="E289" s="2" t="s">
        <v>431</v>
      </c>
      <c r="F289" s="11" t="s">
        <v>668</v>
      </c>
      <c r="G289" t="s">
        <v>38</v>
      </c>
      <c r="H289" t="s">
        <v>669</v>
      </c>
      <c r="I289" t="s">
        <v>670</v>
      </c>
      <c r="J289" s="6" t="str">
        <f>HYPERLINK("https://www.biovista.com/db/link/%5B%5B%22Disease%7CCongenital%20Myasthenic%20Syndrome%22%5D,%20%5B%22Human%20Phenotype%7CStage%205%20chronic%20kidney%20disease%22%5D%5D?strength-weight-map=%257B%2522MEDLINE_STRENGTH_AB%2522:1.0,%2522HPO%2522:100.0%257D", "Show Evidence...")</f>
        <v>Show Evidence...</v>
      </c>
    </row>
    <row r="290" spans="1:10" ht="12.75">
      <c r="A290" s="2" t="s">
        <v>50</v>
      </c>
      <c r="B290" s="2" t="s">
        <v>51</v>
      </c>
      <c r="C290" s="2" t="s">
        <v>24</v>
      </c>
      <c r="D290" s="2" t="s">
        <v>52</v>
      </c>
      <c r="E290" s="2" t="s">
        <v>431</v>
      </c>
      <c r="F290" s="11" t="s">
        <v>671</v>
      </c>
      <c r="G290" t="s">
        <v>38</v>
      </c>
      <c r="H290" t="s">
        <v>672</v>
      </c>
      <c r="I290" t="s">
        <v>673</v>
      </c>
      <c r="J290" s="6" t="str">
        <f>HYPERLINK("https://www.biovista.com/db/link/%5B%5B%22Disease%7CCongenital%20Myasthenic%20Syndrome%22%5D,%20%5B%22Human%20Phenotype%7CMyopathy%22%5D%5D?strength-weight-map=%257B%2522MEDLINE_STRENGTH_AB%2522:1.0,%2522HPO%2522:100.0%257D", "Show Evidence...")</f>
        <v>Show Evidence...</v>
      </c>
    </row>
    <row r="291" spans="1:10" ht="12.75">
      <c r="A291" s="2" t="s">
        <v>50</v>
      </c>
      <c r="B291" s="2" t="s">
        <v>51</v>
      </c>
      <c r="C291" s="2" t="s">
        <v>24</v>
      </c>
      <c r="D291" s="2" t="s">
        <v>52</v>
      </c>
      <c r="E291" s="2" t="s">
        <v>431</v>
      </c>
      <c r="F291" s="11" t="s">
        <v>674</v>
      </c>
      <c r="G291" t="s">
        <v>38</v>
      </c>
      <c r="H291" t="s">
        <v>675</v>
      </c>
      <c r="I291" t="s">
        <v>676</v>
      </c>
      <c r="J291" s="6" t="str">
        <f>HYPERLINK("https://www.biovista.com/db/link/%5B%5B%22Disease%7CCongenital%20Myasthenic%20Syndrome%22%5D,%20%5B%22Human%20Phenotype%7CShoulder%20pain%22%5D%5D?strength-weight-map=%257B%2522MEDLINE_STRENGTH_AB%2522:1.0,%2522HPO%2522:100.0%257D", "Show Evidence...")</f>
        <v>Show Evidence...</v>
      </c>
    </row>
    <row r="292" spans="1:10" ht="12.75">
      <c r="A292" s="2" t="s">
        <v>50</v>
      </c>
      <c r="B292" s="2" t="s">
        <v>51</v>
      </c>
      <c r="C292" s="2" t="s">
        <v>24</v>
      </c>
      <c r="D292" s="2" t="s">
        <v>52</v>
      </c>
      <c r="E292" s="2" t="s">
        <v>431</v>
      </c>
      <c r="F292" s="11" t="s">
        <v>677</v>
      </c>
      <c r="G292" t="s">
        <v>38</v>
      </c>
      <c r="H292" t="s">
        <v>678</v>
      </c>
      <c r="I292" t="s">
        <v>679</v>
      </c>
      <c r="J292" s="6" t="str">
        <f>HYPERLINK("https://www.biovista.com/db/link/%5B%5B%22Disease%7CCongenital%20Myasthenic%20Syndrome%22%5D,%20%5B%22Human%20Phenotype%7CDiabetes%20mellitus%22%5D%5D?strength-weight-map=%257B%2522MEDLINE_STRENGTH_AB%2522:1.0,%2522HPO%2522:100.0%257D", "Show Evidence...")</f>
        <v>Show Evidence...</v>
      </c>
    </row>
    <row r="293" spans="1:10" ht="12.75">
      <c r="A293" s="2" t="s">
        <v>50</v>
      </c>
      <c r="B293" s="2" t="s">
        <v>51</v>
      </c>
      <c r="C293" s="2" t="s">
        <v>24</v>
      </c>
      <c r="D293" s="2" t="s">
        <v>52</v>
      </c>
      <c r="E293" s="2" t="s">
        <v>431</v>
      </c>
      <c r="F293" s="11" t="s">
        <v>680</v>
      </c>
      <c r="G293" t="s">
        <v>38</v>
      </c>
      <c r="H293" t="s">
        <v>681</v>
      </c>
      <c r="I293" t="s">
        <v>682</v>
      </c>
      <c r="J293" s="6" t="str">
        <f>HYPERLINK("https://www.biovista.com/db/link/%5B%5B%22Disease%7CCongenital%20Myasthenic%20Syndrome%22%5D,%20%5B%22Human%20Phenotype%7CMutism%22%5D%5D?strength-weight-map=%257B%2522MEDLINE_STRENGTH_AB%2522:1.0,%2522HPO%2522:100.0%257D", "Show Evidence...")</f>
        <v>Show Evidence...</v>
      </c>
    </row>
    <row r="294" spans="1:10" ht="12.75">
      <c r="A294" s="2" t="s">
        <v>50</v>
      </c>
      <c r="B294" s="2" t="s">
        <v>51</v>
      </c>
      <c r="C294" s="2" t="s">
        <v>24</v>
      </c>
      <c r="D294" s="2" t="s">
        <v>52</v>
      </c>
      <c r="E294" s="2" t="s">
        <v>431</v>
      </c>
      <c r="F294" s="11" t="s">
        <v>683</v>
      </c>
      <c r="G294" t="s">
        <v>38</v>
      </c>
      <c r="H294" t="s">
        <v>684</v>
      </c>
      <c r="I294" t="s">
        <v>685</v>
      </c>
      <c r="J294" s="6" t="s">
        <v>686</v>
      </c>
    </row>
    <row r="295" spans="1:10" ht="12.75">
      <c r="A295" s="2" t="s">
        <v>50</v>
      </c>
      <c r="B295" s="2" t="s">
        <v>51</v>
      </c>
      <c r="C295" s="2" t="s">
        <v>24</v>
      </c>
      <c r="D295" s="2" t="s">
        <v>52</v>
      </c>
      <c r="E295" s="2" t="s">
        <v>431</v>
      </c>
      <c r="F295" s="11" t="s">
        <v>687</v>
      </c>
      <c r="G295" t="s">
        <v>38</v>
      </c>
      <c r="H295" t="s">
        <v>688</v>
      </c>
      <c r="I295" t="s">
        <v>332</v>
      </c>
      <c r="J295" s="6" t="str">
        <f>HYPERLINK("https://www.biovista.com/db/link/%5B%5B%22Disease%7CCongenital%20Myasthenic%20Syndrome%22%5D,%20%5B%22Human%20Phenotype%7CNeoplasm%20of%20the%20lung%22%5D%5D?strength-weight-map=%257B%2522MEDLINE_STRENGTH_AB%2522:1.0,%2522HPO%2522:100.0%257D", "Show Evidence...")</f>
        <v>Show Evidence...</v>
      </c>
    </row>
    <row r="296" spans="1:10" ht="12.75">
      <c r="A296" s="2" t="s">
        <v>50</v>
      </c>
      <c r="B296" s="2" t="s">
        <v>51</v>
      </c>
      <c r="C296" s="2" t="s">
        <v>24</v>
      </c>
      <c r="D296" s="2" t="s">
        <v>52</v>
      </c>
      <c r="E296" s="2" t="s">
        <v>431</v>
      </c>
      <c r="F296" s="11" t="s">
        <v>689</v>
      </c>
      <c r="G296" t="s">
        <v>38</v>
      </c>
      <c r="H296" t="s">
        <v>690</v>
      </c>
      <c r="I296" t="s">
        <v>691</v>
      </c>
      <c r="J296" s="6" t="str">
        <f>HYPERLINK("https://www.biovista.com/db/link/%5B%5B%22Disease%7CCongenital%20Myasthenic%20Syndrome%22%5D,%20%5B%22Human%20Phenotype%7CDementia%22%5D%5D?strength-weight-map=%257B%2522MEDLINE_STRENGTH_AB%2522:1.0,%2522HPO%2522:100.0%257D", "Show Evidence...")</f>
        <v>Show Evidence...</v>
      </c>
    </row>
    <row r="297" spans="1:10" ht="12.75">
      <c r="A297" s="2" t="s">
        <v>50</v>
      </c>
      <c r="B297" s="2" t="s">
        <v>51</v>
      </c>
      <c r="C297" s="2" t="s">
        <v>24</v>
      </c>
      <c r="D297" s="2" t="s">
        <v>52</v>
      </c>
      <c r="E297" s="2" t="s">
        <v>431</v>
      </c>
      <c r="F297" s="11" t="s">
        <v>692</v>
      </c>
      <c r="G297" t="s">
        <v>38</v>
      </c>
      <c r="H297" t="s">
        <v>693</v>
      </c>
      <c r="I297" t="s">
        <v>86</v>
      </c>
      <c r="J297" s="6" t="str">
        <f>HYPERLINK("https://www.biovista.com/db/link/%5B%5B%22Disease%7CCongenital%20Myasthenic%20Syndrome%22%5D,%20%5B%22Human%20Phenotype%7CFatigue%22%5D%5D?strength-weight-map=%257B%2522MEDLINE_STRENGTH_AB%2522:1.0,%2522HPO%2522:100.0%257D", "Show Evidence...")</f>
        <v>Show Evidence...</v>
      </c>
    </row>
    <row r="298" spans="1:10" ht="12.75">
      <c r="A298" s="2" t="s">
        <v>50</v>
      </c>
      <c r="B298" s="2" t="s">
        <v>51</v>
      </c>
      <c r="C298" s="2" t="s">
        <v>24</v>
      </c>
      <c r="D298" s="2" t="s">
        <v>52</v>
      </c>
      <c r="E298" s="2" t="s">
        <v>431</v>
      </c>
      <c r="F298" s="11" t="s">
        <v>694</v>
      </c>
      <c r="G298" t="s">
        <v>38</v>
      </c>
      <c r="H298" t="s">
        <v>695</v>
      </c>
      <c r="I298" t="s">
        <v>338</v>
      </c>
      <c r="J298" s="6" t="str">
        <f>HYPERLINK("https://www.biovista.com/db/link/%5B%5B%22Disease%7CCongenital%20Myasthenic%20Syndrome%22%5D,%20%5B%22Human%20Phenotype%7CCognitive%20impairment%22%5D%5D?strength-weight-map=%257B%2522MEDLINE_STRENGTH_AB%2522:1.0,%2522HPO%2522:100.0%257D", "Show Evidence...")</f>
        <v>Show Evidence...</v>
      </c>
    </row>
    <row r="299" spans="1:10" ht="12.75">
      <c r="A299" s="2" t="s">
        <v>50</v>
      </c>
      <c r="B299" s="2" t="s">
        <v>51</v>
      </c>
      <c r="C299" s="2" t="s">
        <v>24</v>
      </c>
      <c r="D299" s="2" t="s">
        <v>52</v>
      </c>
      <c r="E299" s="2" t="s">
        <v>431</v>
      </c>
      <c r="F299" s="11" t="s">
        <v>696</v>
      </c>
      <c r="G299" t="s">
        <v>38</v>
      </c>
      <c r="H299" t="s">
        <v>697</v>
      </c>
      <c r="I299" t="s">
        <v>342</v>
      </c>
      <c r="J299" s="6" t="str">
        <f>HYPERLINK("https://www.biovista.com/db/link/%5B%5B%22Disease%7CCongenital%20Myasthenic%20Syndrome%22%5D,%20%5B%22Human%20Phenotype%7CIncreased%20body%20weight%22%5D%5D?strength-weight-map=%257B%2522MEDLINE_STRENGTH_AB%2522:1.0,%2522HPO%2522:100.0%257D", "Show Evidence...")</f>
        <v>Show Evidence...</v>
      </c>
    </row>
    <row r="300" spans="1:10" ht="12.75">
      <c r="A300" s="2" t="s">
        <v>50</v>
      </c>
      <c r="B300" s="2" t="s">
        <v>51</v>
      </c>
      <c r="C300" s="2" t="s">
        <v>24</v>
      </c>
      <c r="D300" s="2" t="s">
        <v>52</v>
      </c>
      <c r="E300" s="2" t="s">
        <v>431</v>
      </c>
      <c r="F300" s="11" t="s">
        <v>698</v>
      </c>
      <c r="G300" t="s">
        <v>38</v>
      </c>
      <c r="H300" t="s">
        <v>699</v>
      </c>
      <c r="I300" t="s">
        <v>700</v>
      </c>
      <c r="J300" s="6" t="str">
        <f>HYPERLINK("https://www.biovista.com/db/link/%5B%5B%22Disease%7CCongenital%20Myasthenic%20Syndrome%22%5D,%20%5B%22Human%20Phenotype%7COsteoarthritis%22%5D%5D?strength-weight-map=%257B%2522MEDLINE_STRENGTH_AB%2522:1.0,%2522HPO%2522:100.0%257D", "Show Evidence...")</f>
        <v>Show Evidence...</v>
      </c>
    </row>
    <row r="301" spans="1:10" ht="12.75">
      <c r="A301" s="2" t="s">
        <v>50</v>
      </c>
      <c r="B301" s="2" t="s">
        <v>51</v>
      </c>
      <c r="C301" s="2" t="s">
        <v>24</v>
      </c>
      <c r="D301" s="2" t="s">
        <v>52</v>
      </c>
      <c r="E301" s="2" t="s">
        <v>431</v>
      </c>
      <c r="F301" s="11" t="s">
        <v>701</v>
      </c>
      <c r="G301" t="s">
        <v>38</v>
      </c>
      <c r="H301" t="s">
        <v>702</v>
      </c>
      <c r="I301" t="s">
        <v>703</v>
      </c>
      <c r="J301" s="6" t="str">
        <f>HYPERLINK("https://www.biovista.com/db/link/%5B%5B%22Disease%7CCongenital%20Myasthenic%20Syndrome%22%5D,%20%5B%22Human%20Phenotype%7CEpisodic%22%5D%5D?strength-weight-map=%257B%2522MEDLINE_STRENGTH_AB%2522:1.0,%2522HPO%2522:100.0%257D", "Show Evidence...")</f>
        <v>Show Evidence...</v>
      </c>
    </row>
    <row r="302" spans="1:10" ht="12.75">
      <c r="A302" s="2" t="s">
        <v>50</v>
      </c>
      <c r="B302" s="2" t="s">
        <v>51</v>
      </c>
      <c r="C302" s="2" t="s">
        <v>24</v>
      </c>
      <c r="D302" s="2" t="s">
        <v>52</v>
      </c>
      <c r="E302" s="2" t="s">
        <v>704</v>
      </c>
      <c r="F302" s="11" t="s">
        <v>705</v>
      </c>
      <c r="G302" t="s">
        <v>37</v>
      </c>
      <c r="H302" t="s">
        <v>706</v>
      </c>
      <c r="I302" t="s">
        <v>707</v>
      </c>
      <c r="J302" s="6" t="str">
        <f>HYPERLINK("https://www.biovista.com/db/link/%5B%5B%22Disease%7CCongenital%20Myasthenic%20Syndrome%22%5D,%20%5B%22Pathway%7Cswimming%22%5D%5D?strength-weight-map=%257B%2522MEDLINE_STRENGTH_AB%2522:1.0,%2522HPO%2522:100.0%257D", "Show Evidence...")</f>
        <v>Show Evidence...</v>
      </c>
    </row>
    <row r="303" spans="1:10" ht="12.75">
      <c r="A303" s="2" t="s">
        <v>50</v>
      </c>
      <c r="B303" s="2" t="s">
        <v>51</v>
      </c>
      <c r="C303" s="2" t="s">
        <v>24</v>
      </c>
      <c r="D303" s="2" t="s">
        <v>52</v>
      </c>
      <c r="E303" s="2" t="s">
        <v>704</v>
      </c>
      <c r="F303" s="11" t="s">
        <v>708</v>
      </c>
      <c r="G303" t="s">
        <v>37</v>
      </c>
      <c r="H303" t="s">
        <v>709</v>
      </c>
      <c r="I303" t="s">
        <v>710</v>
      </c>
      <c r="J303" s="6" t="str">
        <f>HYPERLINK("https://www.biovista.com/db/link/%5B%5B%22Disease%7CCongenital%20Myasthenic%20Syndrome%22%5D,%20%5B%22Pathway%7Cchemical%20synaptic%20transmission%22%5D%5D?strength-weight-map=%257B%2522MEDLINE_STRENGTH_AB%2522:1.0,%2522HPO%2522:100.0%257D", "Show Evidence...")</f>
        <v>Show Evidence...</v>
      </c>
    </row>
    <row r="304" spans="1:10" ht="12.75">
      <c r="A304" s="2" t="s">
        <v>50</v>
      </c>
      <c r="B304" s="2" t="s">
        <v>51</v>
      </c>
      <c r="C304" s="2" t="s">
        <v>24</v>
      </c>
      <c r="D304" s="2" t="s">
        <v>52</v>
      </c>
      <c r="E304" s="2" t="s">
        <v>704</v>
      </c>
      <c r="F304" s="11" t="s">
        <v>711</v>
      </c>
      <c r="G304" t="s">
        <v>37</v>
      </c>
      <c r="H304" t="s">
        <v>712</v>
      </c>
      <c r="I304" t="s">
        <v>713</v>
      </c>
      <c r="J304" s="6" t="str">
        <f>HYPERLINK("https://www.biovista.com/db/link/%5B%5B%22Disease%7CCongenital%20Myasthenic%20Syndrome%22%5D,%20%5B%22Pathway%7Cinflammatory%20response%22%5D%5D?strength-weight-map=%257B%2522MEDLINE_STRENGTH_AB%2522:1.0,%2522HPO%2522:100.0%257D", "Show Evidence...")</f>
        <v>Show Evidence...</v>
      </c>
    </row>
    <row r="305" spans="1:10" ht="12.75">
      <c r="A305" s="2" t="s">
        <v>50</v>
      </c>
      <c r="B305" s="2" t="s">
        <v>51</v>
      </c>
      <c r="C305" s="2" t="s">
        <v>24</v>
      </c>
      <c r="D305" s="2" t="s">
        <v>52</v>
      </c>
      <c r="E305" s="2" t="s">
        <v>704</v>
      </c>
      <c r="F305" s="11" t="s">
        <v>714</v>
      </c>
      <c r="G305" t="s">
        <v>37</v>
      </c>
      <c r="H305" t="s">
        <v>715</v>
      </c>
      <c r="I305" t="s">
        <v>716</v>
      </c>
      <c r="J305" s="6" t="str">
        <f>HYPERLINK("https://www.biovista.com/db/link/%5B%5B%22Disease%7CCongenital%20Myasthenic%20Syndrome%22%5D,%20%5B%22Pathway%7Cpollen%20development%22%5D%5D?strength-weight-map=%257B%2522MEDLINE_STRENGTH_AB%2522:1.0,%2522HPO%2522:100.0%257D", "Show Evidence...")</f>
        <v>Show Evidence...</v>
      </c>
    </row>
    <row r="306" spans="1:10" ht="12.75">
      <c r="A306" s="2" t="s">
        <v>50</v>
      </c>
      <c r="B306" s="2" t="s">
        <v>51</v>
      </c>
      <c r="C306" s="2" t="s">
        <v>24</v>
      </c>
      <c r="D306" s="2" t="s">
        <v>52</v>
      </c>
      <c r="E306" s="2" t="s">
        <v>717</v>
      </c>
      <c r="F306" s="11" t="s">
        <v>718</v>
      </c>
      <c r="G306" t="s">
        <v>37</v>
      </c>
      <c r="H306" t="s">
        <v>719</v>
      </c>
      <c r="I306" t="s">
        <v>659</v>
      </c>
      <c r="J306" s="6" t="str">
        <f>HYPERLINK("https://www.biovista.com/db/link/%5B%5B%22Disease%7CCongenital%20Myasthenic%20Syndrome%22%5D,%20%5B%22Pathway%7Caging%22%5D%5D?strength-weight-map=%257B%2522MEDLINE_STRENGTH_AB%2522:1.0,%2522HPO%2522:100.0%257D", "Show Evidence...")</f>
        <v>Show Evidence...</v>
      </c>
    </row>
    <row r="307" spans="1:10" ht="12.75">
      <c r="A307" s="2" t="s">
        <v>50</v>
      </c>
      <c r="B307" s="2" t="s">
        <v>51</v>
      </c>
      <c r="C307" s="2" t="s">
        <v>24</v>
      </c>
      <c r="D307" s="2" t="s">
        <v>52</v>
      </c>
      <c r="E307" s="2" t="s">
        <v>704</v>
      </c>
      <c r="F307" s="11" t="s">
        <v>720</v>
      </c>
      <c r="G307" t="s">
        <v>37</v>
      </c>
      <c r="H307" t="s">
        <v>721</v>
      </c>
      <c r="I307" t="s">
        <v>722</v>
      </c>
      <c r="J307" s="6" t="str">
        <f>HYPERLINK("https://www.biovista.com/db/link/%5B%5B%22Disease%7CCongenital%20Myasthenic%20Syndrome%22%5D,%20%5B%22Pathway%7Capoptotic%20process%22%5D%5D?strength-weight-map=%257B%2522MEDLINE_STRENGTH_AB%2522:1.0,%2522HPO%2522:100.0%257D", "Show Evidence...")</f>
        <v>Show Evidence...</v>
      </c>
    </row>
    <row r="308" spans="1:10" ht="12.75">
      <c r="A308" s="2" t="s">
        <v>50</v>
      </c>
      <c r="B308" s="2" t="s">
        <v>51</v>
      </c>
      <c r="C308" s="2" t="s">
        <v>24</v>
      </c>
      <c r="D308" s="2" t="s">
        <v>52</v>
      </c>
      <c r="E308" s="2" t="s">
        <v>704</v>
      </c>
      <c r="F308" s="11" t="s">
        <v>723</v>
      </c>
      <c r="G308" t="s">
        <v>37</v>
      </c>
      <c r="H308" t="s">
        <v>724</v>
      </c>
      <c r="I308" t="s">
        <v>725</v>
      </c>
      <c r="J308" s="6" t="str">
        <f>HYPERLINK("https://www.biovista.com/db/link/%5B%5B%22Disease%7CCongenital%20Myasthenic%20Syndrome%22%5D,%20%5B%22Pathway%7Ctranslation%22%5D%5D?strength-weight-map=%257B%2522MEDLINE_STRENGTH_AB%2522:1.0,%2522HPO%2522:100.0%257D", "Show Evidence...")</f>
        <v>Show Evidence...</v>
      </c>
    </row>
    <row r="309" spans="1:10" ht="12.75">
      <c r="A309" s="2" t="s">
        <v>50</v>
      </c>
      <c r="B309" s="2" t="s">
        <v>51</v>
      </c>
      <c r="C309" s="2" t="s">
        <v>24</v>
      </c>
      <c r="D309" s="2" t="s">
        <v>52</v>
      </c>
      <c r="E309" s="2" t="s">
        <v>704</v>
      </c>
      <c r="F309" s="11" t="s">
        <v>726</v>
      </c>
      <c r="G309" t="s">
        <v>37</v>
      </c>
      <c r="H309" t="s">
        <v>727</v>
      </c>
      <c r="I309" t="s">
        <v>323</v>
      </c>
      <c r="J309" s="6" t="str">
        <f>HYPERLINK("https://www.biovista.com/db/link/%5B%5B%22Disease%7CCongenital%20Myasthenic%20Syndrome%22%5D,%20%5B%22Pathway%7Ccognition%22%5D%5D?strength-weight-map=%257B%2522MEDLINE_STRENGTH_AB%2522:1.0,%2522HPO%2522:100.0%257D", "Show Evidence...")</f>
        <v>Show Evidence...</v>
      </c>
    </row>
    <row r="310" spans="1:10" ht="12.75">
      <c r="A310" s="2" t="s">
        <v>50</v>
      </c>
      <c r="B310" s="2" t="s">
        <v>51</v>
      </c>
      <c r="C310" s="2" t="s">
        <v>24</v>
      </c>
      <c r="D310" s="2" t="s">
        <v>52</v>
      </c>
      <c r="E310" s="2" t="s">
        <v>704</v>
      </c>
      <c r="F310" s="11" t="s">
        <v>728</v>
      </c>
      <c r="G310" t="s">
        <v>37</v>
      </c>
      <c r="H310" t="s">
        <v>729</v>
      </c>
      <c r="I310" t="s">
        <v>730</v>
      </c>
      <c r="J310" s="6" t="str">
        <f>HYPERLINK("https://www.biovista.com/db/link/%5B%5B%22Disease%7CCongenital%20Myasthenic%20Syndrome%22%5D,%20%5B%22Pathway%7Canther%20development%22%5D%5D?strength-weight-map=%257B%2522MEDLINE_STRENGTH_AB%2522:1.0,%2522HPO%2522:100.0%257D", "Show Evidence...")</f>
        <v>Show Evidence...</v>
      </c>
    </row>
    <row r="311" spans="1:10" ht="12.75">
      <c r="A311" s="2" t="s">
        <v>50</v>
      </c>
      <c r="B311" s="2" t="s">
        <v>51</v>
      </c>
      <c r="C311" s="2" t="s">
        <v>24</v>
      </c>
      <c r="D311" s="2" t="s">
        <v>52</v>
      </c>
      <c r="E311" s="2" t="s">
        <v>704</v>
      </c>
      <c r="F311" s="11" t="s">
        <v>731</v>
      </c>
      <c r="G311" t="s">
        <v>37</v>
      </c>
      <c r="H311" t="s">
        <v>732</v>
      </c>
      <c r="I311" t="s">
        <v>676</v>
      </c>
      <c r="J311" s="6" t="str">
        <f>HYPERLINK("https://www.biovista.com/db/link/%5B%5B%22Disease%7CCongenital%20Myasthenic%20Syndrome%22%5D,%20%5B%22Pathway%7Cneurogenesis%22%5D%5D?strength-weight-map=%257B%2522MEDLINE_STRENGTH_AB%2522:1.0,%2522HPO%2522:100.0%257D", "Show Evidence...")</f>
        <v>Show Evidence...</v>
      </c>
    </row>
    <row r="312" spans="1:10" ht="12.75">
      <c r="A312" s="2" t="s">
        <v>50</v>
      </c>
      <c r="B312" s="2" t="s">
        <v>51</v>
      </c>
      <c r="C312" s="2" t="s">
        <v>24</v>
      </c>
      <c r="D312" s="2" t="s">
        <v>52</v>
      </c>
      <c r="E312" s="2" t="s">
        <v>704</v>
      </c>
      <c r="F312" s="11" t="s">
        <v>733</v>
      </c>
      <c r="G312" t="s">
        <v>37</v>
      </c>
      <c r="H312" t="s">
        <v>734</v>
      </c>
      <c r="I312" t="s">
        <v>682</v>
      </c>
      <c r="J312" s="6" t="str">
        <f>HYPERLINK("https://www.biovista.com/db/link/%5B%5B%22Disease%7CCongenital%20Myasthenic%20Syndrome%22%5D,%20%5B%22Pathway%7Ccellular%20respiration%22%5D%5D?strength-weight-map=%257B%2522MEDLINE_STRENGTH_AB%2522:1.0,%2522HPO%2522:100.0%257D", "Show Evidence...")</f>
        <v>Show Evidence...</v>
      </c>
    </row>
    <row r="313" spans="1:10" ht="12.75">
      <c r="A313" s="2" t="s">
        <v>50</v>
      </c>
      <c r="B313" s="2" t="s">
        <v>51</v>
      </c>
      <c r="C313" s="2" t="s">
        <v>24</v>
      </c>
      <c r="D313" s="2" t="s">
        <v>52</v>
      </c>
      <c r="E313" s="2" t="s">
        <v>704</v>
      </c>
      <c r="F313" s="11" t="s">
        <v>735</v>
      </c>
      <c r="G313" t="s">
        <v>37</v>
      </c>
      <c r="H313" t="s">
        <v>736</v>
      </c>
      <c r="I313" t="s">
        <v>327</v>
      </c>
      <c r="J313" s="6" t="str">
        <f>HYPERLINK("https://www.biovista.com/db/link/%5B%5B%22Disease%7CCongenital%20Myasthenic%20Syndrome%22%5D,%20%5B%22Pathway%7Csignal%20transduction%22%5D%5D?strength-weight-map=%257B%2522MEDLINE_STRENGTH_AB%2522:1.0,%2522HPO%2522:100.0%257D", "Show Evidence...")</f>
        <v>Show Evidence...</v>
      </c>
    </row>
    <row r="314" spans="1:10" ht="12.75">
      <c r="A314" s="2" t="s">
        <v>50</v>
      </c>
      <c r="B314" s="2" t="s">
        <v>51</v>
      </c>
      <c r="C314" s="2" t="s">
        <v>24</v>
      </c>
      <c r="D314" s="2" t="s">
        <v>52</v>
      </c>
      <c r="E314" s="2" t="s">
        <v>704</v>
      </c>
      <c r="F314" s="11" t="s">
        <v>737</v>
      </c>
      <c r="G314" t="s">
        <v>37</v>
      </c>
      <c r="H314" t="s">
        <v>738</v>
      </c>
      <c r="I314" t="s">
        <v>338</v>
      </c>
      <c r="J314" s="6" t="str">
        <f>HYPERLINK("https://www.biovista.com/db/link/%5B%5B%22Disease%7CCongenital%20Myasthenic%20Syndrome%22%5D,%20%5B%22Pathway%7CmRNA%20cis%20splicing,%20via%20spliceosome%22%5D%5D?strength-weight-map=%257B%2522MEDLINE_STRENGTH_AB%2522:1.0,%2522HPO%2522:100.0%257D", "Show Evidence...")</f>
        <v>Show Evidence...</v>
      </c>
    </row>
    <row r="315" spans="1:10" ht="12.75">
      <c r="A315" s="2" t="s">
        <v>50</v>
      </c>
      <c r="B315" s="2" t="s">
        <v>51</v>
      </c>
      <c r="C315" s="2" t="s">
        <v>24</v>
      </c>
      <c r="D315" s="2" t="s">
        <v>52</v>
      </c>
      <c r="E315" s="2" t="s">
        <v>704</v>
      </c>
      <c r="F315" s="11" t="s">
        <v>739</v>
      </c>
      <c r="G315" t="s">
        <v>37</v>
      </c>
      <c r="H315" t="s">
        <v>740</v>
      </c>
      <c r="I315" t="s">
        <v>700</v>
      </c>
      <c r="J315" s="6" t="str">
        <f>HYPERLINK("https://www.biovista.com/db/link/%5B%5B%22Disease%7CCongenital%20Myasthenic%20Syndrome%22%5D,%20%5B%22Pathway%7Cglycosylation%22%5D%5D?strength-weight-map=%257B%2522MEDLINE_STRENGTH_AB%2522:1.0,%2522HPO%2522:100.0%257D", "Show Evidence...")</f>
        <v>Show Evidence...</v>
      </c>
    </row>
    <row r="316" spans="1:10" ht="12.75">
      <c r="A316" s="2" t="s">
        <v>50</v>
      </c>
      <c r="B316" s="2" t="s">
        <v>51</v>
      </c>
      <c r="C316" s="2" t="s">
        <v>24</v>
      </c>
      <c r="D316" s="2" t="s">
        <v>52</v>
      </c>
      <c r="E316" s="2" t="s">
        <v>704</v>
      </c>
      <c r="F316" s="11" t="s">
        <v>741</v>
      </c>
      <c r="G316" t="s">
        <v>37</v>
      </c>
      <c r="H316" t="s">
        <v>742</v>
      </c>
      <c r="I316" t="s">
        <v>703</v>
      </c>
      <c r="J316" s="6" t="str">
        <f>HYPERLINK("https://www.biovista.com/db/link/%5B%5B%22Disease%7CCongenital%20Myasthenic%20Syndrome%22%5D,%20%5B%22Pathway%7Cexploration%20behavior%22%5D%5D?strength-weight-map=%257B%2522MEDLINE_STRENGTH_AB%2522:1.0,%2522HPO%2522:100.0%257D", "Show Evidence...")</f>
        <v>Show Evidence...</v>
      </c>
    </row>
    <row r="317" spans="1:10" ht="12.75">
      <c r="A317" s="2" t="s">
        <v>50</v>
      </c>
      <c r="B317" s="2" t="s">
        <v>51</v>
      </c>
      <c r="C317" s="2" t="s">
        <v>24</v>
      </c>
      <c r="D317" s="2" t="s">
        <v>52</v>
      </c>
      <c r="E317" s="2" t="s">
        <v>704</v>
      </c>
      <c r="F317" s="11" t="s">
        <v>743</v>
      </c>
      <c r="G317" t="s">
        <v>37</v>
      </c>
      <c r="H317" t="s">
        <v>744</v>
      </c>
      <c r="I317" t="s">
        <v>344</v>
      </c>
      <c r="J317" s="6" t="str">
        <f>HYPERLINK("https://www.biovista.com/db/link/%5B%5B%22Disease%7CCongenital%20Myasthenic%20Syndrome%22%5D,%20%5B%22Pathway%7Csocial%20behavior%22%5D%5D?strength-weight-map=%257B%2522MEDLINE_STRENGTH_AB%2522:1.0,%2522HPO%2522:100.0%257D", "Show Evidence...")</f>
        <v>Show Evidence...</v>
      </c>
    </row>
    <row r="318" spans="1:10" ht="12.75">
      <c r="A318" s="2" t="s">
        <v>50</v>
      </c>
      <c r="B318" s="2" t="s">
        <v>51</v>
      </c>
      <c r="C318" s="2" t="s">
        <v>24</v>
      </c>
      <c r="D318" s="2" t="s">
        <v>52</v>
      </c>
      <c r="E318" s="2" t="s">
        <v>704</v>
      </c>
      <c r="F318" s="11" t="s">
        <v>745</v>
      </c>
      <c r="G318" t="s">
        <v>37</v>
      </c>
      <c r="H318" t="s">
        <v>746</v>
      </c>
      <c r="I318" t="s">
        <v>351</v>
      </c>
      <c r="J318" s="6" t="str">
        <f>HYPERLINK("https://www.biovista.com/db/link/%5B%5B%22Disease%7CCongenital%20Myasthenic%20Syndrome%22%5D,%20%5B%22Pathway%7Cmuscle%20contraction%22%5D%5D?strength-weight-map=%257B%2522MEDLINE_STRENGTH_AB%2522:1.0,%2522HPO%2522:100.0%257D", "Show Evidence...")</f>
        <v>Show Evidence...</v>
      </c>
    </row>
    <row r="319" spans="1:10" ht="12.75">
      <c r="A319" s="2" t="s">
        <v>50</v>
      </c>
      <c r="B319" s="2" t="s">
        <v>51</v>
      </c>
      <c r="C319" s="2" t="s">
        <v>24</v>
      </c>
      <c r="D319" s="2" t="s">
        <v>52</v>
      </c>
      <c r="E319" s="2" t="s">
        <v>704</v>
      </c>
      <c r="F319" s="11" t="s">
        <v>747</v>
      </c>
      <c r="G319" t="s">
        <v>37</v>
      </c>
      <c r="H319" t="s">
        <v>748</v>
      </c>
      <c r="I319" t="s">
        <v>351</v>
      </c>
      <c r="J319" s="6" t="s">
        <v>749</v>
      </c>
    </row>
    <row r="320" spans="1:10" ht="12.75">
      <c r="A320" s="2" t="s">
        <v>50</v>
      </c>
      <c r="B320" s="2" t="s">
        <v>51</v>
      </c>
      <c r="C320" s="2" t="s">
        <v>24</v>
      </c>
      <c r="D320" s="2" t="s">
        <v>52</v>
      </c>
      <c r="E320" s="2" t="s">
        <v>704</v>
      </c>
      <c r="F320" s="11" t="s">
        <v>750</v>
      </c>
      <c r="G320" t="s">
        <v>37</v>
      </c>
      <c r="H320" t="s">
        <v>751</v>
      </c>
      <c r="I320" t="s">
        <v>752</v>
      </c>
      <c r="J320" s="6" t="str">
        <f>HYPERLINK("https://www.biovista.com/db/link/%5B%5B%22Disease%7CCongenital%20Myasthenic%20Syndrome%22%5D,%20%5B%22Pathway%7Ccell%20death%22%5D%5D?strength-weight-map=%257B%2522MEDLINE_STRENGTH_AB%2522:1.0,%2522HPO%2522:100.0%257D", "Show Evidence...")</f>
        <v>Show Evidence...</v>
      </c>
    </row>
    <row r="321" spans="1:10" ht="12.75">
      <c r="A321" s="2" t="s">
        <v>50</v>
      </c>
      <c r="B321" s="2" t="s">
        <v>51</v>
      </c>
      <c r="C321" s="2" t="s">
        <v>24</v>
      </c>
      <c r="D321" s="2" t="s">
        <v>52</v>
      </c>
      <c r="E321" s="2" t="s">
        <v>704</v>
      </c>
      <c r="F321" s="11" t="s">
        <v>753</v>
      </c>
      <c r="G321" t="s">
        <v>37</v>
      </c>
      <c r="H321" t="s">
        <v>754</v>
      </c>
      <c r="I321" t="s">
        <v>752</v>
      </c>
      <c r="J321" s="6" t="str">
        <f>HYPERLINK("https://www.biovista.com/db/link/%5B%5B%22Disease%7CCongenital%20Myasthenic%20Syndrome%22%5D,%20%5B%22Pathway%7Ccell%20differentiation%22%5D%5D?strength-weight-map=%257B%2522MEDLINE_STRENGTH_AB%2522:1.0,%2522HPO%2522:100.0%257D", "Show Evidence...")</f>
        <v>Show Evidence...</v>
      </c>
    </row>
    <row r="322" spans="1:10" ht="12.75">
      <c r="A322" s="2" t="s">
        <v>50</v>
      </c>
      <c r="B322" s="2" t="s">
        <v>51</v>
      </c>
      <c r="C322" s="2" t="s">
        <v>24</v>
      </c>
      <c r="D322" s="2" t="s">
        <v>52</v>
      </c>
      <c r="E322" s="2" t="s">
        <v>704</v>
      </c>
      <c r="F322" s="11" t="s">
        <v>755</v>
      </c>
      <c r="G322" t="s">
        <v>37</v>
      </c>
      <c r="H322" t="s">
        <v>756</v>
      </c>
      <c r="I322" t="s">
        <v>752</v>
      </c>
      <c r="J322" t="s">
        <v>757</v>
      </c>
    </row>
    <row r="323" spans="1:10" ht="12.75">
      <c r="A323" s="2" t="s">
        <v>50</v>
      </c>
      <c r="B323" s="2" t="s">
        <v>51</v>
      </c>
      <c r="C323" s="2" t="s">
        <v>24</v>
      </c>
      <c r="D323" s="2" t="s">
        <v>52</v>
      </c>
      <c r="E323" s="2" t="s">
        <v>704</v>
      </c>
      <c r="F323" s="11" t="s">
        <v>758</v>
      </c>
      <c r="G323" t="s">
        <v>37</v>
      </c>
      <c r="H323" t="s">
        <v>759</v>
      </c>
      <c r="I323" t="s">
        <v>752</v>
      </c>
      <c r="J323" s="6" t="str">
        <f>HYPERLINK("https://www.biovista.com/db/link/%5B%5B%22Disease%7CCongenital%20Myasthenic%20Syndrome%22%5D,%20%5B%22Pathway%7CRNA%20modification%22%5D%5D?strength-weight-map=%257B%2522MEDLINE_STRENGTH_AB%2522:1.0,%2522HPO%2522:100.0%257D", "Show Evidence...")</f>
        <v>Show Evidence...</v>
      </c>
    </row>
    <row r="324" spans="1:10" ht="12.75">
      <c r="A324" s="2" t="s">
        <v>50</v>
      </c>
      <c r="B324" s="2" t="s">
        <v>51</v>
      </c>
      <c r="C324" s="2" t="s">
        <v>24</v>
      </c>
      <c r="D324" s="2" t="s">
        <v>52</v>
      </c>
      <c r="E324" s="2" t="s">
        <v>704</v>
      </c>
      <c r="F324" s="11" t="s">
        <v>760</v>
      </c>
      <c r="G324" t="s">
        <v>37</v>
      </c>
      <c r="H324" t="s">
        <v>761</v>
      </c>
      <c r="I324" t="s">
        <v>92</v>
      </c>
      <c r="J324" s="6" t="str">
        <f>HYPERLINK("https://www.biovista.com/db/link/%5B%5B%22Disease%7CCongenital%20Myasthenic%20Syndrome%22%5D,%20%5B%22Pathway%7Chomeostatic%20process%22%5D%5D?strength-weight-map=%257B%2522MEDLINE_STRENGTH_AB%2522:1.0,%2522HPO%2522:100.0%257D", "Show Evidence...")</f>
        <v>Show Evidence...</v>
      </c>
    </row>
    <row r="325" spans="1:10" ht="12.75">
      <c r="A325" s="2" t="s">
        <v>50</v>
      </c>
      <c r="B325" s="2" t="s">
        <v>51</v>
      </c>
      <c r="C325" s="2" t="s">
        <v>24</v>
      </c>
      <c r="D325" s="2" t="s">
        <v>52</v>
      </c>
      <c r="E325" s="2" t="s">
        <v>704</v>
      </c>
      <c r="F325" s="11" t="s">
        <v>762</v>
      </c>
      <c r="G325" t="s">
        <v>37</v>
      </c>
      <c r="H325" t="s">
        <v>763</v>
      </c>
      <c r="I325" t="s">
        <v>362</v>
      </c>
      <c r="J325" s="6" t="str">
        <f>HYPERLINK("https://www.biovista.com/db/link/%5B%5B%22Disease%7CCongenital%20Myasthenic%20Syndrome%22%5D,%20%5B%22Pathway%7Cwound%20healing%22%5D%5D?strength-weight-map=%257B%2522MEDLINE_STRENGTH_AB%2522:1.0,%2522HPO%2522:100.0%257D", "Show Evidence...")</f>
        <v>Show Evidence...</v>
      </c>
    </row>
    <row r="326" spans="1:10" ht="12.75">
      <c r="A326" s="2" t="s">
        <v>50</v>
      </c>
      <c r="B326" s="2" t="s">
        <v>51</v>
      </c>
      <c r="C326" s="2" t="s">
        <v>24</v>
      </c>
      <c r="D326" s="2" t="s">
        <v>52</v>
      </c>
      <c r="E326" s="2" t="s">
        <v>704</v>
      </c>
      <c r="F326" s="11" t="s">
        <v>764</v>
      </c>
      <c r="G326" t="s">
        <v>37</v>
      </c>
      <c r="H326" t="s">
        <v>765</v>
      </c>
      <c r="I326" t="s">
        <v>367</v>
      </c>
      <c r="J326" s="6" t="str">
        <f>HYPERLINK("https://www.biovista.com/db/link/%5B%5B%22Disease%7CCongenital%20Myasthenic%20Syndrome%22%5D,%20%5B%22Pathway%7Cmethylation%22%5D%5D?strength-weight-map=%257B%2522MEDLINE_STRENGTH_AB%2522:1.0,%2522HPO%2522:100.0%257D", "Show Evidence...")</f>
        <v>Show Evidence...</v>
      </c>
    </row>
    <row r="327" spans="1:10" ht="12.75">
      <c r="A327" s="2" t="s">
        <v>50</v>
      </c>
      <c r="B327" s="2" t="s">
        <v>51</v>
      </c>
      <c r="C327" s="2" t="s">
        <v>24</v>
      </c>
      <c r="D327" s="2" t="s">
        <v>52</v>
      </c>
      <c r="E327" s="2" t="s">
        <v>704</v>
      </c>
      <c r="F327" s="11" t="s">
        <v>766</v>
      </c>
      <c r="G327" t="s">
        <v>37</v>
      </c>
      <c r="H327" t="s">
        <v>767</v>
      </c>
      <c r="I327" t="s">
        <v>367</v>
      </c>
      <c r="J327" s="6" t="str">
        <f>HYPERLINK("https://www.biovista.com/db/link/%5B%5B%22Disease%7CCongenital%20Myasthenic%20Syndrome%22%5D,%20%5B%22Pathway%7Cprogrammed%20cell%20death%22%5D%5D?strength-weight-map=%257B%2522MEDLINE_STRENGTH_AB%2522:1.0,%2522HPO%2522:100.0%257D", "Show Evidence...")</f>
        <v>Show Evidence...</v>
      </c>
    </row>
    <row r="328" spans="1:10" ht="12.75">
      <c r="A328" s="2" t="s">
        <v>50</v>
      </c>
      <c r="B328" s="2" t="s">
        <v>51</v>
      </c>
      <c r="C328" s="2" t="s">
        <v>24</v>
      </c>
      <c r="D328" s="2" t="s">
        <v>52</v>
      </c>
      <c r="E328" s="2" t="s">
        <v>704</v>
      </c>
      <c r="F328" s="11" t="s">
        <v>768</v>
      </c>
      <c r="G328" t="s">
        <v>37</v>
      </c>
      <c r="H328" t="s">
        <v>769</v>
      </c>
      <c r="I328" t="s">
        <v>770</v>
      </c>
      <c r="J328" s="6" t="str">
        <f>HYPERLINK("https://www.biovista.com/db/link/%5B%5B%22Disease%7CCongenital%20Myasthenic%20Syndrome%22%5D,%20%5B%22Pathway%7Cregeneration%22%5D%5D?strength-weight-map=%257B%2522MEDLINE_STRENGTH_AB%2522:1.0,%2522HPO%2522:100.0%257D", "Show Evidence...")</f>
        <v>Show Evidence...</v>
      </c>
    </row>
    <row r="329" spans="1:10" ht="12.75">
      <c r="A329" s="2" t="s">
        <v>50</v>
      </c>
      <c r="B329" s="2" t="s">
        <v>51</v>
      </c>
      <c r="C329" s="2" t="s">
        <v>24</v>
      </c>
      <c r="D329" s="2" t="s">
        <v>52</v>
      </c>
      <c r="E329" s="2" t="s">
        <v>704</v>
      </c>
      <c r="F329" s="11" t="s">
        <v>771</v>
      </c>
      <c r="G329" t="s">
        <v>37</v>
      </c>
      <c r="H329" t="s">
        <v>772</v>
      </c>
      <c r="I329" t="s">
        <v>98</v>
      </c>
      <c r="J329" s="6" t="str">
        <f>HYPERLINK("https://www.biovista.com/db/link/%5B%5B%22Disease%7CCongenital%20Myasthenic%20Syndrome%22%5D,%20%5B%22Pathway%7Cpollination%22%5D%5D?strength-weight-map=%257B%2522MEDLINE_STRENGTH_AB%2522:1.0,%2522HPO%2522:100.0%257D", "Show Evidence...")</f>
        <v>Show Evidence...</v>
      </c>
    </row>
    <row r="330" spans="1:10" ht="12.75">
      <c r="A330" s="2" t="s">
        <v>50</v>
      </c>
      <c r="B330" s="2" t="s">
        <v>51</v>
      </c>
      <c r="C330" s="2" t="s">
        <v>24</v>
      </c>
      <c r="D330" s="2" t="s">
        <v>52</v>
      </c>
      <c r="E330" s="2" t="s">
        <v>704</v>
      </c>
      <c r="F330" s="11" t="s">
        <v>773</v>
      </c>
      <c r="G330" t="s">
        <v>37</v>
      </c>
      <c r="H330" t="s">
        <v>774</v>
      </c>
      <c r="I330" t="s">
        <v>101</v>
      </c>
      <c r="J330" s="6" t="str">
        <f>HYPERLINK("https://www.biovista.com/db/link/%5B%5B%22Disease%7CCongenital%20Myasthenic%20Syndrome%22%5D,%20%5B%22Pathway%7Cmeiotic%20nuclear%20division%22%5D%5D?strength-weight-map=%257B%2522MEDLINE_STRENGTH_AB%2522:1.0,%2522HPO%2522:100.0%257D", "Show Evidence...")</f>
        <v>Show Evidence...</v>
      </c>
    </row>
    <row r="331" spans="1:10" ht="12.75">
      <c r="A331" s="2" t="s">
        <v>50</v>
      </c>
      <c r="B331" s="2" t="s">
        <v>51</v>
      </c>
      <c r="C331" s="2" t="s">
        <v>24</v>
      </c>
      <c r="D331" s="2" t="s">
        <v>52</v>
      </c>
      <c r="E331" s="2" t="s">
        <v>704</v>
      </c>
      <c r="F331" s="11" t="s">
        <v>775</v>
      </c>
      <c r="G331" t="s">
        <v>37</v>
      </c>
      <c r="H331" t="s">
        <v>776</v>
      </c>
      <c r="I331" t="s">
        <v>104</v>
      </c>
      <c r="J331" s="6" t="str">
        <f>HYPERLINK("https://www.biovista.com/db/link/%5B%5B%22Disease%7CCongenital%20Myasthenic%20Syndrome%22%5D,%20%5B%22Pathway%7Coxidative%20phosphorylation%22%5D%5D?strength-weight-map=%257B%2522MEDLINE_STRENGTH_AB%2522:1.0,%2522HPO%2522:100.0%257D", "Show Evidence...")</f>
        <v>Show Evidence...</v>
      </c>
    </row>
    <row r="332" spans="1:10" ht="12.75">
      <c r="A332" s="2" t="s">
        <v>50</v>
      </c>
      <c r="B332" s="2" t="s">
        <v>51</v>
      </c>
      <c r="C332" s="2" t="s">
        <v>24</v>
      </c>
      <c r="D332" s="2" t="s">
        <v>52</v>
      </c>
      <c r="E332" s="2" t="s">
        <v>704</v>
      </c>
      <c r="F332" s="11" t="s">
        <v>777</v>
      </c>
      <c r="G332" t="s">
        <v>37</v>
      </c>
      <c r="H332" t="s">
        <v>778</v>
      </c>
      <c r="I332" t="s">
        <v>112</v>
      </c>
      <c r="J332" s="6" t="str">
        <f>HYPERLINK("https://www.biovista.com/db/link/%5B%5B%22Disease%7CCongenital%20Myasthenic%20Syndrome%22%5D,%20%5B%22Pathway%7Cimmune%20response%22%5D%5D?strength-weight-map=%257B%2522MEDLINE_STRENGTH_AB%2522:1.0,%2522HPO%2522:100.0%257D", "Show Evidence...")</f>
        <v>Show Evidence...</v>
      </c>
    </row>
    <row r="333" spans="1:10" ht="12.75">
      <c r="A333" s="2" t="s">
        <v>50</v>
      </c>
      <c r="B333" s="2" t="s">
        <v>51</v>
      </c>
      <c r="C333" s="2" t="s">
        <v>24</v>
      </c>
      <c r="D333" s="2" t="s">
        <v>52</v>
      </c>
      <c r="E333" s="2" t="s">
        <v>704</v>
      </c>
      <c r="F333" s="11" t="s">
        <v>779</v>
      </c>
      <c r="G333" t="s">
        <v>37</v>
      </c>
      <c r="H333" t="s">
        <v>780</v>
      </c>
      <c r="I333" t="s">
        <v>119</v>
      </c>
      <c r="J333" s="6" t="str">
        <f>HYPERLINK("https://www.biovista.com/db/link/%5B%5B%22Disease%7CCongenital%20Myasthenic%20Syndrome%22%5D,%20%5B%22Pathway%7Cangiogenesis%22%5D%5D?strength-weight-map=%257B%2522MEDLINE_STRENGTH_AB%2522:1.0,%2522HPO%2522:100.0%257D", "Show Evidence...")</f>
        <v>Show Evidence...</v>
      </c>
    </row>
    <row r="334" spans="1:10" ht="12.75">
      <c r="A334" s="2" t="s">
        <v>50</v>
      </c>
      <c r="B334" s="2" t="s">
        <v>51</v>
      </c>
      <c r="C334" s="2" t="s">
        <v>24</v>
      </c>
      <c r="D334" s="2" t="s">
        <v>52</v>
      </c>
      <c r="E334" s="2" t="s">
        <v>704</v>
      </c>
      <c r="F334" s="11" t="s">
        <v>781</v>
      </c>
      <c r="G334" t="s">
        <v>37</v>
      </c>
      <c r="H334" t="s">
        <v>782</v>
      </c>
      <c r="I334" t="s">
        <v>119</v>
      </c>
      <c r="J334" s="6" t="str">
        <f>HYPERLINK("https://www.biovista.com/db/link/%5B%5B%22Disease%7CCongenital%20Myasthenic%20Syndrome%22%5D,%20%5B%22Pathway%7Cossification%22%5D%5D?strength-weight-map=%257B%2522MEDLINE_STRENGTH_AB%2522:1.0,%2522HPO%2522:100.0%257D", "Show Evidence...")</f>
        <v>Show Evidence...</v>
      </c>
    </row>
    <row r="335" spans="1:10" ht="12.75">
      <c r="A335" s="2" t="s">
        <v>50</v>
      </c>
      <c r="B335" s="2" t="s">
        <v>51</v>
      </c>
      <c r="C335" s="2" t="s">
        <v>24</v>
      </c>
      <c r="D335" s="2" t="s">
        <v>52</v>
      </c>
      <c r="E335" s="2" t="s">
        <v>704</v>
      </c>
      <c r="F335" s="11" t="s">
        <v>783</v>
      </c>
      <c r="G335" t="s">
        <v>37</v>
      </c>
      <c r="H335" t="s">
        <v>784</v>
      </c>
      <c r="I335" t="s">
        <v>119</v>
      </c>
      <c r="J335" s="6" t="str">
        <f>HYPERLINK("https://www.biovista.com/db/link/%5B%5B%22Disease%7CCongenital%20Myasthenic%20Syndrome%22%5D,%20%5B%22Pathway%7Cvisual%20perception%22%5D%5D?strength-weight-map=%257B%2522MEDLINE_STRENGTH_AB%2522:1.0,%2522HPO%2522:100.0%257D", "Show Evidence...")</f>
        <v>Show Evidence...</v>
      </c>
    </row>
    <row r="336" spans="1:10" ht="12.75">
      <c r="A336" s="2" t="s">
        <v>50</v>
      </c>
      <c r="B336" s="2" t="s">
        <v>51</v>
      </c>
      <c r="C336" s="2" t="s">
        <v>24</v>
      </c>
      <c r="D336" s="2" t="s">
        <v>52</v>
      </c>
      <c r="E336" s="2" t="s">
        <v>704</v>
      </c>
      <c r="F336" s="11" t="s">
        <v>785</v>
      </c>
      <c r="G336" t="s">
        <v>37</v>
      </c>
      <c r="H336" t="s">
        <v>786</v>
      </c>
      <c r="I336" t="s">
        <v>122</v>
      </c>
      <c r="J336" s="6" t="str">
        <f>HYPERLINK("https://www.biovista.com/db/link/%5B%5B%22Disease%7CCongenital%20Myasthenic%20Syndrome%22%5D,%20%5B%22Pathway%7Cepithelial%20to%20mesenchymal%20transition%22%5D%5D?strength-weight-map=%257B%2522MEDLINE_STRENGTH_AB%2522:1.0,%2522HPO%2522:100.0%257D", "Show Evidence...")</f>
        <v>Show Evidence...</v>
      </c>
    </row>
    <row r="337" spans="1:10" ht="12.75">
      <c r="A337" s="2" t="s">
        <v>50</v>
      </c>
      <c r="B337" s="2" t="s">
        <v>51</v>
      </c>
      <c r="C337" s="2" t="s">
        <v>24</v>
      </c>
      <c r="D337" s="2" t="s">
        <v>52</v>
      </c>
      <c r="E337" s="2" t="s">
        <v>704</v>
      </c>
      <c r="F337" s="11" t="s">
        <v>787</v>
      </c>
      <c r="G337" t="s">
        <v>37</v>
      </c>
      <c r="H337" t="s">
        <v>788</v>
      </c>
      <c r="I337" t="s">
        <v>122</v>
      </c>
      <c r="J337" s="6" t="str">
        <f>HYPERLINK("https://www.biovista.com/db/link/%5B%5B%22Disease%7CCongenital%20Myasthenic%20Syndrome%22%5D,%20%5B%22Pathway%7Cfeeding%20behavior%22%5D%5D?strength-weight-map=%257B%2522MEDLINE_STRENGTH_AB%2522:1.0,%2522HPO%2522:100.0%257D", "Show Evidence...")</f>
        <v>Show Evidence...</v>
      </c>
    </row>
    <row r="338" spans="1:10" ht="12.75">
      <c r="A338" s="2" t="s">
        <v>50</v>
      </c>
      <c r="B338" s="2" t="s">
        <v>51</v>
      </c>
      <c r="C338" s="2" t="s">
        <v>24</v>
      </c>
      <c r="D338" s="2" t="s">
        <v>52</v>
      </c>
      <c r="E338" s="2" t="s">
        <v>704</v>
      </c>
      <c r="F338" s="11" t="s">
        <v>789</v>
      </c>
      <c r="G338" t="s">
        <v>37</v>
      </c>
      <c r="H338" t="s">
        <v>790</v>
      </c>
      <c r="I338" t="s">
        <v>127</v>
      </c>
      <c r="J338" s="6" t="str">
        <f>HYPERLINK("https://www.biovista.com/db/link/%5B%5B%22Disease%7CCongenital%20Myasthenic%20Syndrome%22%5D,%20%5B%22Pathway%7Clocomotion%22%5D%5D?strength-weight-map=%257B%2522MEDLINE_STRENGTH_AB%2522:1.0,%2522HPO%2522:100.0%257D", "Show Evidence...")</f>
        <v>Show Evidence...</v>
      </c>
    </row>
    <row r="339" spans="1:10" ht="12.75">
      <c r="A339" s="2" t="s">
        <v>50</v>
      </c>
      <c r="B339" s="2" t="s">
        <v>51</v>
      </c>
      <c r="C339" s="2" t="s">
        <v>24</v>
      </c>
      <c r="D339" s="2" t="s">
        <v>52</v>
      </c>
      <c r="E339" s="2" t="s">
        <v>704</v>
      </c>
      <c r="F339" s="11" t="s">
        <v>791</v>
      </c>
      <c r="G339" t="s">
        <v>37</v>
      </c>
      <c r="H339" t="s">
        <v>792</v>
      </c>
      <c r="I339" t="s">
        <v>130</v>
      </c>
      <c r="J339" s="6" t="str">
        <f>HYPERLINK("https://www.biovista.com/db/link/%5B%5B%22Disease%7CCongenital%20Myasthenic%20Syndrome%22%5D,%20%5B%22Pathway%7Celectron%20transport%20chain%22%5D%5D?strength-weight-map=%257B%2522MEDLINE_STRENGTH_AB%2522:1.0,%2522HPO%2522:100.0%257D", "Show Evidence...")</f>
        <v>Show Evidence...</v>
      </c>
    </row>
    <row r="340" spans="1:10" ht="12.75">
      <c r="A340" s="2" t="s">
        <v>50</v>
      </c>
      <c r="B340" s="2" t="s">
        <v>51</v>
      </c>
      <c r="C340" s="2" t="s">
        <v>24</v>
      </c>
      <c r="D340" s="2" t="s">
        <v>52</v>
      </c>
      <c r="E340" s="2" t="s">
        <v>704</v>
      </c>
      <c r="F340" s="11" t="s">
        <v>793</v>
      </c>
      <c r="G340" t="s">
        <v>37</v>
      </c>
      <c r="H340" t="s">
        <v>794</v>
      </c>
      <c r="I340" t="s">
        <v>130</v>
      </c>
      <c r="J340" s="6" t="str">
        <f>HYPERLINK("https://www.biovista.com/db/link/%5B%5B%22Disease%7CCongenital%20Myasthenic%20Syndrome%22%5D,%20%5B%22Pathway%7Cerythrocyte%20differentiation%22%5D%5D?strength-weight-map=%257B%2522MEDLINE_STRENGTH_AB%2522:1.0,%2522HPO%2522:100.0%257D", "Show Evidence...")</f>
        <v>Show Evidence...</v>
      </c>
    </row>
    <row r="341" spans="1:10" ht="12.75">
      <c r="A341" s="2" t="s">
        <v>50</v>
      </c>
      <c r="B341" s="2" t="s">
        <v>51</v>
      </c>
      <c r="C341" s="2" t="s">
        <v>24</v>
      </c>
      <c r="D341" s="2" t="s">
        <v>52</v>
      </c>
      <c r="E341" s="2" t="s">
        <v>704</v>
      </c>
      <c r="F341" s="11" t="s">
        <v>795</v>
      </c>
      <c r="G341" t="s">
        <v>37</v>
      </c>
      <c r="H341" t="s">
        <v>796</v>
      </c>
      <c r="I341" t="s">
        <v>130</v>
      </c>
      <c r="J341" s="6" t="str">
        <f>HYPERLINK("https://www.biovista.com/db/link/%5B%5B%22Disease%7CCongenital%20Myasthenic%20Syndrome%22%5D,%20%5B%22Pathway%7CRNA%20splicing%22%5D%5D?strength-weight-map=%257B%2522MEDLINE_STRENGTH_AB%2522:1.0,%2522HPO%2522:100.0%257D", "Show Evidence...")</f>
        <v>Show Evidence...</v>
      </c>
    </row>
    <row r="342" spans="1:10" ht="12.75">
      <c r="A342" s="2" t="s">
        <v>50</v>
      </c>
      <c r="B342" s="2" t="s">
        <v>51</v>
      </c>
      <c r="C342" s="2" t="s">
        <v>24</v>
      </c>
      <c r="D342" s="2" t="s">
        <v>52</v>
      </c>
      <c r="E342" s="2" t="s">
        <v>717</v>
      </c>
      <c r="F342" s="11" t="s">
        <v>797</v>
      </c>
      <c r="G342" t="s">
        <v>37</v>
      </c>
      <c r="H342" t="s">
        <v>798</v>
      </c>
      <c r="I342" t="s">
        <v>130</v>
      </c>
      <c r="J342" s="6" t="str">
        <f>HYPERLINK("https://www.biovista.com/db/link/%5B%5B%22Disease%7CCongenital%20Myasthenic%20Syndrome%22%5D,%20%5B%22Pathway%7Csignal%20transmission%22%5D%5D?strength-weight-map=%257B%2522MEDLINE_STRENGTH_AB%2522:1.0,%2522HPO%2522:100.0%257D", "Show Evidence...")</f>
        <v>Show Evidence...</v>
      </c>
    </row>
    <row r="343" spans="1:10" ht="12.75">
      <c r="A343" s="2" t="s">
        <v>50</v>
      </c>
      <c r="B343" s="2" t="s">
        <v>51</v>
      </c>
      <c r="C343" s="2" t="s">
        <v>24</v>
      </c>
      <c r="D343" s="2" t="s">
        <v>52</v>
      </c>
      <c r="E343" s="2" t="s">
        <v>704</v>
      </c>
      <c r="F343" s="11" t="s">
        <v>799</v>
      </c>
      <c r="G343" t="s">
        <v>37</v>
      </c>
      <c r="H343" t="s">
        <v>800</v>
      </c>
      <c r="I343" t="s">
        <v>137</v>
      </c>
      <c r="J343" s="6" t="str">
        <f>HYPERLINK("https://www.biovista.com/db/link/%5B%5B%22Disease%7CCongenital%20Myasthenic%20Syndrome%22%5D,%20%5B%22Pathway%7Clipid%20metabolic%20process%22%5D%5D?strength-weight-map=%257B%2522MEDLINE_STRENGTH_AB%2522:1.0,%2522HPO%2522:100.0%257D", "Show Evidence...")</f>
        <v>Show Evidence...</v>
      </c>
    </row>
    <row r="344" spans="1:10" ht="12.75">
      <c r="A344" s="2" t="s">
        <v>50</v>
      </c>
      <c r="B344" s="2" t="s">
        <v>51</v>
      </c>
      <c r="C344" s="2" t="s">
        <v>24</v>
      </c>
      <c r="D344" s="2" t="s">
        <v>52</v>
      </c>
      <c r="E344" s="2" t="s">
        <v>704</v>
      </c>
      <c r="F344" s="11" t="s">
        <v>801</v>
      </c>
      <c r="G344" t="s">
        <v>37</v>
      </c>
      <c r="H344" t="s">
        <v>802</v>
      </c>
      <c r="I344" t="s">
        <v>146</v>
      </c>
      <c r="J344" s="6" t="str">
        <f>HYPERLINK("https://www.biovista.com/db/link/%5B%5B%22Disease%7CCongenital%20Myasthenic%20Syndrome%22%5D,%20%5B%22Pathway%7Csecretion%22%5D%5D?strength-weight-map=%257B%2522MEDLINE_STRENGTH_AB%2522:1.0,%2522HPO%2522:100.0%257D", "Show Evidence...")</f>
        <v>Show Evidence...</v>
      </c>
    </row>
    <row r="345" spans="1:10" ht="12.75">
      <c r="A345" s="2" t="s">
        <v>50</v>
      </c>
      <c r="B345" s="2" t="s">
        <v>51</v>
      </c>
      <c r="C345" s="2" t="s">
        <v>24</v>
      </c>
      <c r="D345" s="2" t="s">
        <v>52</v>
      </c>
      <c r="E345" s="2" t="s">
        <v>704</v>
      </c>
      <c r="F345" s="11" t="s">
        <v>803</v>
      </c>
      <c r="G345" t="s">
        <v>37</v>
      </c>
      <c r="H345" t="s">
        <v>804</v>
      </c>
      <c r="I345" t="s">
        <v>151</v>
      </c>
      <c r="J345" s="6" t="str">
        <f>HYPERLINK("https://www.biovista.com/db/link/%5B%5B%22Disease%7CCongenital%20Myasthenic%20Syndrome%22%5D,%20%5B%22Pathway%7Ccell%20cycle%22%5D%5D?strength-weight-map=%257B%2522MEDLINE_STRENGTH_AB%2522:1.0,%2522HPO%2522:100.0%257D", "Show Evidence...")</f>
        <v>Show Evidence...</v>
      </c>
    </row>
    <row r="346" spans="1:10" ht="12.75">
      <c r="A346" s="2" t="s">
        <v>50</v>
      </c>
      <c r="B346" s="2" t="s">
        <v>51</v>
      </c>
      <c r="C346" s="2" t="s">
        <v>24</v>
      </c>
      <c r="D346" s="2" t="s">
        <v>52</v>
      </c>
      <c r="E346" s="2" t="s">
        <v>704</v>
      </c>
      <c r="F346" s="11" t="s">
        <v>805</v>
      </c>
      <c r="G346" t="s">
        <v>37</v>
      </c>
      <c r="H346" t="s">
        <v>806</v>
      </c>
      <c r="I346" t="s">
        <v>151</v>
      </c>
      <c r="J346" s="6" t="str">
        <f>HYPERLINK("https://www.biovista.com/db/link/%5B%5B%22Disease%7CCongenital%20Myasthenic%20Syndrome%22%5D,%20%5B%22Pathway%7Chomologous%20recombination%22%5D%5D?strength-weight-map=%257B%2522MEDLINE_STRENGTH_AB%2522:1.0,%2522HPO%2522:100.0%257D", "Show Evidence...")</f>
        <v>Show Evidence...</v>
      </c>
    </row>
    <row r="347" spans="1:10" ht="12.75">
      <c r="A347" s="2" t="s">
        <v>50</v>
      </c>
      <c r="B347" s="2" t="s">
        <v>51</v>
      </c>
      <c r="C347" s="2" t="s">
        <v>24</v>
      </c>
      <c r="D347" s="2" t="s">
        <v>52</v>
      </c>
      <c r="E347" s="2" t="s">
        <v>704</v>
      </c>
      <c r="F347" s="11" t="s">
        <v>807</v>
      </c>
      <c r="G347" t="s">
        <v>37</v>
      </c>
      <c r="H347" t="s">
        <v>808</v>
      </c>
      <c r="I347" t="s">
        <v>151</v>
      </c>
      <c r="J347" s="6" t="str">
        <f>HYPERLINK("https://www.biovista.com/db/link/%5B%5B%22Disease%7CCongenital%20Myasthenic%20Syndrome%22%5D,%20%5B%22Pathway%7Clactation%22%5D%5D?strength-weight-map=%257B%2522MEDLINE_STRENGTH_AB%2522:1.0,%2522HPO%2522:100.0%257D", "Show Evidence...")</f>
        <v>Show Evidence...</v>
      </c>
    </row>
    <row r="348" spans="1:10" ht="12.75">
      <c r="A348" s="2" t="s">
        <v>50</v>
      </c>
      <c r="B348" s="2" t="s">
        <v>51</v>
      </c>
      <c r="C348" s="2" t="s">
        <v>24</v>
      </c>
      <c r="D348" s="2" t="s">
        <v>52</v>
      </c>
      <c r="E348" s="2" t="s">
        <v>704</v>
      </c>
      <c r="F348" s="11" t="s">
        <v>809</v>
      </c>
      <c r="G348" t="s">
        <v>37</v>
      </c>
      <c r="H348" t="s">
        <v>810</v>
      </c>
      <c r="I348" t="s">
        <v>151</v>
      </c>
      <c r="J348" s="6" t="str">
        <f>HYPERLINK("https://www.biovista.com/db/link/%5B%5B%22Disease%7CCongenital%20Myasthenic%20Syndrome%22%5D,%20%5B%22Pathway%7Cresponse%20to%20stress%22%5D%5D?strength-weight-map=%257B%2522MEDLINE_STRENGTH_AB%2522:1.0,%2522HPO%2522:100.0%257D", "Show Evidence...")</f>
        <v>Show Evidence...</v>
      </c>
    </row>
    <row r="349" spans="1:10" ht="12.75">
      <c r="A349" s="2" t="s">
        <v>50</v>
      </c>
      <c r="B349" s="2" t="s">
        <v>51</v>
      </c>
      <c r="C349" s="2" t="s">
        <v>24</v>
      </c>
      <c r="D349" s="2" t="s">
        <v>52</v>
      </c>
      <c r="E349" s="2" t="s">
        <v>704</v>
      </c>
      <c r="F349" s="11" t="s">
        <v>811</v>
      </c>
      <c r="G349" t="s">
        <v>37</v>
      </c>
      <c r="H349" t="s">
        <v>812</v>
      </c>
      <c r="I349" t="s">
        <v>151</v>
      </c>
      <c r="J349" s="6" t="str">
        <f>HYPERLINK("https://www.biovista.com/db/link/%5B%5B%22Disease%7CCongenital%20Myasthenic%20Syndrome%22%5D,%20%5B%22Pathway%7Ctricarboxylic%20acid%20cycle%22%5D%5D?strength-weight-map=%257B%2522MEDLINE_STRENGTH_AB%2522:1.0,%2522HPO%2522:100.0%257D", "Show Evidence...")</f>
        <v>Show Evidence...</v>
      </c>
    </row>
    <row r="350" spans="1:10" ht="12.75">
      <c r="A350" s="2" t="s">
        <v>50</v>
      </c>
      <c r="B350" s="2" t="s">
        <v>51</v>
      </c>
      <c r="C350" s="2" t="s">
        <v>24</v>
      </c>
      <c r="D350" s="2" t="s">
        <v>52</v>
      </c>
      <c r="E350" s="2" t="s">
        <v>704</v>
      </c>
      <c r="F350" s="11" t="s">
        <v>813</v>
      </c>
      <c r="G350" t="s">
        <v>37</v>
      </c>
      <c r="H350" t="s">
        <v>814</v>
      </c>
      <c r="I350" t="s">
        <v>154</v>
      </c>
      <c r="J350" s="6" t="str">
        <f>HYPERLINK("https://www.biovista.com/db/link/%5B%5B%22Disease%7CCongenital%20Myasthenic%20Syndrome%22%5D,%20%5B%22Pathway%7Ccell%20division%22%5D%5D?strength-weight-map=%257B%2522MEDLINE_STRENGTH_AB%2522:1.0,%2522HPO%2522:100.0%257D", "Show Evidence...")</f>
        <v>Show Evidence...</v>
      </c>
    </row>
    <row r="351" spans="1:10" ht="12.75">
      <c r="A351" s="2" t="s">
        <v>50</v>
      </c>
      <c r="B351" s="2" t="s">
        <v>51</v>
      </c>
      <c r="C351" s="2" t="s">
        <v>24</v>
      </c>
      <c r="D351" s="2" t="s">
        <v>52</v>
      </c>
      <c r="E351" s="2" t="s">
        <v>704</v>
      </c>
      <c r="F351" s="11" t="s">
        <v>815</v>
      </c>
      <c r="G351" t="s">
        <v>37</v>
      </c>
      <c r="H351" t="s">
        <v>816</v>
      </c>
      <c r="I351" t="s">
        <v>154</v>
      </c>
      <c r="J351" s="6" t="str">
        <f>HYPERLINK("https://www.biovista.com/db/link/%5B%5B%22Disease%7CCongenital%20Myasthenic%20Syndrome%22%5D,%20%5B%22Pathway%7Ccircadian%20rhythm%22%5D%5D?strength-weight-map=%257B%2522MEDLINE_STRENGTH_AB%2522:1.0,%2522HPO%2522:100.0%257D", "Show Evidence...")</f>
        <v>Show Evidence...</v>
      </c>
    </row>
    <row r="352" spans="1:10" ht="12.75">
      <c r="A352" s="2" t="s">
        <v>50</v>
      </c>
      <c r="B352" s="2" t="s">
        <v>51</v>
      </c>
      <c r="C352" s="2" t="s">
        <v>24</v>
      </c>
      <c r="D352" s="2" t="s">
        <v>52</v>
      </c>
      <c r="E352" s="2" t="s">
        <v>704</v>
      </c>
      <c r="F352" s="11" t="s">
        <v>817</v>
      </c>
      <c r="G352" t="s">
        <v>37</v>
      </c>
      <c r="H352" t="s">
        <v>818</v>
      </c>
      <c r="I352" t="s">
        <v>154</v>
      </c>
      <c r="J352" s="6" t="str">
        <f>HYPERLINK("https://www.biovista.com/db/link/%5B%5B%22Disease%7CCongenital%20Myasthenic%20Syndrome%22%5D,%20%5B%22Pathway%7Cmicrosporogenesis%22%5D%5D?strength-weight-map=%257B%2522MEDLINE_STRENGTH_AB%2522:1.0,%2522HPO%2522:100.0%257D", "Show Evidence...")</f>
        <v>Show Evidence...</v>
      </c>
    </row>
    <row r="353" spans="1:10" ht="12.75">
      <c r="A353" s="2" t="s">
        <v>50</v>
      </c>
      <c r="B353" s="2" t="s">
        <v>51</v>
      </c>
      <c r="C353" s="2" t="s">
        <v>24</v>
      </c>
      <c r="D353" s="2" t="s">
        <v>52</v>
      </c>
      <c r="E353" s="2" t="s">
        <v>704</v>
      </c>
      <c r="F353" s="11" t="s">
        <v>819</v>
      </c>
      <c r="G353" t="s">
        <v>37</v>
      </c>
      <c r="H353" t="s">
        <v>820</v>
      </c>
      <c r="I353" t="s">
        <v>157</v>
      </c>
      <c r="J353" s="6" t="str">
        <f>HYPERLINK("https://www.biovista.com/db/link/%5B%5B%22Disease%7CCongenital%20Myasthenic%20Syndrome%22%5D,%20%5B%22Pathway%7Ccell%20adhesion%22%5D%5D?strength-weight-map=%257B%2522MEDLINE_STRENGTH_AB%2522:1.0,%2522HPO%2522:100.0%257D", "Show Evidence...")</f>
        <v>Show Evidence...</v>
      </c>
    </row>
    <row r="354" spans="1:10" ht="12.75">
      <c r="A354" s="2" t="s">
        <v>50</v>
      </c>
      <c r="B354" s="2" t="s">
        <v>51</v>
      </c>
      <c r="C354" s="2" t="s">
        <v>24</v>
      </c>
      <c r="D354" s="2" t="s">
        <v>52</v>
      </c>
      <c r="E354" s="2" t="s">
        <v>704</v>
      </c>
      <c r="F354" s="11" t="s">
        <v>821</v>
      </c>
      <c r="G354" t="s">
        <v>37</v>
      </c>
      <c r="H354" t="s">
        <v>822</v>
      </c>
      <c r="I354" t="s">
        <v>157</v>
      </c>
      <c r="J354" s="6" t="str">
        <f>HYPERLINK("https://www.biovista.com/db/link/%5B%5B%22Disease%7CCongenital%20Myasthenic%20Syndrome%22%5D,%20%5B%22Pathway%7Cfemale%20pregnancy%22%5D%5D?strength-weight-map=%257B%2522MEDLINE_STRENGTH_AB%2522:1.0,%2522HPO%2522:100.0%257D", "Show Evidence...")</f>
        <v>Show Evidence...</v>
      </c>
    </row>
    <row r="355" spans="1:10" ht="12.75">
      <c r="A355" s="2" t="s">
        <v>50</v>
      </c>
      <c r="B355" s="2" t="s">
        <v>51</v>
      </c>
      <c r="C355" s="2" t="s">
        <v>24</v>
      </c>
      <c r="D355" s="2" t="s">
        <v>52</v>
      </c>
      <c r="E355" s="2" t="s">
        <v>704</v>
      </c>
      <c r="F355" s="11" t="s">
        <v>823</v>
      </c>
      <c r="G355" t="s">
        <v>37</v>
      </c>
      <c r="H355" t="s">
        <v>824</v>
      </c>
      <c r="I355" t="s">
        <v>157</v>
      </c>
      <c r="J355" s="6" t="str">
        <f>HYPERLINK("https://www.biovista.com/db/link/%5B%5B%22Disease%7CCongenital%20Myasthenic%20Syndrome%22%5D,%20%5B%22Pathway%7Cglycolytic%20process%22%5D%5D?strength-weight-map=%257B%2522MEDLINE_STRENGTH_AB%2522:1.0,%2522HPO%2522:100.0%257D", "Show Evidence...")</f>
        <v>Show Evidence...</v>
      </c>
    </row>
    <row r="356" spans="1:10" ht="12.75">
      <c r="A356" s="2" t="s">
        <v>50</v>
      </c>
      <c r="B356" s="2" t="s">
        <v>51</v>
      </c>
      <c r="C356" s="2" t="s">
        <v>24</v>
      </c>
      <c r="D356" s="2" t="s">
        <v>52</v>
      </c>
      <c r="E356" s="2" t="s">
        <v>704</v>
      </c>
      <c r="F356" s="11" t="s">
        <v>825</v>
      </c>
      <c r="G356" t="s">
        <v>37</v>
      </c>
      <c r="H356" t="s">
        <v>826</v>
      </c>
      <c r="I356" t="s">
        <v>157</v>
      </c>
      <c r="J356" s="6" t="str">
        <f>HYPERLINK("https://www.biovista.com/db/link/%5B%5B%22Disease%7CCongenital%20Myasthenic%20Syndrome%22%5D,%20%5B%22Pathway%7Cprotein%20transport%22%5D%5D?strength-weight-map=%257B%2522MEDLINE_STRENGTH_AB%2522:1.0,%2522HPO%2522:100.0%257D", "Show Evidence...")</f>
        <v>Show Evidence...</v>
      </c>
    </row>
    <row r="357" spans="1:10" ht="12.75">
      <c r="A357" s="2" t="s">
        <v>50</v>
      </c>
      <c r="B357" s="2" t="s">
        <v>51</v>
      </c>
      <c r="C357" s="2" t="s">
        <v>24</v>
      </c>
      <c r="D357" s="2" t="s">
        <v>52</v>
      </c>
      <c r="E357" s="2" t="s">
        <v>704</v>
      </c>
      <c r="F357" s="11" t="s">
        <v>827</v>
      </c>
      <c r="G357" t="s">
        <v>37</v>
      </c>
      <c r="H357" t="s">
        <v>828</v>
      </c>
      <c r="I357" t="s">
        <v>157</v>
      </c>
      <c r="J357" s="6" t="s">
        <v>829</v>
      </c>
    </row>
    <row r="358" spans="1:10" ht="12.75">
      <c r="A358" s="2" t="s">
        <v>50</v>
      </c>
      <c r="B358" s="2" t="s">
        <v>51</v>
      </c>
      <c r="C358" s="2" t="s">
        <v>24</v>
      </c>
      <c r="D358" s="2" t="s">
        <v>52</v>
      </c>
      <c r="E358" s="2" t="s">
        <v>704</v>
      </c>
      <c r="F358" s="11" t="s">
        <v>830</v>
      </c>
      <c r="G358" t="s">
        <v>37</v>
      </c>
      <c r="H358" t="s">
        <v>831</v>
      </c>
      <c r="I358" t="s">
        <v>162</v>
      </c>
      <c r="J358" s="6" t="str">
        <f>HYPERLINK("https://www.biovista.com/db/link/%5B%5B%22Disease%7CCongenital%20Myasthenic%20Syndrome%22%5D,%20%5B%22Pathway%7Cresponse%20to%20xenobiotic%20stimulus%22%5D%5D?strength-weight-map=%257B%2522MEDLINE_STRENGTH_AB%2522:1.0,%2522HPO%2522:100.0%257D", "Show Evidence...")</f>
        <v>Show Evidence...</v>
      </c>
    </row>
    <row r="359" spans="1:10" ht="12.75">
      <c r="A359" s="2" t="s">
        <v>50</v>
      </c>
      <c r="B359" s="2" t="s">
        <v>51</v>
      </c>
      <c r="C359" s="2" t="s">
        <v>24</v>
      </c>
      <c r="D359" s="2" t="s">
        <v>52</v>
      </c>
      <c r="E359" s="2" t="s">
        <v>704</v>
      </c>
      <c r="F359" s="11" t="s">
        <v>832</v>
      </c>
      <c r="G359" t="s">
        <v>37</v>
      </c>
      <c r="H359" t="s">
        <v>833</v>
      </c>
      <c r="I359" t="s">
        <v>165</v>
      </c>
      <c r="J359" s="6" t="str">
        <f>HYPERLINK("https://www.biovista.com/db/link/%5B%5B%22Disease%7CCongenital%20Myasthenic%20Syndrome%22%5D,%20%5B%22Pathway%7Cplasma%20membrane%20invagination%22%5D%5D?strength-weight-map=%257B%2522MEDLINE_STRENGTH_AB%2522:1.0,%2522HPO%2522:100.0%257D", "Show Evidence...")</f>
        <v>Show Evidence...</v>
      </c>
    </row>
    <row r="360" spans="1:10" ht="12.75">
      <c r="A360" s="2" t="s">
        <v>50</v>
      </c>
      <c r="B360" s="2" t="s">
        <v>51</v>
      </c>
      <c r="C360" s="2" t="s">
        <v>24</v>
      </c>
      <c r="D360" s="2" t="s">
        <v>52</v>
      </c>
      <c r="E360" s="2" t="s">
        <v>704</v>
      </c>
      <c r="F360" s="11" t="s">
        <v>834</v>
      </c>
      <c r="G360" t="s">
        <v>37</v>
      </c>
      <c r="H360" t="s">
        <v>835</v>
      </c>
      <c r="I360" t="s">
        <v>165</v>
      </c>
      <c r="J360" s="6" t="str">
        <f>HYPERLINK("https://www.biovista.com/db/link/%5B%5B%22Disease%7CCongenital%20Myasthenic%20Syndrome%22%5D,%20%5B%22Pathway%7Csensory%20perception%20of%20sound%22%5D%5D?strength-weight-map=%257B%2522MEDLINE_STRENGTH_AB%2522:1.0,%2522HPO%2522:100.0%257D", "Show Evidence...")</f>
        <v>Show Evidence...</v>
      </c>
    </row>
    <row r="361" spans="1:10" ht="12.75">
      <c r="A361" s="2" t="s">
        <v>50</v>
      </c>
      <c r="B361" s="2" t="s">
        <v>51</v>
      </c>
      <c r="C361" s="2" t="s">
        <v>24</v>
      </c>
      <c r="D361" s="2" t="s">
        <v>52</v>
      </c>
      <c r="E361" s="2" t="s">
        <v>704</v>
      </c>
      <c r="F361" s="11" t="s">
        <v>836</v>
      </c>
      <c r="G361" t="s">
        <v>37</v>
      </c>
      <c r="H361" t="s">
        <v>837</v>
      </c>
      <c r="I361" t="s">
        <v>838</v>
      </c>
      <c r="J361" s="6" t="str">
        <f>HYPERLINK("https://www.biovista.com/db/link/%5B%5B%22Disease%7CCongenital%20Myasthenic%20Syndrome%22%5D,%20%5B%22Pathway%7Cautophagy%22%5D%5D?strength-weight-map=%257B%2522MEDLINE_STRENGTH_AB%2522:1.0,%2522HPO%2522:100.0%257D", "Show Evidence...")</f>
        <v>Show Evidence...</v>
      </c>
    </row>
    <row r="362" spans="1:10" ht="12.75">
      <c r="A362" s="2" t="s">
        <v>50</v>
      </c>
      <c r="B362" s="2" t="s">
        <v>51</v>
      </c>
      <c r="C362" s="2" t="s">
        <v>24</v>
      </c>
      <c r="D362" s="2" t="s">
        <v>52</v>
      </c>
      <c r="E362" s="2" t="s">
        <v>704</v>
      </c>
      <c r="F362" s="11" t="s">
        <v>839</v>
      </c>
      <c r="G362" t="s">
        <v>37</v>
      </c>
      <c r="H362" t="s">
        <v>840</v>
      </c>
      <c r="I362" t="s">
        <v>838</v>
      </c>
      <c r="J362" s="6" t="str">
        <f>HYPERLINK("https://www.biovista.com/db/link/%5B%5B%22Disease%7CCongenital%20Myasthenic%20Syndrome%22%5D,%20%5B%22Pathway%7Ccell%20motility%22%5D%5D?strength-weight-map=%257B%2522MEDLINE_STRENGTH_AB%2522:1.0,%2522HPO%2522:100.0%257D", "Show Evidence...")</f>
        <v>Show Evidence...</v>
      </c>
    </row>
    <row r="363" spans="1:10" ht="12.75">
      <c r="A363" s="2" t="s">
        <v>50</v>
      </c>
      <c r="B363" s="2" t="s">
        <v>51</v>
      </c>
      <c r="C363" s="2" t="s">
        <v>24</v>
      </c>
      <c r="D363" s="2" t="s">
        <v>52</v>
      </c>
      <c r="E363" s="2" t="s">
        <v>704</v>
      </c>
      <c r="F363" s="11" t="s">
        <v>841</v>
      </c>
      <c r="G363" t="s">
        <v>37</v>
      </c>
      <c r="H363" t="s">
        <v>842</v>
      </c>
      <c r="I363" t="s">
        <v>170</v>
      </c>
      <c r="J363" s="6" t="str">
        <f>HYPERLINK("https://www.biovista.com/db/link/%5B%5B%22Disease%7CCongenital%20Myasthenic%20Syndrome%22%5D,%20%5B%22Pathway%7Ccarbohydrate%20metabolic%20process%22%5D%5D?strength-weight-map=%257B%2522MEDLINE_STRENGTH_AB%2522:1.0,%2522HPO%2522:100.0%257D", "Show Evidence...")</f>
        <v>Show Evidence...</v>
      </c>
    </row>
    <row r="364" spans="1:10" ht="12.75">
      <c r="A364" s="2" t="s">
        <v>50</v>
      </c>
      <c r="B364" s="2" t="s">
        <v>51</v>
      </c>
      <c r="C364" s="2" t="s">
        <v>24</v>
      </c>
      <c r="D364" s="2" t="s">
        <v>52</v>
      </c>
      <c r="E364" s="2" t="s">
        <v>704</v>
      </c>
      <c r="F364" s="11" t="s">
        <v>843</v>
      </c>
      <c r="G364" t="s">
        <v>37</v>
      </c>
      <c r="H364" t="s">
        <v>844</v>
      </c>
      <c r="I364" t="s">
        <v>170</v>
      </c>
      <c r="J364" s="6" t="str">
        <f>HYPERLINK("https://www.biovista.com/db/link/%5B%5B%22Disease%7CCongenital%20Myasthenic%20Syndrome%22%5D,%20%5B%22Pathway%7Cflower%20development%22%5D%5D?strength-weight-map=%257B%2522MEDLINE_STRENGTH_AB%2522:1.0,%2522HPO%2522:100.0%257D", "Show Evidence...")</f>
        <v>Show Evidence...</v>
      </c>
    </row>
    <row r="365" spans="1:10" ht="12.75">
      <c r="A365" s="2" t="s">
        <v>50</v>
      </c>
      <c r="B365" s="2" t="s">
        <v>51</v>
      </c>
      <c r="C365" s="2" t="s">
        <v>24</v>
      </c>
      <c r="D365" s="2" t="s">
        <v>52</v>
      </c>
      <c r="E365" s="2" t="s">
        <v>704</v>
      </c>
      <c r="F365" s="11" t="s">
        <v>845</v>
      </c>
      <c r="G365" t="s">
        <v>37</v>
      </c>
      <c r="H365" t="s">
        <v>846</v>
      </c>
      <c r="I365" t="s">
        <v>170</v>
      </c>
      <c r="J365" t="s">
        <v>847</v>
      </c>
    </row>
    <row r="366" spans="1:10" ht="12.75">
      <c r="A366" s="2" t="s">
        <v>50</v>
      </c>
      <c r="B366" s="2" t="s">
        <v>51</v>
      </c>
      <c r="C366" s="2" t="s">
        <v>24</v>
      </c>
      <c r="D366" s="2" t="s">
        <v>52</v>
      </c>
      <c r="E366" s="2" t="s">
        <v>704</v>
      </c>
      <c r="F366" s="11" t="s">
        <v>848</v>
      </c>
      <c r="G366" t="s">
        <v>37</v>
      </c>
      <c r="H366" t="s">
        <v>849</v>
      </c>
      <c r="I366" t="s">
        <v>170</v>
      </c>
      <c r="J366" s="6" t="str">
        <f>HYPERLINK("https://www.biovista.com/db/link/%5B%5B%22Disease%7CCongenital%20Myasthenic%20Syndrome%22%5D,%20%5B%22Pathway%7CRNA%20processing%22%5D%5D?strength-weight-map=%257B%2522MEDLINE_STRENGTH_AB%2522:1.0,%2522HPO%2522:100.0%257D", "Show Evidence...")</f>
        <v>Show Evidence...</v>
      </c>
    </row>
    <row r="367" spans="1:10" ht="12.75">
      <c r="A367" s="2" t="s">
        <v>50</v>
      </c>
      <c r="B367" s="2" t="s">
        <v>51</v>
      </c>
      <c r="C367" s="2" t="s">
        <v>24</v>
      </c>
      <c r="D367" s="2" t="s">
        <v>52</v>
      </c>
      <c r="E367" s="2" t="s">
        <v>704</v>
      </c>
      <c r="F367" s="11" t="s">
        <v>850</v>
      </c>
      <c r="G367" t="s">
        <v>37</v>
      </c>
      <c r="H367" t="s">
        <v>851</v>
      </c>
      <c r="I367" t="s">
        <v>170</v>
      </c>
      <c r="J367" s="6" t="str">
        <f>HYPERLINK("https://www.biovista.com/db/link/%5B%5B%22Disease%7CCongenital%20Myasthenic%20Syndrome%22%5D,%20%5B%22Pathway%7Csynapse%20assembly%22%5D%5D?strength-weight-map=%257B%2522MEDLINE_STRENGTH_AB%2522:1.0,%2522HPO%2522:100.0%257D", "Show Evidence...")</f>
        <v>Show Evidence...</v>
      </c>
    </row>
    <row r="368" spans="1:10" ht="12.75">
      <c r="A368" s="2" t="s">
        <v>50</v>
      </c>
      <c r="B368" s="2" t="s">
        <v>51</v>
      </c>
      <c r="C368" s="2" t="s">
        <v>24</v>
      </c>
      <c r="D368" s="2" t="s">
        <v>52</v>
      </c>
      <c r="E368" s="2" t="s">
        <v>704</v>
      </c>
      <c r="F368" s="11" t="s">
        <v>852</v>
      </c>
      <c r="G368" t="s">
        <v>37</v>
      </c>
      <c r="H368" t="s">
        <v>853</v>
      </c>
      <c r="I368" t="s">
        <v>177</v>
      </c>
      <c r="J368" s="6" t="str">
        <f>HYPERLINK("https://www.biovista.com/db/link/%5B%5B%22Disease%7CCongenital%20Myasthenic%20Syndrome%22%5D,%20%5B%22Pathway%7Cclathrin-dependent%20endocytosis%22%5D%5D?strength-weight-map=%257B%2522MEDLINE_STRENGTH_AB%2522:1.0,%2522HPO%2522:100.0%257D", "Show Evidence...")</f>
        <v>Show Evidence...</v>
      </c>
    </row>
    <row r="369" spans="1:10" ht="12.75">
      <c r="A369" s="2" t="s">
        <v>50</v>
      </c>
      <c r="B369" s="2" t="s">
        <v>51</v>
      </c>
      <c r="C369" s="2" t="s">
        <v>24</v>
      </c>
      <c r="D369" s="2" t="s">
        <v>52</v>
      </c>
      <c r="E369" s="2" t="s">
        <v>704</v>
      </c>
      <c r="F369" s="11" t="s">
        <v>854</v>
      </c>
      <c r="G369" t="s">
        <v>37</v>
      </c>
      <c r="H369" t="s">
        <v>855</v>
      </c>
      <c r="I369" t="s">
        <v>177</v>
      </c>
      <c r="J369" s="6" t="str">
        <f>HYPERLINK("https://www.biovista.com/db/link/%5B%5B%22Disease%7CCongenital%20Myasthenic%20Syndrome%22%5D,%20%5B%22Pathway%7Cfermentation%22%5D%5D?strength-weight-map=%257B%2522MEDLINE_STRENGTH_AB%2522:1.0,%2522HPO%2522:100.0%257D", "Show Evidence...")</f>
        <v>Show Evidence...</v>
      </c>
    </row>
    <row r="370" spans="1:10" ht="12.75">
      <c r="A370" s="2" t="s">
        <v>50</v>
      </c>
      <c r="B370" s="2" t="s">
        <v>51</v>
      </c>
      <c r="C370" s="2" t="s">
        <v>24</v>
      </c>
      <c r="D370" s="2" t="s">
        <v>52</v>
      </c>
      <c r="E370" s="2" t="s">
        <v>717</v>
      </c>
      <c r="F370" s="11" t="s">
        <v>856</v>
      </c>
      <c r="G370" t="s">
        <v>37</v>
      </c>
      <c r="H370" t="s">
        <v>857</v>
      </c>
      <c r="I370" t="s">
        <v>177</v>
      </c>
      <c r="J370" s="6" t="str">
        <f>HYPERLINK("https://www.biovista.com/db/link/%5B%5B%22Disease%7CCongenital%20Myasthenic%20Syndrome%22%5D,%20%5B%22Pathway%7Cgermination%22%5D%5D?strength-weight-map=%257B%2522MEDLINE_STRENGTH_AB%2522:1.0,%2522HPO%2522:100.0%257D", "Show Evidence...")</f>
        <v>Show Evidence...</v>
      </c>
    </row>
    <row r="371" spans="1:10" ht="12.75">
      <c r="A371" s="2" t="s">
        <v>50</v>
      </c>
      <c r="B371" s="2" t="s">
        <v>51</v>
      </c>
      <c r="C371" s="2" t="s">
        <v>24</v>
      </c>
      <c r="D371" s="2" t="s">
        <v>52</v>
      </c>
      <c r="E371" s="2" t="s">
        <v>704</v>
      </c>
      <c r="F371" s="11" t="s">
        <v>858</v>
      </c>
      <c r="G371" t="s">
        <v>37</v>
      </c>
      <c r="H371" t="s">
        <v>859</v>
      </c>
      <c r="I371" t="s">
        <v>177</v>
      </c>
      <c r="J371" s="6" t="str">
        <f>HYPERLINK("https://www.biovista.com/db/link/%5B%5B%22Disease%7CCongenital%20Myasthenic%20Syndrome%22%5D,%20%5B%22Pathway%7Cmating%22%5D%5D?strength-weight-map=%257B%2522MEDLINE_STRENGTH_AB%2522:1.0,%2522HPO%2522:100.0%257D", "Show Evidence...")</f>
        <v>Show Evidence...</v>
      </c>
    </row>
    <row r="372" spans="1:10" ht="12.75">
      <c r="A372" s="2" t="s">
        <v>50</v>
      </c>
      <c r="B372" s="2" t="s">
        <v>51</v>
      </c>
      <c r="C372" s="2" t="s">
        <v>24</v>
      </c>
      <c r="D372" s="2" t="s">
        <v>52</v>
      </c>
      <c r="E372" s="2" t="s">
        <v>704</v>
      </c>
      <c r="F372" s="11" t="s">
        <v>860</v>
      </c>
      <c r="G372" t="s">
        <v>37</v>
      </c>
      <c r="H372" t="s">
        <v>861</v>
      </c>
      <c r="I372" t="s">
        <v>177</v>
      </c>
      <c r="J372" s="6" t="str">
        <f>HYPERLINK("https://www.biovista.com/db/link/%5B%5B%22Disease%7CCongenital%20Myasthenic%20Syndrome%22%5D,%20%5B%22Pathway%7Cprotein%20glycosylation%22%5D%5D?strength-weight-map=%257B%2522MEDLINE_STRENGTH_AB%2522:1.0,%2522HPO%2522:100.0%257D", "Show Evidence...")</f>
        <v>Show Evidence...</v>
      </c>
    </row>
    <row r="373" spans="1:10" ht="12.75">
      <c r="A373" s="2" t="s">
        <v>50</v>
      </c>
      <c r="B373" s="2" t="s">
        <v>51</v>
      </c>
      <c r="C373" s="2" t="s">
        <v>24</v>
      </c>
      <c r="D373" s="2" t="s">
        <v>52</v>
      </c>
      <c r="E373" s="2" t="s">
        <v>704</v>
      </c>
      <c r="F373" s="11" t="s">
        <v>862</v>
      </c>
      <c r="G373" t="s">
        <v>37</v>
      </c>
      <c r="H373" t="s">
        <v>863</v>
      </c>
      <c r="I373" t="s">
        <v>177</v>
      </c>
      <c r="J373" s="6" t="str">
        <f>HYPERLINK("https://www.biovista.com/db/link/%5B%5B%22Disease%7CCongenital%20Myasthenic%20Syndrome%22%5D,%20%5B%22Pathway%7Creflex%22%5D%5D?strength-weight-map=%257B%2522MEDLINE_STRENGTH_AB%2522:1.0,%2522HPO%2522:100.0%257D", "Show Evidence...")</f>
        <v>Show Evidence...</v>
      </c>
    </row>
    <row r="374" spans="1:10" ht="12.75">
      <c r="A374" s="2" t="s">
        <v>50</v>
      </c>
      <c r="B374" s="2" t="s">
        <v>51</v>
      </c>
      <c r="C374" s="2" t="s">
        <v>24</v>
      </c>
      <c r="D374" s="2" t="s">
        <v>52</v>
      </c>
      <c r="E374" s="2" t="s">
        <v>704</v>
      </c>
      <c r="F374" s="11" t="s">
        <v>864</v>
      </c>
      <c r="G374" t="s">
        <v>37</v>
      </c>
      <c r="H374" t="s">
        <v>865</v>
      </c>
      <c r="I374" t="s">
        <v>177</v>
      </c>
      <c r="J374" s="6" t="str">
        <f>HYPERLINK("https://www.biovista.com/db/link/%5B%5B%22Disease%7CCongenital%20Myasthenic%20Syndrome%22%5D,%20%5B%22Pathway%7CWnt%20signaling%20pathway%22%5D%5D?strength-weight-map=%257B%2522MEDLINE_STRENGTH_AB%2522:1.0,%2522HPO%2522:100.0%257D", "Show Evidence...")</f>
        <v>Show Evidence...</v>
      </c>
    </row>
    <row r="375" spans="1:10" ht="12.75">
      <c r="A375" s="2" t="s">
        <v>50</v>
      </c>
      <c r="B375" s="2" t="s">
        <v>51</v>
      </c>
      <c r="C375" s="2" t="s">
        <v>24</v>
      </c>
      <c r="D375" s="2" t="s">
        <v>52</v>
      </c>
      <c r="E375" s="2" t="s">
        <v>704</v>
      </c>
      <c r="F375" s="11" t="s">
        <v>866</v>
      </c>
      <c r="G375" t="s">
        <v>37</v>
      </c>
      <c r="H375" t="s">
        <v>867</v>
      </c>
      <c r="I375" t="s">
        <v>186</v>
      </c>
      <c r="J375" s="6" t="str">
        <f>HYPERLINK("https://www.biovista.com/db/link/%5B%5B%22Disease%7CCongenital%20Myasthenic%20Syndrome%22%5D,%20%5B%22Pathway%7Canther%20wall%20tapetum%20development%22%5D%5D?strength-weight-map=%257B%2522MEDLINE_STRENGTH_AB%2522:1.0,%2522HPO%2522:100.0%257D", "Show Evidence...")</f>
        <v>Show Evidence...</v>
      </c>
    </row>
    <row r="376" spans="1:10" ht="12.75">
      <c r="A376" s="2" t="s">
        <v>50</v>
      </c>
      <c r="B376" s="2" t="s">
        <v>51</v>
      </c>
      <c r="C376" s="2" t="s">
        <v>24</v>
      </c>
      <c r="D376" s="2" t="s">
        <v>52</v>
      </c>
      <c r="E376" s="2" t="s">
        <v>704</v>
      </c>
      <c r="F376" s="11" t="s">
        <v>868</v>
      </c>
      <c r="G376" t="s">
        <v>37</v>
      </c>
      <c r="H376" t="s">
        <v>869</v>
      </c>
      <c r="I376" t="s">
        <v>186</v>
      </c>
      <c r="J376" s="6" t="str">
        <f>HYPERLINK("https://www.biovista.com/db/link/%5B%5B%22Disease%7CCongenital%20Myasthenic%20Syndrome%22%5D,%20%5B%22Pathway%7Cexocytosis%22%5D%5D?strength-weight-map=%257B%2522MEDLINE_STRENGTH_AB%2522:1.0,%2522HPO%2522:100.0%257D", "Show Evidence...")</f>
        <v>Show Evidence...</v>
      </c>
    </row>
    <row r="377" spans="1:10" ht="12.75">
      <c r="A377" s="2" t="s">
        <v>50</v>
      </c>
      <c r="B377" s="2" t="s">
        <v>51</v>
      </c>
      <c r="C377" s="2" t="s">
        <v>24</v>
      </c>
      <c r="D377" s="2" t="s">
        <v>52</v>
      </c>
      <c r="E377" s="2" t="s">
        <v>704</v>
      </c>
      <c r="F377" s="11" t="s">
        <v>870</v>
      </c>
      <c r="G377" t="s">
        <v>37</v>
      </c>
      <c r="H377" t="s">
        <v>871</v>
      </c>
      <c r="I377" t="s">
        <v>186</v>
      </c>
      <c r="J377" s="6" t="str">
        <f>HYPERLINK("https://www.biovista.com/db/link/%5B%5B%22Disease%7CCongenital%20Myasthenic%20Syndrome%22%5D,%20%5B%22Pathway%7Cphotosynthesis%22%5D%5D?strength-weight-map=%257B%2522MEDLINE_STRENGTH_AB%2522:1.0,%2522HPO%2522:100.0%257D", "Show Evidence...")</f>
        <v>Show Evidence...</v>
      </c>
    </row>
    <row r="378" spans="1:10" ht="12.75">
      <c r="A378" s="2" t="s">
        <v>50</v>
      </c>
      <c r="B378" s="2" t="s">
        <v>51</v>
      </c>
      <c r="C378" s="2" t="s">
        <v>24</v>
      </c>
      <c r="D378" s="2" t="s">
        <v>52</v>
      </c>
      <c r="E378" s="2" t="s">
        <v>704</v>
      </c>
      <c r="F378" s="11" t="s">
        <v>872</v>
      </c>
      <c r="G378" t="s">
        <v>37</v>
      </c>
      <c r="H378" t="s">
        <v>873</v>
      </c>
      <c r="I378" t="s">
        <v>186</v>
      </c>
      <c r="J378" s="6" t="str">
        <f>HYPERLINK("https://www.biovista.com/db/link/%5B%5B%22Disease%7CCongenital%20Myasthenic%20Syndrome%22%5D,%20%5B%22Pathway%7Creverse%20transcription%22%5D%5D?strength-weight-map=%257B%2522MEDLINE_STRENGTH_AB%2522:1.0,%2522HPO%2522:100.0%257D", "Show Evidence...")</f>
        <v>Show Evidence...</v>
      </c>
    </row>
    <row r="379" spans="1:10" ht="12.75">
      <c r="A379" s="2" t="s">
        <v>50</v>
      </c>
      <c r="B379" s="2" t="s">
        <v>51</v>
      </c>
      <c r="C379" s="2" t="s">
        <v>24</v>
      </c>
      <c r="D379" s="2" t="s">
        <v>52</v>
      </c>
      <c r="E379" s="2" t="s">
        <v>704</v>
      </c>
      <c r="F379" s="11" t="s">
        <v>874</v>
      </c>
      <c r="G379" t="s">
        <v>37</v>
      </c>
      <c r="H379" t="s">
        <v>875</v>
      </c>
      <c r="I379" t="s">
        <v>186</v>
      </c>
      <c r="J379" s="6" t="str">
        <f>HYPERLINK("https://www.biovista.com/db/link/%5B%5B%22Disease%7CCongenital%20Myasthenic%20Syndrome%22%5D,%20%5B%22Pathway%7Cvasoconstriction%22%5D%5D?strength-weight-map=%257B%2522MEDLINE_STRENGTH_AB%2522:1.0,%2522HPO%2522:100.0%257D", "Show Evidence...")</f>
        <v>Show Evidence...</v>
      </c>
    </row>
    <row r="380" spans="1:10" ht="12.75">
      <c r="A380" s="2" t="s">
        <v>50</v>
      </c>
      <c r="B380" s="2" t="s">
        <v>51</v>
      </c>
      <c r="C380" s="2" t="s">
        <v>24</v>
      </c>
      <c r="D380" s="2" t="s">
        <v>52</v>
      </c>
      <c r="E380" s="2" t="s">
        <v>704</v>
      </c>
      <c r="F380" s="11" t="s">
        <v>876</v>
      </c>
      <c r="G380" t="s">
        <v>37</v>
      </c>
      <c r="H380" t="s">
        <v>877</v>
      </c>
      <c r="I380" t="s">
        <v>195</v>
      </c>
      <c r="J380" s="6" t="str">
        <f>HYPERLINK("https://www.biovista.com/db/link/%5B%5B%22Disease%7CCongenital%20Myasthenic%20Syndrome%22%5D,%20%5B%22Pathway%7Caction%20potential%22%5D%5D?strength-weight-map=%257B%2522MEDLINE_STRENGTH_AB%2522:1.0,%2522HPO%2522:100.0%257D", "Show Evidence...")</f>
        <v>Show Evidence...</v>
      </c>
    </row>
    <row r="381" spans="1:10" ht="12.75">
      <c r="A381" s="2" t="s">
        <v>50</v>
      </c>
      <c r="B381" s="2" t="s">
        <v>51</v>
      </c>
      <c r="C381" s="2" t="s">
        <v>24</v>
      </c>
      <c r="D381" s="2" t="s">
        <v>52</v>
      </c>
      <c r="E381" s="2" t="s">
        <v>704</v>
      </c>
      <c r="F381" s="11" t="s">
        <v>878</v>
      </c>
      <c r="G381" t="s">
        <v>37</v>
      </c>
      <c r="H381" t="s">
        <v>879</v>
      </c>
      <c r="I381" t="s">
        <v>195</v>
      </c>
      <c r="J381" s="6" t="str">
        <f>HYPERLINK("https://www.biovista.com/db/link/%5B%5B%22Disease%7CCongenital%20Myasthenic%20Syndrome%22%5D,%20%5B%22Pathway%7Cmitochondrial%20gene%20expression%22%5D%5D?strength-weight-map=%257B%2522MEDLINE_STRENGTH_AB%2522:1.0,%2522HPO%2522:100.0%257D", "Show Evidence...")</f>
        <v>Show Evidence...</v>
      </c>
    </row>
    <row r="382" spans="1:10" ht="12.75">
      <c r="A382" s="2" t="s">
        <v>50</v>
      </c>
      <c r="B382" s="2" t="s">
        <v>51</v>
      </c>
      <c r="C382" s="2" t="s">
        <v>24</v>
      </c>
      <c r="D382" s="2" t="s">
        <v>52</v>
      </c>
      <c r="E382" s="2" t="s">
        <v>704</v>
      </c>
      <c r="F382" s="11" t="s">
        <v>880</v>
      </c>
      <c r="G382" t="s">
        <v>37</v>
      </c>
      <c r="H382" t="s">
        <v>881</v>
      </c>
      <c r="I382" t="s">
        <v>195</v>
      </c>
      <c r="J382" s="6" t="str">
        <f>HYPERLINK("https://www.biovista.com/db/link/%5B%5B%22Disease%7CCongenital%20Myasthenic%20Syndrome%22%5D,%20%5B%22Pathway%7Creceptor%20clustering%22%5D%5D?strength-weight-map=%257B%2522MEDLINE_STRENGTH_AB%2522:1.0,%2522HPO%2522:100.0%257D", "Show Evidence...")</f>
        <v>Show Evidence...</v>
      </c>
    </row>
    <row r="383" spans="1:10" ht="12.75">
      <c r="A383" s="2" t="s">
        <v>50</v>
      </c>
      <c r="B383" s="2" t="s">
        <v>51</v>
      </c>
      <c r="C383" s="2" t="s">
        <v>24</v>
      </c>
      <c r="D383" s="2" t="s">
        <v>52</v>
      </c>
      <c r="E383" s="2" t="s">
        <v>704</v>
      </c>
      <c r="F383" s="11" t="s">
        <v>882</v>
      </c>
      <c r="G383" t="s">
        <v>37</v>
      </c>
      <c r="H383" t="s">
        <v>883</v>
      </c>
      <c r="I383" t="s">
        <v>195</v>
      </c>
      <c r="J383" s="6" t="str">
        <f>HYPERLINK("https://www.biovista.com/db/link/%5B%5B%22Disease%7CCongenital%20Myasthenic%20Syndrome%22%5D,%20%5B%22Pathway%7Cregulation%20of%20gene%20expression%22%5D%5D?strength-weight-map=%257B%2522MEDLINE_STRENGTH_AB%2522:1.0,%2522HPO%2522:100.0%257D", "Show Evidence...")</f>
        <v>Show Evidence...</v>
      </c>
    </row>
    <row r="384" spans="1:10" ht="12.75">
      <c r="A384" s="2" t="s">
        <v>50</v>
      </c>
      <c r="B384" s="2" t="s">
        <v>51</v>
      </c>
      <c r="C384" s="2" t="s">
        <v>24</v>
      </c>
      <c r="D384" s="2" t="s">
        <v>52</v>
      </c>
      <c r="E384" s="2" t="s">
        <v>704</v>
      </c>
      <c r="F384" s="11" t="s">
        <v>884</v>
      </c>
      <c r="G384" t="s">
        <v>37</v>
      </c>
      <c r="H384" t="s">
        <v>885</v>
      </c>
      <c r="I384" t="s">
        <v>202</v>
      </c>
      <c r="J384" s="6" t="str">
        <f>HYPERLINK("https://www.biovista.com/db/link/%5B%5B%22Disease%7CCongenital%20Myasthenic%20Syndrome%22%5D,%20%5B%22Pathway%7Cbone%20remodeling%22%5D%5D?strength-weight-map=%257B%2522MEDLINE_STRENGTH_AB%2522:1.0,%2522HPO%2522:100.0%257D", "Show Evidence...")</f>
        <v>Show Evidence...</v>
      </c>
    </row>
    <row r="385" spans="1:10" ht="12.75">
      <c r="A385" s="2" t="s">
        <v>50</v>
      </c>
      <c r="B385" s="2" t="s">
        <v>51</v>
      </c>
      <c r="C385" s="2" t="s">
        <v>24</v>
      </c>
      <c r="D385" s="2" t="s">
        <v>52</v>
      </c>
      <c r="E385" s="2" t="s">
        <v>704</v>
      </c>
      <c r="F385" s="11" t="s">
        <v>886</v>
      </c>
      <c r="G385" t="s">
        <v>37</v>
      </c>
      <c r="H385" t="s">
        <v>887</v>
      </c>
      <c r="I385" t="s">
        <v>202</v>
      </c>
      <c r="J385" s="6" t="str">
        <f>HYPERLINK("https://www.biovista.com/db/link/%5B%5B%22Disease%7CCongenital%20Myasthenic%20Syndrome%22%5D,%20%5B%22Pathway%7Ccalcium-mediated%20signaling%22%5D%5D?strength-weight-map=%257B%2522MEDLINE_STRENGTH_AB%2522:1.0,%2522HPO%2522:100.0%257D", "Show Evidence...")</f>
        <v>Show Evidence...</v>
      </c>
    </row>
    <row r="386" spans="1:10" ht="12.75">
      <c r="A386" s="2" t="s">
        <v>50</v>
      </c>
      <c r="B386" s="2" t="s">
        <v>51</v>
      </c>
      <c r="C386" s="2" t="s">
        <v>24</v>
      </c>
      <c r="D386" s="2" t="s">
        <v>52</v>
      </c>
      <c r="E386" s="2" t="s">
        <v>704</v>
      </c>
      <c r="F386" s="11" t="s">
        <v>888</v>
      </c>
      <c r="G386" t="s">
        <v>37</v>
      </c>
      <c r="H386" t="s">
        <v>889</v>
      </c>
      <c r="I386" t="s">
        <v>202</v>
      </c>
      <c r="J386" s="6" t="str">
        <f>HYPERLINK("https://www.biovista.com/db/link/%5B%5B%22Disease%7CCongenital%20Myasthenic%20Syndrome%22%5D,%20%5B%22Pathway%7Ccoagulation%22%5D%5D?strength-weight-map=%257B%2522MEDLINE_STRENGTH_AB%2522:1.0,%2522HPO%2522:100.0%257D", "Show Evidence...")</f>
        <v>Show Evidence...</v>
      </c>
    </row>
    <row r="387" spans="1:10" ht="12.75">
      <c r="A387" s="2" t="s">
        <v>50</v>
      </c>
      <c r="B387" s="2" t="s">
        <v>51</v>
      </c>
      <c r="C387" s="2" t="s">
        <v>24</v>
      </c>
      <c r="D387" s="2" t="s">
        <v>52</v>
      </c>
      <c r="E387" s="2" t="s">
        <v>704</v>
      </c>
      <c r="F387" s="11" t="s">
        <v>890</v>
      </c>
      <c r="G387" t="s">
        <v>37</v>
      </c>
      <c r="H387" t="s">
        <v>891</v>
      </c>
      <c r="I387" t="s">
        <v>202</v>
      </c>
      <c r="J387" s="6" t="str">
        <f>HYPERLINK("https://www.biovista.com/db/link/%5B%5B%22Disease%7CCongenital%20Myasthenic%20Syndrome%22%5D,%20%5B%22Pathway%7Cembryo%20development%22%5D%5D?strength-weight-map=%257B%2522MEDLINE_STRENGTH_AB%2522:1.0,%2522HPO%2522:100.0%257D", "Show Evidence...")</f>
        <v>Show Evidence...</v>
      </c>
    </row>
    <row r="388" spans="1:10" ht="12.75">
      <c r="A388" s="2" t="s">
        <v>50</v>
      </c>
      <c r="B388" s="2" t="s">
        <v>51</v>
      </c>
      <c r="C388" s="2" t="s">
        <v>24</v>
      </c>
      <c r="D388" s="2" t="s">
        <v>52</v>
      </c>
      <c r="E388" s="2" t="s">
        <v>704</v>
      </c>
      <c r="F388" s="11" t="s">
        <v>892</v>
      </c>
      <c r="G388" t="s">
        <v>37</v>
      </c>
      <c r="H388" t="s">
        <v>893</v>
      </c>
      <c r="I388" t="s">
        <v>202</v>
      </c>
      <c r="J388" s="6" t="str">
        <f>HYPERLINK("https://www.biovista.com/db/link/%5B%5B%22Disease%7CCongenital%20Myasthenic%20Syndrome%22%5D,%20%5B%22Pathway%7Cfertilization%22%5D%5D?strength-weight-map=%257B%2522MEDLINE_STRENGTH_AB%2522:1.0,%2522HPO%2522:100.0%257D", "Show Evidence...")</f>
        <v>Show Evidence...</v>
      </c>
    </row>
    <row r="389" spans="1:10" ht="12.75">
      <c r="A389" s="2" t="s">
        <v>50</v>
      </c>
      <c r="B389" s="2" t="s">
        <v>51</v>
      </c>
      <c r="C389" s="2" t="s">
        <v>24</v>
      </c>
      <c r="D389" s="2" t="s">
        <v>52</v>
      </c>
      <c r="E389" s="2" t="s">
        <v>704</v>
      </c>
      <c r="F389" s="11" t="s">
        <v>894</v>
      </c>
      <c r="G389" t="s">
        <v>37</v>
      </c>
      <c r="H389" t="s">
        <v>895</v>
      </c>
      <c r="I389" t="s">
        <v>202</v>
      </c>
      <c r="J389" s="6" t="str">
        <f>HYPERLINK("https://www.biovista.com/db/link/%5B%5B%22Disease%7CCongenital%20Myasthenic%20Syndrome%22%5D,%20%5B%22Pathway%7Cmenopause%22%5D%5D?strength-weight-map=%257B%2522MEDLINE_STRENGTH_AB%2522:1.0,%2522HPO%2522:100.0%257D", "Show Evidence...")</f>
        <v>Show Evidence...</v>
      </c>
    </row>
    <row r="390" spans="1:10" ht="12.75">
      <c r="A390" s="2" t="s">
        <v>50</v>
      </c>
      <c r="B390" s="2" t="s">
        <v>51</v>
      </c>
      <c r="C390" s="2" t="s">
        <v>24</v>
      </c>
      <c r="D390" s="2" t="s">
        <v>52</v>
      </c>
      <c r="E390" s="2" t="s">
        <v>704</v>
      </c>
      <c r="F390" s="11" t="s">
        <v>896</v>
      </c>
      <c r="G390" t="s">
        <v>37</v>
      </c>
      <c r="H390" t="s">
        <v>897</v>
      </c>
      <c r="I390" t="s">
        <v>202</v>
      </c>
      <c r="J390" s="6" t="str">
        <f>HYPERLINK("https://www.biovista.com/db/link/%5B%5B%22Disease%7CCongenital%20Myasthenic%20Syndrome%22%5D,%20%5B%22Pathway%7Cmismatch%20repair%22%5D%5D?strength-weight-map=%257B%2522MEDLINE_STRENGTH_AB%2522:1.0,%2522HPO%2522:100.0%257D", "Show Evidence...")</f>
        <v>Show Evidence...</v>
      </c>
    </row>
    <row r="391" spans="1:10" ht="12.75">
      <c r="A391" s="2" t="s">
        <v>50</v>
      </c>
      <c r="B391" s="2" t="s">
        <v>51</v>
      </c>
      <c r="C391" s="2" t="s">
        <v>24</v>
      </c>
      <c r="D391" s="2" t="s">
        <v>52</v>
      </c>
      <c r="E391" s="2" t="s">
        <v>704</v>
      </c>
      <c r="F391" s="11" t="s">
        <v>898</v>
      </c>
      <c r="G391" t="s">
        <v>37</v>
      </c>
      <c r="H391" t="s">
        <v>899</v>
      </c>
      <c r="I391" t="s">
        <v>202</v>
      </c>
      <c r="J391" s="6" t="str">
        <f>HYPERLINK("https://www.biovista.com/db/link/%5B%5B%22Disease%7CCongenital%20Myasthenic%20Syndrome%22%5D,%20%5B%22Pathway%7Cnegative%20regulation%20of%20gene%20expression%22%5D%5D?strength-weight-map=%257B%2522MEDLINE_STRENGTH_AB%2522:1.0,%2522HPO%2522:100.0%257D", "Show Evidence...")</f>
        <v>Show Evidence...</v>
      </c>
    </row>
    <row r="392" spans="1:10" ht="12.75">
      <c r="A392" s="2" t="s">
        <v>50</v>
      </c>
      <c r="B392" s="2" t="s">
        <v>51</v>
      </c>
      <c r="C392" s="2" t="s">
        <v>24</v>
      </c>
      <c r="D392" s="2" t="s">
        <v>52</v>
      </c>
      <c r="E392" s="2" t="s">
        <v>704</v>
      </c>
      <c r="F392" s="11" t="s">
        <v>900</v>
      </c>
      <c r="G392" t="s">
        <v>37</v>
      </c>
      <c r="H392" t="s">
        <v>901</v>
      </c>
      <c r="I392" t="s">
        <v>202</v>
      </c>
      <c r="J392" s="6" t="str">
        <f>HYPERLINK("https://www.biovista.com/db/link/%5B%5B%22Disease%7CCongenital%20Myasthenic%20Syndrome%22%5D,%20%5B%22Pathway%7CRNAi-mediated%20antiviral%20immune%20response%22%5D%5D?strength-weight-map=%257B%2522MEDLINE_STRENGTH_AB%2522:1.0,%2522HPO%2522:100.0%257D", "Show Evidence...")</f>
        <v>Show Evidence...</v>
      </c>
    </row>
    <row r="393" spans="1:10" ht="12.75">
      <c r="A393" s="2" t="s">
        <v>50</v>
      </c>
      <c r="B393" s="2" t="s">
        <v>51</v>
      </c>
      <c r="C393" s="2" t="s">
        <v>24</v>
      </c>
      <c r="D393" s="2" t="s">
        <v>52</v>
      </c>
      <c r="E393" s="2" t="s">
        <v>704</v>
      </c>
      <c r="F393" s="11" t="s">
        <v>902</v>
      </c>
      <c r="G393" t="s">
        <v>37</v>
      </c>
      <c r="H393" t="s">
        <v>903</v>
      </c>
      <c r="I393" t="s">
        <v>202</v>
      </c>
      <c r="J393" s="6" t="str">
        <f>HYPERLINK("https://www.biovista.com/db/link/%5B%5B%22Disease%7CCongenital%20Myasthenic%20Syndrome%22%5D,%20%5B%22Pathway%7Csex%20determination%22%5D%5D?strength-weight-map=%257B%2522MEDLINE_STRENGTH_AB%2522:1.0,%2522HPO%2522:100.0%257D", "Show Evidence...")</f>
        <v>Show Evidence...</v>
      </c>
    </row>
    <row r="394" spans="1:10" ht="12.75">
      <c r="A394" s="2" t="s">
        <v>50</v>
      </c>
      <c r="B394" s="2" t="s">
        <v>51</v>
      </c>
      <c r="C394" s="2" t="s">
        <v>24</v>
      </c>
      <c r="D394" s="2" t="s">
        <v>52</v>
      </c>
      <c r="E394" s="2" t="s">
        <v>704</v>
      </c>
      <c r="F394" s="11" t="s">
        <v>904</v>
      </c>
      <c r="G394" t="s">
        <v>37</v>
      </c>
      <c r="H394" t="s">
        <v>905</v>
      </c>
      <c r="I394" t="s">
        <v>202</v>
      </c>
      <c r="J394" s="6" t="str">
        <f>HYPERLINK("https://www.biovista.com/db/link/%5B%5B%22Disease%7CCongenital%20Myasthenic%20Syndrome%22%5D,%20%5B%22Pathway%7Cvasodilation%22%5D%5D?strength-weight-map=%257B%2522MEDLINE_STRENGTH_AB%2522:1.0,%2522HPO%2522:100.0%257D", "Show Evidence...")</f>
        <v>Show Evidence...</v>
      </c>
    </row>
    <row r="395" spans="1:10" ht="12.75">
      <c r="A395" s="2" t="s">
        <v>50</v>
      </c>
      <c r="B395" s="2" t="s">
        <v>51</v>
      </c>
      <c r="C395" s="2" t="s">
        <v>24</v>
      </c>
      <c r="D395" s="2" t="s">
        <v>52</v>
      </c>
      <c r="E395" s="2" t="s">
        <v>704</v>
      </c>
      <c r="F395" s="11" t="s">
        <v>906</v>
      </c>
      <c r="G395" t="s">
        <v>37</v>
      </c>
      <c r="H395" t="s">
        <v>907</v>
      </c>
      <c r="I395" t="s">
        <v>213</v>
      </c>
      <c r="J395" s="6" t="str">
        <f>HYPERLINK("https://www.biovista.com/db/link/%5B%5B%22Disease%7CCongenital%20Myasthenic%20Syndrome%22%5D,%20%5B%22Pathway%7Cbone%20resorption%22%5D%5D?strength-weight-map=%257B%2522MEDLINE_STRENGTH_AB%2522:1.0,%2522HPO%2522:100.0%257D", "Show Evidence...")</f>
        <v>Show Evidence...</v>
      </c>
    </row>
    <row r="396" spans="1:10" ht="12.75">
      <c r="A396" s="2" t="s">
        <v>50</v>
      </c>
      <c r="B396" s="2" t="s">
        <v>51</v>
      </c>
      <c r="C396" s="2" t="s">
        <v>24</v>
      </c>
      <c r="D396" s="2" t="s">
        <v>52</v>
      </c>
      <c r="E396" s="2" t="s">
        <v>704</v>
      </c>
      <c r="F396" s="11" t="s">
        <v>908</v>
      </c>
      <c r="G396" t="s">
        <v>37</v>
      </c>
      <c r="H396" t="s">
        <v>909</v>
      </c>
      <c r="I396" t="s">
        <v>213</v>
      </c>
      <c r="J396" s="6" t="str">
        <f>HYPERLINK("https://www.biovista.com/db/link/%5B%5B%22Disease%7CCongenital%20Myasthenic%20Syndrome%22%5D,%20%5B%22Pathway%7Ccell%20growth%22%5D%5D?strength-weight-map=%257B%2522MEDLINE_STRENGTH_AB%2522:1.0,%2522HPO%2522:100.0%257D", "Show Evidence...")</f>
        <v>Show Evidence...</v>
      </c>
    </row>
    <row r="397" spans="1:10" ht="12.75">
      <c r="A397" s="2" t="s">
        <v>50</v>
      </c>
      <c r="B397" s="2" t="s">
        <v>51</v>
      </c>
      <c r="C397" s="2" t="s">
        <v>24</v>
      </c>
      <c r="D397" s="2" t="s">
        <v>52</v>
      </c>
      <c r="E397" s="2" t="s">
        <v>704</v>
      </c>
      <c r="F397" s="11" t="s">
        <v>910</v>
      </c>
      <c r="G397" t="s">
        <v>37</v>
      </c>
      <c r="H397" t="s">
        <v>911</v>
      </c>
      <c r="I397" t="s">
        <v>213</v>
      </c>
      <c r="J397" s="6" t="str">
        <f>HYPERLINK("https://www.biovista.com/db/link/%5B%5B%22Disease%7CCongenital%20Myasthenic%20Syndrome%22%5D,%20%5B%22Pathway%7Cdrinking%20behavior%22%5D%5D?strength-weight-map=%257B%2522MEDLINE_STRENGTH_AB%2522:1.0,%2522HPO%2522:100.0%257D", "Show Evidence...")</f>
        <v>Show Evidence...</v>
      </c>
    </row>
    <row r="398" spans="1:10" ht="12.75">
      <c r="A398" s="2" t="s">
        <v>50</v>
      </c>
      <c r="B398" s="2" t="s">
        <v>51</v>
      </c>
      <c r="C398" s="2" t="s">
        <v>24</v>
      </c>
      <c r="D398" s="2" t="s">
        <v>52</v>
      </c>
      <c r="E398" s="2" t="s">
        <v>704</v>
      </c>
      <c r="F398" s="11" t="s">
        <v>912</v>
      </c>
      <c r="G398" t="s">
        <v>37</v>
      </c>
      <c r="H398" t="s">
        <v>913</v>
      </c>
      <c r="I398" t="s">
        <v>213</v>
      </c>
      <c r="J398" s="6" t="str">
        <f>HYPERLINK("https://www.biovista.com/db/link/%5B%5B%22Disease%7CCongenital%20Myasthenic%20Syndrome%22%5D,%20%5B%22Pathway%7Cestrous%20cycle%22%5D%5D?strength-weight-map=%257B%2522MEDLINE_STRENGTH_AB%2522:1.0,%2522HPO%2522:100.0%257D", "Show Evidence...")</f>
        <v>Show Evidence...</v>
      </c>
    </row>
    <row r="399" spans="1:10" ht="12.75">
      <c r="A399" s="2" t="s">
        <v>50</v>
      </c>
      <c r="B399" s="2" t="s">
        <v>51</v>
      </c>
      <c r="C399" s="2" t="s">
        <v>24</v>
      </c>
      <c r="D399" s="2" t="s">
        <v>52</v>
      </c>
      <c r="E399" s="2" t="s">
        <v>704</v>
      </c>
      <c r="F399" s="11" t="s">
        <v>914</v>
      </c>
      <c r="G399" t="s">
        <v>37</v>
      </c>
      <c r="H399" t="s">
        <v>915</v>
      </c>
      <c r="I399" t="s">
        <v>213</v>
      </c>
      <c r="J399" s="6" t="str">
        <f>HYPERLINK("https://www.biovista.com/db/link/%5B%5B%22Disease%7CCongenital%20Myasthenic%20Syndrome%22%5D,%20%5B%22Pathway%7Cheat%20acclimation%22%5D%5D?strength-weight-map=%257B%2522MEDLINE_STRENGTH_AB%2522:1.0,%2522HPO%2522:100.0%257D", "Show Evidence...")</f>
        <v>Show Evidence...</v>
      </c>
    </row>
    <row r="400" spans="1:10" ht="12.75">
      <c r="A400" s="2" t="s">
        <v>50</v>
      </c>
      <c r="B400" s="2" t="s">
        <v>51</v>
      </c>
      <c r="C400" s="2" t="s">
        <v>24</v>
      </c>
      <c r="D400" s="2" t="s">
        <v>52</v>
      </c>
      <c r="E400" s="2" t="s">
        <v>704</v>
      </c>
      <c r="F400" s="11" t="s">
        <v>916</v>
      </c>
      <c r="G400" t="s">
        <v>37</v>
      </c>
      <c r="H400" t="s">
        <v>917</v>
      </c>
      <c r="I400" t="s">
        <v>213</v>
      </c>
      <c r="J400" s="6" t="str">
        <f>HYPERLINK("https://www.biovista.com/db/link/%5B%5B%22Disease%7CCongenital%20Myasthenic%20Syndrome%22%5D,%20%5B%22Pathway%7Cproteolysis%22%5D%5D?strength-weight-map=%257B%2522MEDLINE_STRENGTH_AB%2522:1.0,%2522HPO%2522:100.0%257D", "Show Evidence...")</f>
        <v>Show Evidence...</v>
      </c>
    </row>
    <row r="401" spans="1:10" ht="12.75">
      <c r="A401" s="2" t="s">
        <v>50</v>
      </c>
      <c r="B401" s="2" t="s">
        <v>51</v>
      </c>
      <c r="C401" s="2" t="s">
        <v>24</v>
      </c>
      <c r="D401" s="2" t="s">
        <v>52</v>
      </c>
      <c r="E401" s="2" t="s">
        <v>704</v>
      </c>
      <c r="F401" s="11" t="s">
        <v>918</v>
      </c>
      <c r="G401" t="s">
        <v>37</v>
      </c>
      <c r="H401" t="s">
        <v>919</v>
      </c>
      <c r="I401" t="s">
        <v>213</v>
      </c>
      <c r="J401" s="6" t="str">
        <f>HYPERLINK("https://www.biovista.com/db/link/%5B%5B%22Disease%7CCongenital%20Myasthenic%20Syndrome%22%5D,%20%5B%22Pathway%7Csegmentation%22%5D%5D?strength-weight-map=%257B%2522MEDLINE_STRENGTH_AB%2522:1.0,%2522HPO%2522:100.0%257D", "Show Evidence...")</f>
        <v>Show Evidence...</v>
      </c>
    </row>
    <row r="402" spans="1:10" ht="12.75">
      <c r="A402" s="2" t="s">
        <v>50</v>
      </c>
      <c r="B402" s="2" t="s">
        <v>920</v>
      </c>
      <c r="C402" s="2" t="s">
        <v>24</v>
      </c>
      <c r="D402" s="2" t="s">
        <v>921</v>
      </c>
      <c r="E402" s="2" t="s">
        <v>53</v>
      </c>
      <c r="F402" s="11" t="s">
        <v>922</v>
      </c>
      <c r="G402" t="s">
        <v>39</v>
      </c>
      <c r="H402" t="s">
        <v>923</v>
      </c>
      <c r="I402" t="s">
        <v>924</v>
      </c>
      <c r="J402" s="6" t="str">
        <f>HYPERLINK("https://www.biovista.com/db/link/%5B%5B%22Disease%7CGlutaric%20aciduria%201%22%5D,%20%5B%22Drug%7CCarnitine%22%5D%5D?strength-weight-map=%257B%2522MEDLINE_STRENGTH_AB%2522:1.0,%2522HPO%2522:100.0%257D", "Show Evidence...")</f>
        <v>Show Evidence...</v>
      </c>
    </row>
    <row r="403" spans="1:10" ht="12.75">
      <c r="A403" s="2" t="s">
        <v>50</v>
      </c>
      <c r="B403" s="2" t="s">
        <v>920</v>
      </c>
      <c r="C403" s="2" t="s">
        <v>24</v>
      </c>
      <c r="D403" s="2" t="s">
        <v>921</v>
      </c>
      <c r="E403" s="2" t="s">
        <v>53</v>
      </c>
      <c r="F403" s="11" t="s">
        <v>152</v>
      </c>
      <c r="G403" t="s">
        <v>39</v>
      </c>
      <c r="H403" t="s">
        <v>153</v>
      </c>
      <c r="I403" t="s">
        <v>925</v>
      </c>
      <c r="J403" s="6" t="str">
        <f>HYPERLINK("https://www.biovista.com/db/link/%5B%5B%22Disease%7CGlutaric%20aciduria%201%22%5D,%20%5B%22Drug%7CTryptophan%22%5D%5D?strength-weight-map=%257B%2522MEDLINE_STRENGTH_AB%2522:1.0,%2522HPO%2522:100.0%257D", "Show Evidence...")</f>
        <v>Show Evidence...</v>
      </c>
    </row>
    <row r="404" spans="1:10" ht="12.75">
      <c r="A404" s="2" t="s">
        <v>50</v>
      </c>
      <c r="B404" s="2" t="s">
        <v>920</v>
      </c>
      <c r="C404" s="2" t="s">
        <v>24</v>
      </c>
      <c r="D404" s="2" t="s">
        <v>921</v>
      </c>
      <c r="E404" s="2" t="s">
        <v>53</v>
      </c>
      <c r="F404" s="11" t="s">
        <v>926</v>
      </c>
      <c r="G404" t="s">
        <v>39</v>
      </c>
      <c r="H404" t="s">
        <v>927</v>
      </c>
      <c r="I404" t="s">
        <v>928</v>
      </c>
      <c r="J404" s="6" t="str">
        <f>HYPERLINK("https://www.biovista.com/db/link/%5B%5B%22Disease%7CGlutaric%20aciduria%201%22%5D,%20%5B%22Drug%7CRiboflavin%22%5D%5D?strength-weight-map=%257B%2522MEDLINE_STRENGTH_AB%2522:1.0,%2522HPO%2522:100.0%257D", "Show Evidence...")</f>
        <v>Show Evidence...</v>
      </c>
    </row>
    <row r="405" spans="1:10" ht="12.75">
      <c r="A405" s="2" t="s">
        <v>50</v>
      </c>
      <c r="B405" s="2" t="s">
        <v>920</v>
      </c>
      <c r="C405" s="2" t="s">
        <v>24</v>
      </c>
      <c r="D405" s="2" t="s">
        <v>921</v>
      </c>
      <c r="E405" s="2" t="s">
        <v>53</v>
      </c>
      <c r="F405" s="11" t="s">
        <v>929</v>
      </c>
      <c r="G405" t="s">
        <v>39</v>
      </c>
      <c r="H405" t="s">
        <v>930</v>
      </c>
      <c r="I405" t="s">
        <v>931</v>
      </c>
      <c r="J405" s="6" t="str">
        <f>HYPERLINK("https://www.biovista.com/db/link/%5B%5B%22Disease%7CGlutaric%20aciduria%201%22%5D,%20%5B%22Drug%7CSalicylic%20Acid%22%5D%5D?strength-weight-map=%257B%2522MEDLINE_STRENGTH_AB%2522:1.0,%2522HPO%2522:100.0%257D", "Show Evidence...")</f>
        <v>Show Evidence...</v>
      </c>
    </row>
    <row r="406" spans="1:10" ht="12.75">
      <c r="A406" s="2" t="s">
        <v>50</v>
      </c>
      <c r="B406" s="2" t="s">
        <v>920</v>
      </c>
      <c r="C406" s="2" t="s">
        <v>24</v>
      </c>
      <c r="D406" s="2" t="s">
        <v>921</v>
      </c>
      <c r="E406" s="2" t="s">
        <v>53</v>
      </c>
      <c r="F406" s="11" t="s">
        <v>90</v>
      </c>
      <c r="G406" t="s">
        <v>39</v>
      </c>
      <c r="H406" t="s">
        <v>91</v>
      </c>
      <c r="I406" t="s">
        <v>931</v>
      </c>
      <c r="J406" s="6" t="str">
        <f>HYPERLINK("https://www.biovista.com/db/link/%5B%5B%22Disease%7CGlutaric%20aciduria%201%22%5D,%20%5B%22Drug%7CSuperoxide%20Dismutase%22%5D%5D?strength-weight-map=%257B%2522MEDLINE_STRENGTH_AB%2522:1.0,%2522HPO%2522:100.0%257D", "Show Evidence...")</f>
        <v>Show Evidence...</v>
      </c>
    </row>
    <row r="407" spans="1:10" ht="12.75">
      <c r="A407" s="2" t="s">
        <v>50</v>
      </c>
      <c r="B407" s="2" t="s">
        <v>920</v>
      </c>
      <c r="C407" s="2" t="s">
        <v>24</v>
      </c>
      <c r="D407" s="2" t="s">
        <v>921</v>
      </c>
      <c r="E407" s="2" t="s">
        <v>53</v>
      </c>
      <c r="F407" s="11" t="s">
        <v>99</v>
      </c>
      <c r="G407" t="s">
        <v>39</v>
      </c>
      <c r="H407" t="s">
        <v>100</v>
      </c>
      <c r="I407" t="s">
        <v>932</v>
      </c>
      <c r="J407" s="6" t="str">
        <f>HYPERLINK("https://www.biovista.com/db/link/%5B%5B%22Disease%7CGlutaric%20aciduria%201%22%5D,%20%5B%22Drug%7Cgamma-Aminobutyric%20Acid%22%5D%5D?strength-weight-map=%257B%2522MEDLINE_STRENGTH_AB%2522:1.0,%2522HPO%2522:100.0%257D", "Show Evidence...")</f>
        <v>Show Evidence...</v>
      </c>
    </row>
    <row r="408" spans="1:10" ht="12.75">
      <c r="A408" s="2" t="s">
        <v>50</v>
      </c>
      <c r="B408" s="2" t="s">
        <v>920</v>
      </c>
      <c r="C408" s="2" t="s">
        <v>24</v>
      </c>
      <c r="D408" s="2" t="s">
        <v>921</v>
      </c>
      <c r="E408" s="2" t="s">
        <v>53</v>
      </c>
      <c r="F408" s="11" t="s">
        <v>138</v>
      </c>
      <c r="G408" t="s">
        <v>39</v>
      </c>
      <c r="H408" t="s">
        <v>139</v>
      </c>
      <c r="I408" t="s">
        <v>932</v>
      </c>
      <c r="J408" s="6" t="str">
        <f>HYPERLINK("https://www.biovista.com/db/link/%5B%5B%22Disease%7CGlutaric%20aciduria%201%22%5D,%20%5B%22Drug%7CLactic%20Acid%22%5D%5D?strength-weight-map=%257B%2522MEDLINE_STRENGTH_AB%2522:1.0,%2522HPO%2522:100.0%257D", "Show Evidence...")</f>
        <v>Show Evidence...</v>
      </c>
    </row>
    <row r="409" spans="1:10" ht="12.75">
      <c r="A409" s="2" t="s">
        <v>50</v>
      </c>
      <c r="B409" s="2" t="s">
        <v>920</v>
      </c>
      <c r="C409" s="2" t="s">
        <v>24</v>
      </c>
      <c r="D409" s="2" t="s">
        <v>921</v>
      </c>
      <c r="E409" s="2" t="s">
        <v>53</v>
      </c>
      <c r="F409" s="11" t="s">
        <v>933</v>
      </c>
      <c r="G409" t="s">
        <v>39</v>
      </c>
      <c r="H409" t="s">
        <v>934</v>
      </c>
      <c r="I409" t="s">
        <v>935</v>
      </c>
      <c r="J409" s="6" t="str">
        <f>HYPERLINK("https://www.biovista.com/db/link/%5B%5B%22Disease%7CGlutaric%20aciduria%201%22%5D,%20%5B%22Drug%7CDizocilpine%20Maleate%22%5D%5D?strength-weight-map=%257B%2522MEDLINE_STRENGTH_AB%2522:1.0,%2522HPO%2522:100.0%257D", "Show Evidence...")</f>
        <v>Show Evidence...</v>
      </c>
    </row>
    <row r="410" spans="1:10" ht="12.75">
      <c r="A410" s="2" t="s">
        <v>50</v>
      </c>
      <c r="B410" s="2" t="s">
        <v>920</v>
      </c>
      <c r="C410" s="2" t="s">
        <v>24</v>
      </c>
      <c r="D410" s="2" t="s">
        <v>921</v>
      </c>
      <c r="E410" s="2" t="s">
        <v>53</v>
      </c>
      <c r="F410" s="11" t="s">
        <v>936</v>
      </c>
      <c r="G410" t="s">
        <v>39</v>
      </c>
      <c r="H410" t="s">
        <v>937</v>
      </c>
      <c r="I410" t="s">
        <v>938</v>
      </c>
      <c r="J410" s="6" t="str">
        <f>HYPERLINK("https://www.biovista.com/db/link/%5B%5B%22Disease%7CGlutaric%20aciduria%201%22%5D,%20%5B%22Drug%7CBaclofen%22%5D%5D?strength-weight-map=%257B%2522MEDLINE_STRENGTH_AB%2522:1.0,%2522HPO%2522:100.0%257D", "Show Evidence...")</f>
        <v>Show Evidence...</v>
      </c>
    </row>
    <row r="411" spans="1:10" ht="12.75">
      <c r="A411" s="2" t="s">
        <v>50</v>
      </c>
      <c r="B411" s="2" t="s">
        <v>920</v>
      </c>
      <c r="C411" s="2" t="s">
        <v>24</v>
      </c>
      <c r="D411" s="2" t="s">
        <v>921</v>
      </c>
      <c r="E411" s="2" t="s">
        <v>53</v>
      </c>
      <c r="F411" s="11" t="s">
        <v>147</v>
      </c>
      <c r="G411" t="s">
        <v>39</v>
      </c>
      <c r="H411" t="s">
        <v>148</v>
      </c>
      <c r="I411" t="s">
        <v>939</v>
      </c>
      <c r="J411" s="6" t="str">
        <f>HYPERLINK("https://www.biovista.com/db/link/%5B%5B%22Disease%7CGlutaric%20aciduria%201%22%5D,%20%5B%22Drug%7CN-Methylaspartate%22%5D%5D?strength-weight-map=%257B%2522MEDLINE_STRENGTH_AB%2522:1.0,%2522HPO%2522:100.0%257D", "Show Evidence...")</f>
        <v>Show Evidence...</v>
      </c>
    </row>
    <row r="412" spans="1:10" ht="12.75">
      <c r="A412" s="2" t="s">
        <v>50</v>
      </c>
      <c r="B412" s="2" t="s">
        <v>920</v>
      </c>
      <c r="C412" s="2" t="s">
        <v>24</v>
      </c>
      <c r="D412" s="2" t="s">
        <v>921</v>
      </c>
      <c r="E412" s="2" t="s">
        <v>53</v>
      </c>
      <c r="F412" s="11" t="s">
        <v>108</v>
      </c>
      <c r="G412" t="s">
        <v>39</v>
      </c>
      <c r="H412" t="s">
        <v>109</v>
      </c>
      <c r="I412" t="s">
        <v>940</v>
      </c>
      <c r="J412" s="6" t="str">
        <f>HYPERLINK("https://www.biovista.com/db/link/%5B%5B%22Disease%7CGlutaric%20aciduria%201%22%5D,%20%5B%22Drug%7CNitric%20Oxide%22%5D%5D?strength-weight-map=%257B%2522MEDLINE_STRENGTH_AB%2522:1.0,%2522HPO%2522:100.0%257D", "Show Evidence...")</f>
        <v>Show Evidence...</v>
      </c>
    </row>
    <row r="413" spans="1:10" ht="12.75">
      <c r="A413" s="2" t="s">
        <v>50</v>
      </c>
      <c r="B413" s="2" t="s">
        <v>920</v>
      </c>
      <c r="C413" s="2" t="s">
        <v>24</v>
      </c>
      <c r="D413" s="2" t="s">
        <v>921</v>
      </c>
      <c r="E413" s="2" t="s">
        <v>53</v>
      </c>
      <c r="F413" s="11" t="s">
        <v>941</v>
      </c>
      <c r="G413" t="s">
        <v>39</v>
      </c>
      <c r="H413" t="s">
        <v>942</v>
      </c>
      <c r="I413" t="s">
        <v>943</v>
      </c>
      <c r="J413" s="6" t="str">
        <f>HYPERLINK("https://www.biovista.com/db/link/%5B%5B%22Disease%7CGlutaric%20aciduria%201%22%5D,%20%5B%22Drug%7CGlucose%22%5D%5D?strength-weight-map=%257B%2522MEDLINE_STRENGTH_AB%2522:1.0,%2522HPO%2522:100.0%257D", "Show Evidence...")</f>
        <v>Show Evidence...</v>
      </c>
    </row>
    <row r="414" spans="1:10" ht="12.75">
      <c r="A414" s="2" t="s">
        <v>50</v>
      </c>
      <c r="B414" s="2" t="s">
        <v>920</v>
      </c>
      <c r="C414" s="2" t="s">
        <v>24</v>
      </c>
      <c r="D414" s="2" t="s">
        <v>921</v>
      </c>
      <c r="E414" s="2" t="s">
        <v>53</v>
      </c>
      <c r="F414" s="11" t="s">
        <v>944</v>
      </c>
      <c r="G414" t="s">
        <v>39</v>
      </c>
      <c r="H414" t="s">
        <v>945</v>
      </c>
      <c r="I414" t="s">
        <v>943</v>
      </c>
      <c r="J414" s="6" t="str">
        <f>HYPERLINK("https://www.biovista.com/db/link/%5B%5B%22Disease%7CGlutaric%20aciduria%201%22%5D,%20%5B%22Drug%7CVitamin%20B%2012%22%5D%5D?strength-weight-map=%257B%2522MEDLINE_STRENGTH_AB%2522:1.0,%2522HPO%2522:100.0%257D", "Show Evidence...")</f>
        <v>Show Evidence...</v>
      </c>
    </row>
    <row r="415" spans="1:10" ht="12.75">
      <c r="A415" s="2" t="s">
        <v>50</v>
      </c>
      <c r="B415" s="2" t="s">
        <v>920</v>
      </c>
      <c r="C415" s="2" t="s">
        <v>24</v>
      </c>
      <c r="D415" s="2" t="s">
        <v>921</v>
      </c>
      <c r="E415" s="2" t="s">
        <v>53</v>
      </c>
      <c r="F415" s="11" t="s">
        <v>291</v>
      </c>
      <c r="G415" t="s">
        <v>39</v>
      </c>
      <c r="H415" t="s">
        <v>292</v>
      </c>
      <c r="I415" t="s">
        <v>946</v>
      </c>
      <c r="J415" s="6" t="str">
        <f>HYPERLINK("https://www.biovista.com/db/link/%5B%5B%22Disease%7CGlutaric%20aciduria%201%22%5D,%20%5B%22Drug%7CEther%22%5D%5D?strength-weight-map=%257B%2522MEDLINE_STRENGTH_AB%2522:1.0,%2522HPO%2522:100.0%257D", "Show Evidence...")</f>
        <v>Show Evidence...</v>
      </c>
    </row>
    <row r="416" spans="1:10" ht="12.75">
      <c r="A416" s="2" t="s">
        <v>50</v>
      </c>
      <c r="B416" s="2" t="s">
        <v>920</v>
      </c>
      <c r="C416" s="2" t="s">
        <v>24</v>
      </c>
      <c r="D416" s="2" t="s">
        <v>921</v>
      </c>
      <c r="E416" s="2" t="s">
        <v>53</v>
      </c>
      <c r="F416" s="11" t="s">
        <v>947</v>
      </c>
      <c r="G416" t="s">
        <v>39</v>
      </c>
      <c r="H416" t="s">
        <v>948</v>
      </c>
      <c r="I416" t="s">
        <v>949</v>
      </c>
      <c r="J416" s="6" t="str">
        <f>HYPERLINK("https://www.biovista.com/db/link/%5B%5B%22Disease%7CGlutaric%20aciduria%201%22%5D,%20%5B%22Drug%7CPhosphocreatine%22%5D%5D?strength-weight-map=%257B%2522MEDLINE_STRENGTH_AB%2522:1.0,%2522HPO%2522:100.0%257D", "Show Evidence...")</f>
        <v>Show Evidence...</v>
      </c>
    </row>
    <row r="417" spans="1:10" ht="12.75">
      <c r="A417" s="2" t="s">
        <v>50</v>
      </c>
      <c r="B417" s="2" t="s">
        <v>920</v>
      </c>
      <c r="C417" s="2" t="s">
        <v>24</v>
      </c>
      <c r="D417" s="2" t="s">
        <v>921</v>
      </c>
      <c r="E417" s="2" t="s">
        <v>53</v>
      </c>
      <c r="F417" s="11" t="s">
        <v>950</v>
      </c>
      <c r="G417" t="s">
        <v>39</v>
      </c>
      <c r="H417" t="s">
        <v>951</v>
      </c>
      <c r="I417" t="s">
        <v>952</v>
      </c>
      <c r="J417" s="6" t="str">
        <f>HYPERLINK("https://www.biovista.com/db/link/%5B%5B%22Disease%7CGlutaric%20aciduria%201%22%5D,%20%5B%22Drug%7C2-Aminoadipic%20Acid%22%5D%5D?strength-weight-map=%257B%2522MEDLINE_STRENGTH_AB%2522:1.0,%2522HPO%2522:100.0%257D", "Show Evidence...")</f>
        <v>Show Evidence...</v>
      </c>
    </row>
    <row r="418" spans="1:10" ht="12.75">
      <c r="A418" s="2" t="s">
        <v>50</v>
      </c>
      <c r="B418" s="2" t="s">
        <v>920</v>
      </c>
      <c r="C418" s="2" t="s">
        <v>24</v>
      </c>
      <c r="D418" s="2" t="s">
        <v>921</v>
      </c>
      <c r="E418" s="2" t="s">
        <v>53</v>
      </c>
      <c r="F418" s="11" t="s">
        <v>953</v>
      </c>
      <c r="G418" t="s">
        <v>39</v>
      </c>
      <c r="H418" t="s">
        <v>954</v>
      </c>
      <c r="I418" t="s">
        <v>952</v>
      </c>
      <c r="J418" s="6" t="str">
        <f>HYPERLINK("https://www.biovista.com/db/link/%5B%5B%22Disease%7CGlutaric%20aciduria%201%22%5D,%20%5B%22Drug%7CBacteriocins%22%5D%5D?strength-weight-map=%257B%2522MEDLINE_STRENGTH_AB%2522:1.0,%2522HPO%2522:100.0%257D", "Show Evidence...")</f>
        <v>Show Evidence...</v>
      </c>
    </row>
    <row r="419" spans="1:10" ht="12.75">
      <c r="A419" s="2" t="s">
        <v>50</v>
      </c>
      <c r="B419" s="2" t="s">
        <v>920</v>
      </c>
      <c r="C419" s="2" t="s">
        <v>24</v>
      </c>
      <c r="D419" s="2" t="s">
        <v>921</v>
      </c>
      <c r="E419" s="2" t="s">
        <v>53</v>
      </c>
      <c r="F419" s="11" t="s">
        <v>117</v>
      </c>
      <c r="G419" t="s">
        <v>39</v>
      </c>
      <c r="H419" t="s">
        <v>118</v>
      </c>
      <c r="I419" t="s">
        <v>952</v>
      </c>
      <c r="J419" s="6" t="str">
        <f>HYPERLINK("https://www.biovista.com/db/link/%5B%5B%22Disease%7CGlutaric%20aciduria%201%22%5D,%20%5B%22Drug%7CHydrogen%20Peroxide%22%5D%5D?strength-weight-map=%257B%2522MEDLINE_STRENGTH_AB%2522:1.0,%2522HPO%2522:100.0%257D", "Show Evidence...")</f>
        <v>Show Evidence...</v>
      </c>
    </row>
    <row r="420" spans="1:10" ht="12.75">
      <c r="A420" s="2" t="s">
        <v>50</v>
      </c>
      <c r="B420" s="2" t="s">
        <v>920</v>
      </c>
      <c r="C420" s="2" t="s">
        <v>24</v>
      </c>
      <c r="D420" s="2" t="s">
        <v>921</v>
      </c>
      <c r="E420" s="2" t="s">
        <v>53</v>
      </c>
      <c r="F420" s="11" t="s">
        <v>955</v>
      </c>
      <c r="G420" t="s">
        <v>39</v>
      </c>
      <c r="H420" t="s">
        <v>956</v>
      </c>
      <c r="I420" t="s">
        <v>952</v>
      </c>
      <c r="J420" s="6" t="str">
        <f>HYPERLINK("https://www.biovista.com/db/link/%5B%5B%22Disease%7CGlutaric%20aciduria%201%22%5D,%20%5B%22Drug%7CImmunoglobulin%20M%22%5D%5D?strength-weight-map=%257B%2522MEDLINE_STRENGTH_AB%2522:1.0,%2522HPO%2522:100.0%257D", "Show Evidence...")</f>
        <v>Show Evidence...</v>
      </c>
    </row>
    <row r="421" spans="1:10" ht="12.75">
      <c r="A421" s="2" t="s">
        <v>50</v>
      </c>
      <c r="B421" s="2" t="s">
        <v>920</v>
      </c>
      <c r="C421" s="2" t="s">
        <v>24</v>
      </c>
      <c r="D421" s="2" t="s">
        <v>921</v>
      </c>
      <c r="E421" s="2" t="s">
        <v>53</v>
      </c>
      <c r="F421" s="11" t="s">
        <v>198</v>
      </c>
      <c r="G421" t="s">
        <v>39</v>
      </c>
      <c r="H421" t="s">
        <v>199</v>
      </c>
      <c r="I421" t="s">
        <v>952</v>
      </c>
      <c r="J421" s="6" t="str">
        <f>HYPERLINK("https://www.biovista.com/db/link/%5B%5B%22Disease%7CGlutaric%20aciduria%201%22%5D,%20%5B%22Drug%7CMelatonin%22%5D%5D?strength-weight-map=%257B%2522MEDLINE_STRENGTH_AB%2522:1.0,%2522HPO%2522:100.0%257D", "Show Evidence...")</f>
        <v>Show Evidence...</v>
      </c>
    </row>
    <row r="422" spans="1:10" ht="12.75">
      <c r="A422" s="2" t="s">
        <v>50</v>
      </c>
      <c r="B422" s="2" t="s">
        <v>920</v>
      </c>
      <c r="C422" s="2" t="s">
        <v>24</v>
      </c>
      <c r="D422" s="2" t="s">
        <v>921</v>
      </c>
      <c r="E422" s="2" t="s">
        <v>53</v>
      </c>
      <c r="F422" s="11" t="s">
        <v>957</v>
      </c>
      <c r="G422" t="s">
        <v>39</v>
      </c>
      <c r="H422" t="s">
        <v>958</v>
      </c>
      <c r="I422" t="s">
        <v>959</v>
      </c>
      <c r="J422" s="6" t="str">
        <f>HYPERLINK("https://www.biovista.com/db/link/%5B%5B%22Disease%7CGlutaric%20aciduria%201%22%5D,%20%5B%22Drug%7C1-aminocyclopropane-1-carboxylic%20acid%22%5D%5D?strength-weight-map=%257B%2522MEDLINE_STRENGTH_AB%2522:1.0,%2522HPO%2522:100.0%257D", "Show Evidence...")</f>
        <v>Show Evidence...</v>
      </c>
    </row>
    <row r="423" spans="1:10" ht="12.75">
      <c r="A423" s="2" t="s">
        <v>50</v>
      </c>
      <c r="B423" s="2" t="s">
        <v>920</v>
      </c>
      <c r="C423" s="2" t="s">
        <v>24</v>
      </c>
      <c r="D423" s="2" t="s">
        <v>921</v>
      </c>
      <c r="E423" s="2" t="s">
        <v>53</v>
      </c>
      <c r="F423" s="11" t="s">
        <v>960</v>
      </c>
      <c r="G423" t="s">
        <v>39</v>
      </c>
      <c r="H423" t="s">
        <v>961</v>
      </c>
      <c r="I423" t="s">
        <v>959</v>
      </c>
      <c r="J423" s="6" t="str">
        <f>HYPERLINK("https://www.biovista.com/db/link/%5B%5B%22Disease%7CGlutaric%20aciduria%201%22%5D,%20%5B%22Drug%7CAcarbose%22%5D%5D?strength-weight-map=%257B%2522MEDLINE_STRENGTH_AB%2522:1.0,%2522HPO%2522:100.0%257D", "Show Evidence...")</f>
        <v>Show Evidence...</v>
      </c>
    </row>
    <row r="424" spans="1:10" ht="12.75">
      <c r="A424" s="2" t="s">
        <v>50</v>
      </c>
      <c r="B424" s="2" t="s">
        <v>920</v>
      </c>
      <c r="C424" s="2" t="s">
        <v>24</v>
      </c>
      <c r="D424" s="2" t="s">
        <v>921</v>
      </c>
      <c r="E424" s="2" t="s">
        <v>53</v>
      </c>
      <c r="F424" s="11" t="s">
        <v>962</v>
      </c>
      <c r="G424" t="s">
        <v>39</v>
      </c>
      <c r="H424" t="s">
        <v>963</v>
      </c>
      <c r="I424" t="s">
        <v>959</v>
      </c>
      <c r="J424" s="6" t="str">
        <f>HYPERLINK("https://www.biovista.com/db/link/%5B%5B%22Disease%7CGlutaric%20aciduria%201%22%5D,%20%5B%22Drug%7CAcetylcarnitine%22%5D%5D?strength-weight-map=%257B%2522MEDLINE_STRENGTH_AB%2522:1.0,%2522HPO%2522:100.0%257D", "Show Evidence...")</f>
        <v>Show Evidence...</v>
      </c>
    </row>
    <row r="425" spans="1:10" ht="12.75">
      <c r="A425" s="2" t="s">
        <v>50</v>
      </c>
      <c r="B425" s="2" t="s">
        <v>920</v>
      </c>
      <c r="C425" s="2" t="s">
        <v>24</v>
      </c>
      <c r="D425" s="2" t="s">
        <v>921</v>
      </c>
      <c r="E425" s="2" t="s">
        <v>53</v>
      </c>
      <c r="F425" s="11" t="s">
        <v>964</v>
      </c>
      <c r="G425" t="s">
        <v>39</v>
      </c>
      <c r="H425" t="s">
        <v>965</v>
      </c>
      <c r="I425" t="s">
        <v>959</v>
      </c>
      <c r="J425" s="6" t="str">
        <f>HYPERLINK("https://www.biovista.com/db/link/%5B%5B%22Disease%7CGlutaric%20aciduria%201%22%5D,%20%5B%22Drug%7CAcetylcysteine%22%5D%5D?strength-weight-map=%257B%2522MEDLINE_STRENGTH_AB%2522:1.0,%2522HPO%2522:100.0%257D", "Show Evidence...")</f>
        <v>Show Evidence...</v>
      </c>
    </row>
    <row r="426" spans="1:10" ht="12.75">
      <c r="A426" s="2" t="s">
        <v>50</v>
      </c>
      <c r="B426" s="2" t="s">
        <v>920</v>
      </c>
      <c r="C426" s="2" t="s">
        <v>24</v>
      </c>
      <c r="D426" s="2" t="s">
        <v>921</v>
      </c>
      <c r="E426" s="2" t="s">
        <v>53</v>
      </c>
      <c r="F426" s="11" t="s">
        <v>966</v>
      </c>
      <c r="G426" t="s">
        <v>39</v>
      </c>
      <c r="H426" t="s">
        <v>967</v>
      </c>
      <c r="I426" t="s">
        <v>959</v>
      </c>
      <c r="J426" s="6" t="str">
        <f>HYPERLINK("https://www.biovista.com/db/link/%5B%5B%22Disease%7CGlutaric%20aciduria%201%22%5D,%20%5B%22Drug%7CCholera%20Toxin%22%5D%5D?strength-weight-map=%257B%2522MEDLINE_STRENGTH_AB%2522:1.0,%2522HPO%2522:100.0%257D", "Show Evidence...")</f>
        <v>Show Evidence...</v>
      </c>
    </row>
    <row r="427" spans="1:10" ht="12.75">
      <c r="A427" s="2" t="s">
        <v>50</v>
      </c>
      <c r="B427" s="2" t="s">
        <v>920</v>
      </c>
      <c r="C427" s="2" t="s">
        <v>24</v>
      </c>
      <c r="D427" s="2" t="s">
        <v>921</v>
      </c>
      <c r="E427" s="2" t="s">
        <v>53</v>
      </c>
      <c r="F427" s="11" t="s">
        <v>968</v>
      </c>
      <c r="G427" t="s">
        <v>39</v>
      </c>
      <c r="H427" t="s">
        <v>969</v>
      </c>
      <c r="I427" t="s">
        <v>959</v>
      </c>
      <c r="J427" s="6" t="str">
        <f>HYPERLINK("https://www.biovista.com/db/link/%5B%5B%22Disease%7CGlutaric%20aciduria%201%22%5D,%20%5B%22Drug%7CImmunoglobulin%20G%22%5D%5D?strength-weight-map=%257B%2522MEDLINE_STRENGTH_AB%2522:1.0,%2522HPO%2522:100.0%257D", "Show Evidence...")</f>
        <v>Show Evidence...</v>
      </c>
    </row>
    <row r="428" spans="1:10" ht="12.75">
      <c r="A428" s="2" t="s">
        <v>50</v>
      </c>
      <c r="B428" s="2" t="s">
        <v>920</v>
      </c>
      <c r="C428" s="2" t="s">
        <v>24</v>
      </c>
      <c r="D428" s="2" t="s">
        <v>921</v>
      </c>
      <c r="E428" s="2" t="s">
        <v>53</v>
      </c>
      <c r="F428" s="11" t="s">
        <v>970</v>
      </c>
      <c r="G428" t="s">
        <v>39</v>
      </c>
      <c r="H428" t="s">
        <v>971</v>
      </c>
      <c r="I428" t="s">
        <v>959</v>
      </c>
      <c r="J428" s="6" t="str">
        <f>HYPERLINK("https://www.biovista.com/db/link/%5B%5B%22Disease%7CGlutaric%20aciduria%201%22%5D,%20%5B%22Drug%7CLectins%22%5D%5D?strength-weight-map=%257B%2522MEDLINE_STRENGTH_AB%2522:1.0,%2522HPO%2522:100.0%257D", "Show Evidence...")</f>
        <v>Show Evidence...</v>
      </c>
    </row>
    <row r="429" spans="1:10" ht="12.75">
      <c r="A429" s="2" t="s">
        <v>50</v>
      </c>
      <c r="B429" s="2" t="s">
        <v>920</v>
      </c>
      <c r="C429" s="2" t="s">
        <v>24</v>
      </c>
      <c r="D429" s="2" t="s">
        <v>921</v>
      </c>
      <c r="E429" s="2" t="s">
        <v>53</v>
      </c>
      <c r="F429" s="11" t="s">
        <v>972</v>
      </c>
      <c r="G429" t="s">
        <v>39</v>
      </c>
      <c r="H429" t="s">
        <v>973</v>
      </c>
      <c r="I429" t="s">
        <v>959</v>
      </c>
      <c r="J429" s="6" t="str">
        <f>HYPERLINK("https://www.biovista.com/db/link/%5B%5B%22Disease%7CGlutaric%20aciduria%201%22%5D,%20%5B%22Drug%7CPH.3%22%5D%5D?strength-weight-map=%257B%2522MEDLINE_STRENGTH_AB%2522:1.0,%2522HPO%2522:100.0%257D", "Show Evidence...")</f>
        <v>Show Evidence...</v>
      </c>
    </row>
    <row r="430" spans="1:10" ht="12.75">
      <c r="A430" s="2" t="s">
        <v>50</v>
      </c>
      <c r="B430" s="2" t="s">
        <v>920</v>
      </c>
      <c r="C430" s="2" t="s">
        <v>24</v>
      </c>
      <c r="D430" s="2" t="s">
        <v>921</v>
      </c>
      <c r="E430" s="2" t="s">
        <v>53</v>
      </c>
      <c r="F430" s="11" t="s">
        <v>974</v>
      </c>
      <c r="G430" t="s">
        <v>39</v>
      </c>
      <c r="H430" t="s">
        <v>975</v>
      </c>
      <c r="I430" t="s">
        <v>959</v>
      </c>
      <c r="J430" s="6" t="str">
        <f>HYPERLINK("https://www.biovista.com/db/link/%5B%5B%22Disease%7CGlutaric%20aciduria%201%22%5D,%20%5B%22Drug%7CVigabatrin%22%5D%5D?strength-weight-map=%257B%2522MEDLINE_STRENGTH_AB%2522:1.0,%2522HPO%2522:100.0%257D", "Show Evidence...")</f>
        <v>Show Evidence...</v>
      </c>
    </row>
    <row r="431" spans="1:10" ht="12.75">
      <c r="A431" s="2" t="s">
        <v>50</v>
      </c>
      <c r="B431" s="2" t="s">
        <v>920</v>
      </c>
      <c r="C431" s="2" t="s">
        <v>24</v>
      </c>
      <c r="D431" s="2" t="s">
        <v>921</v>
      </c>
      <c r="E431" s="2" t="s">
        <v>53</v>
      </c>
      <c r="F431" s="11" t="s">
        <v>976</v>
      </c>
      <c r="G431" t="s">
        <v>39</v>
      </c>
      <c r="H431" t="s">
        <v>977</v>
      </c>
      <c r="I431" t="s">
        <v>978</v>
      </c>
      <c r="J431" s="6" t="str">
        <f>HYPERLINK("https://www.biovista.com/db/link/%5B%5B%22Disease%7CGlutaric%20aciduria%201%22%5D,%20%5B%22Drug%7C1-Deoxynojirimycin%22%5D%5D?strength-weight-map=%257B%2522MEDLINE_STRENGTH_AB%2522:1.0,%2522HPO%2522:100.0%257D", "Show Evidence...")</f>
        <v>Show Evidence...</v>
      </c>
    </row>
    <row r="432" spans="1:10" ht="12.75">
      <c r="A432" s="2" t="s">
        <v>50</v>
      </c>
      <c r="B432" s="2" t="s">
        <v>920</v>
      </c>
      <c r="C432" s="2" t="s">
        <v>24</v>
      </c>
      <c r="D432" s="2" t="s">
        <v>921</v>
      </c>
      <c r="E432" s="2" t="s">
        <v>53</v>
      </c>
      <c r="F432" s="11" t="s">
        <v>979</v>
      </c>
      <c r="G432" t="s">
        <v>39</v>
      </c>
      <c r="H432" t="s">
        <v>980</v>
      </c>
      <c r="I432" t="s">
        <v>978</v>
      </c>
      <c r="J432" s="6" t="str">
        <f>HYPERLINK("https://www.biovista.com/db/link/%5B%5B%22Disease%7CGlutaric%20aciduria%201%22%5D,%20%5B%22Drug%7C6-Cyano-7-nitroquinoxaline-2,3-dione%22%5D%5D?strength-weight-map=%257B%2522MEDLINE_STRENGTH_AB%2522:1.0,%2522HPO%2522:100.0%257D", "Show Evidence...")</f>
        <v>Show Evidence...</v>
      </c>
    </row>
    <row r="433" spans="1:10" ht="12.75">
      <c r="A433" s="2" t="s">
        <v>50</v>
      </c>
      <c r="B433" s="2" t="s">
        <v>920</v>
      </c>
      <c r="C433" s="2" t="s">
        <v>24</v>
      </c>
      <c r="D433" s="2" t="s">
        <v>921</v>
      </c>
      <c r="E433" s="2" t="s">
        <v>53</v>
      </c>
      <c r="F433" s="11" t="s">
        <v>981</v>
      </c>
      <c r="G433" t="s">
        <v>39</v>
      </c>
      <c r="H433" t="s">
        <v>982</v>
      </c>
      <c r="I433" t="s">
        <v>978</v>
      </c>
      <c r="J433" s="6" t="str">
        <f>HYPERLINK("https://www.biovista.com/db/link/%5B%5B%22Disease%7CGlutaric%20aciduria%201%22%5D,%20%5B%22Drug%7Calpha-Amino-3-hydroxy-5-methyl-4-isoxazolepropionic%20Acid%22%5D%5D?strength-weight-map=%257B%2522MEDLINE_STRENGTH_AB%2522:1.0,%2522HPO%2522:100.0%257D", "Show Evidence...")</f>
        <v>Show Evidence...</v>
      </c>
    </row>
    <row r="434" spans="1:10" ht="12.75">
      <c r="A434" s="2" t="s">
        <v>50</v>
      </c>
      <c r="B434" s="2" t="s">
        <v>920</v>
      </c>
      <c r="C434" s="2" t="s">
        <v>24</v>
      </c>
      <c r="D434" s="2" t="s">
        <v>921</v>
      </c>
      <c r="E434" s="2" t="s">
        <v>53</v>
      </c>
      <c r="F434" s="11" t="s">
        <v>983</v>
      </c>
      <c r="G434" t="s">
        <v>39</v>
      </c>
      <c r="H434" t="s">
        <v>984</v>
      </c>
      <c r="I434" t="s">
        <v>978</v>
      </c>
      <c r="J434" s="6" t="str">
        <f>HYPERLINK("https://www.biovista.com/db/link/%5B%5B%22Disease%7CGlutaric%20aciduria%201%22%5D,%20%5B%22Drug%7Camino-acid,%20glucose,%20and%20electrolyte%20solution%22%5D%5D?strength-weight-map=%257B%2522MEDLINE_STRENGTH_AB%2522:1.0,%2522HPO%2522:100.0%257D", "Show Evidence...")</f>
        <v>Show Evidence...</v>
      </c>
    </row>
    <row r="435" spans="1:10" ht="12.75">
      <c r="A435" s="2" t="s">
        <v>50</v>
      </c>
      <c r="B435" s="2" t="s">
        <v>920</v>
      </c>
      <c r="C435" s="2" t="s">
        <v>24</v>
      </c>
      <c r="D435" s="2" t="s">
        <v>921</v>
      </c>
      <c r="E435" s="2" t="s">
        <v>53</v>
      </c>
      <c r="F435" s="11" t="s">
        <v>184</v>
      </c>
      <c r="G435" t="s">
        <v>39</v>
      </c>
      <c r="H435" t="s">
        <v>185</v>
      </c>
      <c r="I435" t="s">
        <v>978</v>
      </c>
      <c r="J435" s="6" t="str">
        <f>HYPERLINK("https://www.biovista.com/db/link/%5B%5B%22Disease%7CGlutaric%20aciduria%201%22%5D,%20%5B%22Drug%7CAscorbic%20Acid%22%5D%5D?strength-weight-map=%257B%2522MEDLINE_STRENGTH_AB%2522:1.0,%2522HPO%2522:100.0%257D", "Show Evidence...")</f>
        <v>Show Evidence...</v>
      </c>
    </row>
    <row r="436" spans="1:10" ht="12.75">
      <c r="A436" s="2" t="s">
        <v>50</v>
      </c>
      <c r="B436" s="2" t="s">
        <v>920</v>
      </c>
      <c r="C436" s="2" t="s">
        <v>24</v>
      </c>
      <c r="D436" s="2" t="s">
        <v>921</v>
      </c>
      <c r="E436" s="2" t="s">
        <v>53</v>
      </c>
      <c r="F436" s="11" t="s">
        <v>985</v>
      </c>
      <c r="G436" t="s">
        <v>39</v>
      </c>
      <c r="H436" t="s">
        <v>986</v>
      </c>
      <c r="I436" t="s">
        <v>978</v>
      </c>
      <c r="J436" s="6" t="str">
        <f>HYPERLINK("https://www.biovista.com/db/link/%5B%5B%22Disease%7CGlutaric%20aciduria%201%22%5D,%20%5B%22Drug%7Cbetadex%22%5D%5D?strength-weight-map=%257B%2522MEDLINE_STRENGTH_AB%2522:1.0,%2522HPO%2522:100.0%257D", "Show Evidence...")</f>
        <v>Show Evidence...</v>
      </c>
    </row>
    <row r="437" spans="1:10" ht="12.75">
      <c r="A437" s="2" t="s">
        <v>50</v>
      </c>
      <c r="B437" s="2" t="s">
        <v>920</v>
      </c>
      <c r="C437" s="2" t="s">
        <v>24</v>
      </c>
      <c r="D437" s="2" t="s">
        <v>921</v>
      </c>
      <c r="E437" s="2" t="s">
        <v>53</v>
      </c>
      <c r="F437" s="11" t="s">
        <v>155</v>
      </c>
      <c r="G437" t="s">
        <v>39</v>
      </c>
      <c r="H437" t="s">
        <v>156</v>
      </c>
      <c r="I437" t="s">
        <v>978</v>
      </c>
      <c r="J437" s="6" t="str">
        <f>HYPERLINK("https://www.biovista.com/db/link/%5B%5B%22Disease%7CGlutaric%20aciduria%201%22%5D,%20%5B%22Drug%7CCholine%22%5D%5D?strength-weight-map=%257B%2522MEDLINE_STRENGTH_AB%2522:1.0,%2522HPO%2522:100.0%257D", "Show Evidence...")</f>
        <v>Show Evidence...</v>
      </c>
    </row>
    <row r="438" spans="1:10" ht="12.75">
      <c r="A438" s="2" t="s">
        <v>50</v>
      </c>
      <c r="B438" s="2" t="s">
        <v>920</v>
      </c>
      <c r="C438" s="2" t="s">
        <v>24</v>
      </c>
      <c r="D438" s="2" t="s">
        <v>921</v>
      </c>
      <c r="E438" s="2" t="s">
        <v>53</v>
      </c>
      <c r="F438" s="11" t="s">
        <v>987</v>
      </c>
      <c r="G438" t="s">
        <v>39</v>
      </c>
      <c r="H438" t="s">
        <v>988</v>
      </c>
      <c r="I438" t="s">
        <v>978</v>
      </c>
      <c r="J438" s="6" t="str">
        <f>HYPERLINK("https://www.biovista.com/db/link/%5B%5B%22Disease%7CGlutaric%20aciduria%201%22%5D,%20%5B%22Drug%7CFG%209041%22%5D%5D?strength-weight-map=%257B%2522MEDLINE_STRENGTH_AB%2522:1.0,%2522HPO%2522:100.0%257D", "Show Evidence...")</f>
        <v>Show Evidence...</v>
      </c>
    </row>
    <row r="439" spans="1:10" ht="12.75">
      <c r="A439" s="2" t="s">
        <v>50</v>
      </c>
      <c r="B439" s="2" t="s">
        <v>920</v>
      </c>
      <c r="C439" s="2" t="s">
        <v>24</v>
      </c>
      <c r="D439" s="2" t="s">
        <v>921</v>
      </c>
      <c r="E439" s="2" t="s">
        <v>53</v>
      </c>
      <c r="F439" s="11" t="s">
        <v>989</v>
      </c>
      <c r="G439" t="s">
        <v>39</v>
      </c>
      <c r="H439" t="s">
        <v>990</v>
      </c>
      <c r="I439" t="s">
        <v>978</v>
      </c>
      <c r="J439" s="6" t="str">
        <f>HYPERLINK("https://www.biovista.com/db/link/%5B%5B%22Disease%7CGlutaric%20aciduria%201%22%5D,%20%5B%22Drug%7Citurin%20A%22%5D%5D?strength-weight-map=%257B%2522MEDLINE_STRENGTH_AB%2522:1.0,%2522HPO%2522:100.0%257D", "Show Evidence...")</f>
        <v>Show Evidence...</v>
      </c>
    </row>
    <row r="440" spans="1:10" ht="12.75">
      <c r="A440" s="2" t="s">
        <v>50</v>
      </c>
      <c r="B440" s="2" t="s">
        <v>920</v>
      </c>
      <c r="C440" s="2" t="s">
        <v>24</v>
      </c>
      <c r="D440" s="2" t="s">
        <v>921</v>
      </c>
      <c r="E440" s="2" t="s">
        <v>53</v>
      </c>
      <c r="F440" s="11" t="s">
        <v>991</v>
      </c>
      <c r="G440" t="s">
        <v>39</v>
      </c>
      <c r="H440" t="s">
        <v>992</v>
      </c>
      <c r="I440" t="s">
        <v>978</v>
      </c>
      <c r="J440" s="6" t="str">
        <f>HYPERLINK("https://www.biovista.com/db/link/%5B%5B%22Disease%7CGlutaric%20aciduria%201%22%5D,%20%5B%22Drug%7Cmigalastat%22%5D%5D?strength-weight-map=%257B%2522MEDLINE_STRENGTH_AB%2522:1.0,%2522HPO%2522:100.0%257D", "Show Evidence...")</f>
        <v>Show Evidence...</v>
      </c>
    </row>
    <row r="441" spans="1:10" ht="12.75">
      <c r="A441" s="2" t="s">
        <v>50</v>
      </c>
      <c r="B441" s="2" t="s">
        <v>920</v>
      </c>
      <c r="C441" s="2" t="s">
        <v>24</v>
      </c>
      <c r="D441" s="2" t="s">
        <v>921</v>
      </c>
      <c r="E441" s="2" t="s">
        <v>53</v>
      </c>
      <c r="F441" s="11" t="s">
        <v>993</v>
      </c>
      <c r="G441" t="s">
        <v>39</v>
      </c>
      <c r="H441" t="s">
        <v>994</v>
      </c>
      <c r="I441" t="s">
        <v>978</v>
      </c>
      <c r="J441" s="6" t="str">
        <f>HYPERLINK("https://www.biovista.com/db/link/%5B%5B%22Disease%7CGlutaric%20aciduria%201%22%5D,%20%5B%22Drug%7CMuscimol%22%5D%5D?strength-weight-map=%257B%2522MEDLINE_STRENGTH_AB%2522:1.0,%2522HPO%2522:100.0%257D", "Show Evidence...")</f>
        <v>Show Evidence...</v>
      </c>
    </row>
    <row r="442" spans="1:10" ht="12.75">
      <c r="A442" s="2" t="s">
        <v>50</v>
      </c>
      <c r="B442" s="2" t="s">
        <v>920</v>
      </c>
      <c r="C442" s="2" t="s">
        <v>24</v>
      </c>
      <c r="D442" s="2" t="s">
        <v>921</v>
      </c>
      <c r="E442" s="2" t="s">
        <v>53</v>
      </c>
      <c r="F442" s="11" t="s">
        <v>995</v>
      </c>
      <c r="G442" t="s">
        <v>39</v>
      </c>
      <c r="H442" t="s">
        <v>996</v>
      </c>
      <c r="I442" t="s">
        <v>978</v>
      </c>
      <c r="J442" s="6" t="str">
        <f>HYPERLINK("https://www.biovista.com/db/link/%5B%5B%22Disease%7CGlutaric%20aciduria%201%22%5D,%20%5B%22Drug%7CNG-Nitroarginine%20Methyl%20Ester%22%5D%5D?strength-weight-map=%257B%2522MEDLINE_STRENGTH_AB%2522:1.0,%2522HPO%2522:100.0%257D", "Show Evidence...")</f>
        <v>Show Evidence...</v>
      </c>
    </row>
    <row r="443" spans="1:10" ht="12.75">
      <c r="A443" s="2" t="s">
        <v>50</v>
      </c>
      <c r="B443" s="2" t="s">
        <v>920</v>
      </c>
      <c r="C443" s="2" t="s">
        <v>24</v>
      </c>
      <c r="D443" s="2" t="s">
        <v>921</v>
      </c>
      <c r="E443" s="2" t="s">
        <v>53</v>
      </c>
      <c r="F443" s="11" t="s">
        <v>997</v>
      </c>
      <c r="G443" t="s">
        <v>39</v>
      </c>
      <c r="H443" t="s">
        <v>998</v>
      </c>
      <c r="I443" t="s">
        <v>978</v>
      </c>
      <c r="J443" s="6" t="str">
        <f>HYPERLINK("https://www.biovista.com/db/link/%5B%5B%22Disease%7CGlutaric%20aciduria%201%22%5D,%20%5B%22Drug%7CPentylenetetrazole%22%5D%5D?strength-weight-map=%257B%2522MEDLINE_STRENGTH_AB%2522:1.0,%2522HPO%2522:100.0%257D", "Show Evidence...")</f>
        <v>Show Evidence...</v>
      </c>
    </row>
    <row r="444" spans="1:10" ht="12.75">
      <c r="A444" s="2" t="s">
        <v>50</v>
      </c>
      <c r="B444" s="2" t="s">
        <v>920</v>
      </c>
      <c r="C444" s="2" t="s">
        <v>24</v>
      </c>
      <c r="D444" s="2" t="s">
        <v>921</v>
      </c>
      <c r="E444" s="2" t="s">
        <v>53</v>
      </c>
      <c r="F444" s="11" t="s">
        <v>999</v>
      </c>
      <c r="G444" t="s">
        <v>39</v>
      </c>
      <c r="H444" t="s">
        <v>1000</v>
      </c>
      <c r="I444" t="s">
        <v>978</v>
      </c>
      <c r="J444" s="6" t="str">
        <f>HYPERLINK("https://www.biovista.com/db/link/%5B%5B%22Disease%7CGlutaric%20aciduria%201%22%5D,%20%5B%22Drug%7Cpropionylcarnitine%22%5D%5D?strength-weight-map=%257B%2522MEDLINE_STRENGTH_AB%2522:1.0,%2522HPO%2522:100.0%257D", "Show Evidence...")</f>
        <v>Show Evidence...</v>
      </c>
    </row>
    <row r="445" spans="1:10" ht="12.75">
      <c r="A445" s="2" t="s">
        <v>50</v>
      </c>
      <c r="B445" s="2" t="s">
        <v>920</v>
      </c>
      <c r="C445" s="2" t="s">
        <v>24</v>
      </c>
      <c r="D445" s="2" t="s">
        <v>921</v>
      </c>
      <c r="E445" s="2" t="s">
        <v>53</v>
      </c>
      <c r="F445" s="11" t="s">
        <v>1001</v>
      </c>
      <c r="G445" t="s">
        <v>39</v>
      </c>
      <c r="H445" t="s">
        <v>1002</v>
      </c>
      <c r="I445" t="s">
        <v>978</v>
      </c>
      <c r="J445" s="6" t="str">
        <f>HYPERLINK("https://www.biovista.com/db/link/%5B%5B%22Disease%7CGlutaric%20aciduria%201%22%5D,%20%5B%22Drug%7CPropofol%22%5D%5D?strength-weight-map=%257B%2522MEDLINE_STRENGTH_AB%2522:1.0,%2522HPO%2522:100.0%257D", "Show Evidence...")</f>
        <v>Show Evidence...</v>
      </c>
    </row>
    <row r="446" spans="1:10" ht="12.75">
      <c r="A446" s="2" t="s">
        <v>50</v>
      </c>
      <c r="B446" s="2" t="s">
        <v>920</v>
      </c>
      <c r="C446" s="2" t="s">
        <v>24</v>
      </c>
      <c r="D446" s="2" t="s">
        <v>921</v>
      </c>
      <c r="E446" s="2" t="s">
        <v>53</v>
      </c>
      <c r="F446" s="11" t="s">
        <v>1003</v>
      </c>
      <c r="G446" t="s">
        <v>39</v>
      </c>
      <c r="H446" t="s">
        <v>1004</v>
      </c>
      <c r="I446" t="s">
        <v>978</v>
      </c>
      <c r="J446" s="6" t="str">
        <f>HYPERLINK("https://www.biovista.com/db/link/%5B%5B%22Disease%7CGlutaric%20aciduria%201%22%5D,%20%5B%22Drug%7CPyridoxine%22%5D%5D?strength-weight-map=%257B%2522MEDLINE_STRENGTH_AB%2522:1.0,%2522HPO%2522:100.0%257D", "Show Evidence...")</f>
        <v>Show Evidence...</v>
      </c>
    </row>
    <row r="447" spans="1:10" ht="12.75">
      <c r="A447" s="2" t="s">
        <v>50</v>
      </c>
      <c r="B447" s="2" t="s">
        <v>920</v>
      </c>
      <c r="C447" s="2" t="s">
        <v>24</v>
      </c>
      <c r="D447" s="2" t="s">
        <v>921</v>
      </c>
      <c r="E447" s="2" t="s">
        <v>53</v>
      </c>
      <c r="F447" s="11" t="s">
        <v>1005</v>
      </c>
      <c r="G447" t="s">
        <v>39</v>
      </c>
      <c r="H447" t="s">
        <v>1006</v>
      </c>
      <c r="I447" t="s">
        <v>978</v>
      </c>
      <c r="J447" s="6" t="str">
        <f>HYPERLINK("https://www.biovista.com/db/link/%5B%5B%22Disease%7CGlutaric%20aciduria%201%22%5D,%20%5B%22Drug%7CRemifentanil%22%5D%5D?strength-weight-map=%257B%2522MEDLINE_STRENGTH_AB%2522:1.0,%2522HPO%2522:100.0%257D", "Show Evidence...")</f>
        <v>Show Evidence...</v>
      </c>
    </row>
    <row r="448" spans="1:10" ht="12.75">
      <c r="A448" s="2" t="s">
        <v>50</v>
      </c>
      <c r="B448" s="2" t="s">
        <v>920</v>
      </c>
      <c r="C448" s="2" t="s">
        <v>24</v>
      </c>
      <c r="D448" s="2" t="s">
        <v>921</v>
      </c>
      <c r="E448" s="2" t="s">
        <v>53</v>
      </c>
      <c r="F448" s="11" t="s">
        <v>1007</v>
      </c>
      <c r="G448" t="s">
        <v>39</v>
      </c>
      <c r="H448" t="s">
        <v>1008</v>
      </c>
      <c r="I448" t="s">
        <v>978</v>
      </c>
      <c r="J448" s="6" t="str">
        <f>HYPERLINK("https://www.biovista.com/db/link/%5B%5B%22Disease%7CGlutaric%20aciduria%201%22%5D,%20%5B%22Drug%7CValproic%20Acid%22%5D%5D?strength-weight-map=%257B%2522MEDLINE_STRENGTH_AB%2522:1.0,%2522HPO%2522:100.0%257D", "Show Evidence...")</f>
        <v>Show Evidence...</v>
      </c>
    </row>
    <row r="449" spans="1:10" ht="12.75">
      <c r="A449" s="2" t="s">
        <v>50</v>
      </c>
      <c r="B449" s="2" t="s">
        <v>920</v>
      </c>
      <c r="C449" s="2" t="s">
        <v>24</v>
      </c>
      <c r="D449" s="2" t="s">
        <v>921</v>
      </c>
      <c r="E449" s="2" t="s">
        <v>53</v>
      </c>
      <c r="F449" s="11" t="s">
        <v>1009</v>
      </c>
      <c r="G449" t="s">
        <v>39</v>
      </c>
      <c r="H449" t="s">
        <v>1010</v>
      </c>
      <c r="I449" t="s">
        <v>1011</v>
      </c>
      <c r="J449" s="6" t="str">
        <f>HYPERLINK("https://www.biovista.com/db/link/%5B%5B%22Disease%7CGlutaric%20aciduria%201%22%5D,%20%5B%22Drug%7C3-Hydroxyanthranilic%20Acid%22%5D%5D?strength-weight-map=%257B%2522MEDLINE_STRENGTH_AB%2522:1.0,%2522HPO%2522:100.0%257D", "Show Evidence...")</f>
        <v>Show Evidence...</v>
      </c>
    </row>
    <row r="450" spans="1:10" ht="12.75">
      <c r="A450" s="2" t="s">
        <v>50</v>
      </c>
      <c r="B450" s="2" t="s">
        <v>920</v>
      </c>
      <c r="C450" s="2" t="s">
        <v>24</v>
      </c>
      <c r="D450" s="2" t="s">
        <v>921</v>
      </c>
      <c r="E450" s="2" t="s">
        <v>53</v>
      </c>
      <c r="F450" s="11" t="s">
        <v>1012</v>
      </c>
      <c r="G450" t="s">
        <v>39</v>
      </c>
      <c r="H450" t="s">
        <v>1013</v>
      </c>
      <c r="I450" t="s">
        <v>1011</v>
      </c>
      <c r="J450" s="6" t="str">
        <f>HYPERLINK("https://www.biovista.com/db/link/%5B%5B%22Disease%7CGlutaric%20aciduria%201%22%5D,%20%5B%22Drug%7C3-nitropropionic%20acid%22%5D%5D?strength-weight-map=%257B%2522MEDLINE_STRENGTH_AB%2522:1.0,%2522HPO%2522:100.0%257D", "Show Evidence...")</f>
        <v>Show Evidence...</v>
      </c>
    </row>
    <row r="451" spans="1:10" ht="12.75">
      <c r="A451" s="2" t="s">
        <v>50</v>
      </c>
      <c r="B451" s="2" t="s">
        <v>920</v>
      </c>
      <c r="C451" s="2" t="s">
        <v>24</v>
      </c>
      <c r="D451" s="2" t="s">
        <v>921</v>
      </c>
      <c r="E451" s="2" t="s">
        <v>53</v>
      </c>
      <c r="F451" s="11" t="s">
        <v>1014</v>
      </c>
      <c r="G451" t="s">
        <v>39</v>
      </c>
      <c r="H451" t="s">
        <v>1015</v>
      </c>
      <c r="I451" t="s">
        <v>1011</v>
      </c>
      <c r="J451" s="6" t="str">
        <f>HYPERLINK("https://www.biovista.com/db/link/%5B%5B%22Disease%7CGlutaric%20aciduria%201%22%5D,%20%5B%22Drug%7C6-hydroxy-2,5,7,8-tetramethylchroman-2-carboxylic%20acid%22%5D%5D?strength-weight-map=%257B%2522MEDLINE_STRENGTH_AB%2522:1.0,%2522HPO%2522:100.0%257D", "Show Evidence...")</f>
        <v>Show Evidence...</v>
      </c>
    </row>
    <row r="452" spans="1:10" ht="12.75">
      <c r="A452" s="2" t="s">
        <v>50</v>
      </c>
      <c r="B452" s="2" t="s">
        <v>920</v>
      </c>
      <c r="C452" s="2" t="s">
        <v>24</v>
      </c>
      <c r="D452" s="2" t="s">
        <v>921</v>
      </c>
      <c r="E452" s="2" t="s">
        <v>53</v>
      </c>
      <c r="F452" s="11" t="s">
        <v>1016</v>
      </c>
      <c r="G452" t="s">
        <v>39</v>
      </c>
      <c r="H452" t="s">
        <v>1017</v>
      </c>
      <c r="I452" t="s">
        <v>1011</v>
      </c>
      <c r="J452" s="6" t="str">
        <f>HYPERLINK("https://www.biovista.com/db/link/%5B%5B%22Disease%7CGlutaric%20aciduria%201%22%5D,%20%5B%22Drug%7Canthranilic%20acid%22%5D%5D?strength-weight-map=%257B%2522MEDLINE_STRENGTH_AB%2522:1.0,%2522HPO%2522:100.0%257D", "Show Evidence...")</f>
        <v>Show Evidence...</v>
      </c>
    </row>
    <row r="453" spans="1:10" ht="12.75">
      <c r="A453" s="2" t="s">
        <v>50</v>
      </c>
      <c r="B453" s="2" t="s">
        <v>920</v>
      </c>
      <c r="C453" s="2" t="s">
        <v>24</v>
      </c>
      <c r="D453" s="2" t="s">
        <v>921</v>
      </c>
      <c r="E453" s="2" t="s">
        <v>53</v>
      </c>
      <c r="F453" s="11" t="s">
        <v>1018</v>
      </c>
      <c r="G453" t="s">
        <v>39</v>
      </c>
      <c r="H453" t="s">
        <v>1019</v>
      </c>
      <c r="I453" t="s">
        <v>1011</v>
      </c>
      <c r="J453" s="6" t="str">
        <f>HYPERLINK("https://www.biovista.com/db/link/%5B%5B%22Disease%7CGlutaric%20aciduria%201%22%5D,%20%5B%22Drug%7Cbeta%20Carotene%22%5D%5D?strength-weight-map=%257B%2522MEDLINE_STRENGTH_AB%2522:1.0,%2522HPO%2522:100.0%257D", "Show Evidence...")</f>
        <v>Show Evidence...</v>
      </c>
    </row>
    <row r="454" spans="1:10" ht="12.75">
      <c r="A454" s="2" t="s">
        <v>50</v>
      </c>
      <c r="B454" s="2" t="s">
        <v>920</v>
      </c>
      <c r="C454" s="2" t="s">
        <v>24</v>
      </c>
      <c r="D454" s="2" t="s">
        <v>921</v>
      </c>
      <c r="E454" s="2" t="s">
        <v>53</v>
      </c>
      <c r="F454" s="11" t="s">
        <v>1020</v>
      </c>
      <c r="G454" t="s">
        <v>39</v>
      </c>
      <c r="H454" t="s">
        <v>1021</v>
      </c>
      <c r="I454" t="s">
        <v>1011</v>
      </c>
      <c r="J454" s="6" t="str">
        <f>HYPERLINK("https://www.biovista.com/db/link/%5B%5B%22Disease%7CGlutaric%20aciduria%201%22%5D,%20%5B%22Drug%7CBotulinum%20Toxins%22%5D%5D?strength-weight-map=%257B%2522MEDLINE_STRENGTH_AB%2522:1.0,%2522HPO%2522:100.0%257D", "Show Evidence...")</f>
        <v>Show Evidence...</v>
      </c>
    </row>
    <row r="455" spans="1:10" ht="12.75">
      <c r="A455" s="2" t="s">
        <v>50</v>
      </c>
      <c r="B455" s="2" t="s">
        <v>920</v>
      </c>
      <c r="C455" s="2" t="s">
        <v>24</v>
      </c>
      <c r="D455" s="2" t="s">
        <v>921</v>
      </c>
      <c r="E455" s="2" t="s">
        <v>53</v>
      </c>
      <c r="F455" s="11" t="s">
        <v>1022</v>
      </c>
      <c r="G455" t="s">
        <v>39</v>
      </c>
      <c r="H455" t="s">
        <v>1023</v>
      </c>
      <c r="I455" t="s">
        <v>1011</v>
      </c>
      <c r="J455" s="6" t="str">
        <f>HYPERLINK("https://www.biovista.com/db/link/%5B%5B%22Disease%7CGlutaric%20aciduria%201%22%5D,%20%5B%22Drug%7CCDTA%22%5D%5D?strength-weight-map=%257B%2522MEDLINE_STRENGTH_AB%2522:1.0,%2522HPO%2522:100.0%257D", "Show Evidence...")</f>
        <v>Show Evidence...</v>
      </c>
    </row>
    <row r="456" spans="1:10" ht="12.75">
      <c r="A456" s="2" t="s">
        <v>50</v>
      </c>
      <c r="B456" s="2" t="s">
        <v>920</v>
      </c>
      <c r="C456" s="2" t="s">
        <v>24</v>
      </c>
      <c r="D456" s="2" t="s">
        <v>921</v>
      </c>
      <c r="E456" s="2" t="s">
        <v>53</v>
      </c>
      <c r="F456" s="11" t="s">
        <v>189</v>
      </c>
      <c r="G456" t="s">
        <v>39</v>
      </c>
      <c r="H456" t="s">
        <v>190</v>
      </c>
      <c r="I456" t="s">
        <v>1011</v>
      </c>
      <c r="J456" s="6" t="str">
        <f>HYPERLINK("https://www.biovista.com/db/link/%5B%5B%22Disease%7CGlutaric%20aciduria%201%22%5D,%20%5B%22Drug%7CCurcumin%22%5D%5D?strength-weight-map=%257B%2522MEDLINE_STRENGTH_AB%2522:1.0,%2522HPO%2522:100.0%257D", "Show Evidence...")</f>
        <v>Show Evidence...</v>
      </c>
    </row>
    <row r="457" spans="1:10" ht="12.75">
      <c r="A457" s="2" t="s">
        <v>50</v>
      </c>
      <c r="B457" s="2" t="s">
        <v>920</v>
      </c>
      <c r="C457" s="2" t="s">
        <v>24</v>
      </c>
      <c r="D457" s="2" t="s">
        <v>921</v>
      </c>
      <c r="E457" s="2" t="s">
        <v>53</v>
      </c>
      <c r="F457" s="11" t="s">
        <v>1024</v>
      </c>
      <c r="G457" t="s">
        <v>39</v>
      </c>
      <c r="H457" t="s">
        <v>1025</v>
      </c>
      <c r="I457" t="s">
        <v>1011</v>
      </c>
      <c r="J457" s="6" t="str">
        <f>HYPERLINK("https://www.biovista.com/db/link/%5B%5B%22Disease%7CGlutaric%20aciduria%201%22%5D,%20%5B%22Drug%7CFlavin%20Mononucleotide%22%5D%5D?strength-weight-map=%257B%2522MEDLINE_STRENGTH_AB%2522:1.0,%2522HPO%2522:100.0%257D", "Show Evidence...")</f>
        <v>Show Evidence...</v>
      </c>
    </row>
    <row r="458" spans="1:10" ht="12.75">
      <c r="A458" s="2" t="s">
        <v>50</v>
      </c>
      <c r="B458" s="2" t="s">
        <v>920</v>
      </c>
      <c r="C458" s="2" t="s">
        <v>24</v>
      </c>
      <c r="D458" s="2" t="s">
        <v>921</v>
      </c>
      <c r="E458" s="2" t="s">
        <v>53</v>
      </c>
      <c r="F458" s="11" t="s">
        <v>226</v>
      </c>
      <c r="G458" t="s">
        <v>39</v>
      </c>
      <c r="H458" t="s">
        <v>227</v>
      </c>
      <c r="I458" t="s">
        <v>1011</v>
      </c>
      <c r="J458" s="6" t="str">
        <f>HYPERLINK("https://www.biovista.com/db/link/%5B%5B%22Disease%7CGlutaric%20aciduria%201%22%5D,%20%5B%22Drug%7CFluorodeoxyglucose%20F18%22%5D%5D?strength-weight-map=%257B%2522MEDLINE_STRENGTH_AB%2522:1.0,%2522HPO%2522:100.0%257D", "Show Evidence...")</f>
        <v>Show Evidence...</v>
      </c>
    </row>
    <row r="459" spans="1:10" ht="12.75">
      <c r="A459" s="2" t="s">
        <v>50</v>
      </c>
      <c r="B459" s="2" t="s">
        <v>920</v>
      </c>
      <c r="C459" s="2" t="s">
        <v>24</v>
      </c>
      <c r="D459" s="2" t="s">
        <v>921</v>
      </c>
      <c r="E459" s="2" t="s">
        <v>53</v>
      </c>
      <c r="F459" s="11" t="s">
        <v>1026</v>
      </c>
      <c r="G459" t="s">
        <v>39</v>
      </c>
      <c r="H459" t="s">
        <v>1027</v>
      </c>
      <c r="I459" t="s">
        <v>1011</v>
      </c>
      <c r="J459" s="6" t="str">
        <f>HYPERLINK("https://www.biovista.com/db/link/%5B%5B%22Disease%7CGlutaric%20aciduria%201%22%5D,%20%5B%22Drug%7CFreund's%20Adjuvant%22%5D%5D?strength-weight-map=%257B%2522MEDLINE_STRENGTH_AB%2522:1.0,%2522HPO%2522:100.0%257D", "Show Evidence...")</f>
        <v>Show Evidence...</v>
      </c>
    </row>
    <row r="460" spans="1:10" ht="12.75">
      <c r="A460" s="2" t="s">
        <v>50</v>
      </c>
      <c r="B460" s="2" t="s">
        <v>920</v>
      </c>
      <c r="C460" s="2" t="s">
        <v>24</v>
      </c>
      <c r="D460" s="2" t="s">
        <v>921</v>
      </c>
      <c r="E460" s="2" t="s">
        <v>53</v>
      </c>
      <c r="F460" s="11" t="s">
        <v>1028</v>
      </c>
      <c r="G460" t="s">
        <v>39</v>
      </c>
      <c r="H460" t="s">
        <v>1029</v>
      </c>
      <c r="I460" t="s">
        <v>1011</v>
      </c>
      <c r="J460" s="6" t="str">
        <f>HYPERLINK("https://www.biovista.com/db/link/%5B%5B%22Disease%7CGlutaric%20aciduria%201%22%5D,%20%5B%22Drug%7CGuanidine%22%5D%5D?strength-weight-map=%257B%2522MEDLINE_STRENGTH_AB%2522:1.0,%2522HPO%2522:100.0%257D", "Show Evidence...")</f>
        <v>Show Evidence...</v>
      </c>
    </row>
    <row r="461" spans="1:10" ht="12.75">
      <c r="A461" s="2" t="s">
        <v>50</v>
      </c>
      <c r="B461" s="2" t="s">
        <v>920</v>
      </c>
      <c r="C461" s="2" t="s">
        <v>24</v>
      </c>
      <c r="D461" s="2" t="s">
        <v>921</v>
      </c>
      <c r="E461" s="2" t="s">
        <v>53</v>
      </c>
      <c r="F461" s="11" t="s">
        <v>1030</v>
      </c>
      <c r="G461" t="s">
        <v>39</v>
      </c>
      <c r="H461" t="s">
        <v>1031</v>
      </c>
      <c r="I461" t="s">
        <v>1011</v>
      </c>
      <c r="J461" s="6" t="str">
        <f>HYPERLINK("https://www.biovista.com/db/link/%5B%5B%22Disease%7CGlutaric%20aciduria%201%22%5D,%20%5B%22Drug%7Cifenprodil%22%5D%5D?strength-weight-map=%257B%2522MEDLINE_STRENGTH_AB%2522:1.0,%2522HPO%2522:100.0%257D", "Show Evidence...")</f>
        <v>Show Evidence...</v>
      </c>
    </row>
    <row r="462" spans="1:10" ht="12.75">
      <c r="A462" s="2" t="s">
        <v>50</v>
      </c>
      <c r="B462" s="2" t="s">
        <v>920</v>
      </c>
      <c r="C462" s="2" t="s">
        <v>24</v>
      </c>
      <c r="D462" s="2" t="s">
        <v>921</v>
      </c>
      <c r="E462" s="2" t="s">
        <v>53</v>
      </c>
      <c r="F462" s="11" t="s">
        <v>1032</v>
      </c>
      <c r="G462" t="s">
        <v>39</v>
      </c>
      <c r="H462" t="s">
        <v>1033</v>
      </c>
      <c r="I462" t="s">
        <v>1011</v>
      </c>
      <c r="J462" s="6" t="str">
        <f>HYPERLINK("https://www.biovista.com/db/link/%5B%5B%22Disease%7CGlutaric%20aciduria%201%22%5D,%20%5B%22Drug%7CImmunoglobulin%20Fab%20Fragments%22%5D%5D?strength-weight-map=%257B%2522MEDLINE_STRENGTH_AB%2522:1.0,%2522HPO%2522:100.0%257D", "Show Evidence...")</f>
        <v>Show Evidence...</v>
      </c>
    </row>
    <row r="463" spans="1:10" ht="12.75">
      <c r="A463" s="2" t="s">
        <v>50</v>
      </c>
      <c r="B463" s="2" t="s">
        <v>920</v>
      </c>
      <c r="C463" s="2" t="s">
        <v>24</v>
      </c>
      <c r="D463" s="2" t="s">
        <v>921</v>
      </c>
      <c r="E463" s="2" t="s">
        <v>53</v>
      </c>
      <c r="F463" s="11" t="s">
        <v>1034</v>
      </c>
      <c r="G463" t="s">
        <v>39</v>
      </c>
      <c r="H463" t="s">
        <v>1035</v>
      </c>
      <c r="I463" t="s">
        <v>1011</v>
      </c>
      <c r="J463" s="6" t="str">
        <f>HYPERLINK("https://www.biovista.com/db/link/%5B%5B%22Disease%7CGlutaric%20aciduria%201%22%5D,%20%5B%22Drug%7CInositol%22%5D%5D?strength-weight-map=%257B%2522MEDLINE_STRENGTH_AB%2522:1.0,%2522HPO%2522:100.0%257D", "Show Evidence...")</f>
        <v>Show Evidence...</v>
      </c>
    </row>
    <row r="464" spans="1:10" ht="12.75">
      <c r="A464" s="2" t="s">
        <v>50</v>
      </c>
      <c r="B464" s="2" t="s">
        <v>920</v>
      </c>
      <c r="C464" s="2" t="s">
        <v>24</v>
      </c>
      <c r="D464" s="2" t="s">
        <v>921</v>
      </c>
      <c r="E464" s="2" t="s">
        <v>53</v>
      </c>
      <c r="F464" s="11" t="s">
        <v>1036</v>
      </c>
      <c r="G464" t="s">
        <v>39</v>
      </c>
      <c r="H464" t="s">
        <v>1037</v>
      </c>
      <c r="I464" t="s">
        <v>1011</v>
      </c>
      <c r="J464" s="6" t="str">
        <f>HYPERLINK("https://www.biovista.com/db/link/%5B%5B%22Disease%7CGlutaric%20aciduria%201%22%5D,%20%5B%22Drug%7CKainic%20Acid%22%5D%5D?strength-weight-map=%257B%2522MEDLINE_STRENGTH_AB%2522:1.0,%2522HPO%2522:100.0%257D", "Show Evidence...")</f>
        <v>Show Evidence...</v>
      </c>
    </row>
    <row r="465" spans="1:10" ht="12.75">
      <c r="A465" s="2" t="s">
        <v>50</v>
      </c>
      <c r="B465" s="2" t="s">
        <v>920</v>
      </c>
      <c r="C465" s="2" t="s">
        <v>24</v>
      </c>
      <c r="D465" s="2" t="s">
        <v>921</v>
      </c>
      <c r="E465" s="2" t="s">
        <v>53</v>
      </c>
      <c r="F465" s="11" t="s">
        <v>1038</v>
      </c>
      <c r="G465" t="s">
        <v>39</v>
      </c>
      <c r="H465" t="s">
        <v>1039</v>
      </c>
      <c r="I465" t="s">
        <v>1011</v>
      </c>
      <c r="J465" s="6" t="str">
        <f>HYPERLINK("https://www.biovista.com/db/link/%5B%5B%22Disease%7CGlutaric%20aciduria%201%22%5D,%20%5B%22Drug%7CKynurenic%20Acid%22%5D%5D?strength-weight-map=%257B%2522MEDLINE_STRENGTH_AB%2522:1.0,%2522HPO%2522:100.0%257D", "Show Evidence...")</f>
        <v>Show Evidence...</v>
      </c>
    </row>
    <row r="466" spans="1:10" ht="12.75">
      <c r="A466" s="2" t="s">
        <v>50</v>
      </c>
      <c r="B466" s="2" t="s">
        <v>920</v>
      </c>
      <c r="C466" s="2" t="s">
        <v>24</v>
      </c>
      <c r="D466" s="2" t="s">
        <v>921</v>
      </c>
      <c r="E466" s="2" t="s">
        <v>53</v>
      </c>
      <c r="F466" s="11" t="s">
        <v>1040</v>
      </c>
      <c r="G466" t="s">
        <v>39</v>
      </c>
      <c r="H466" t="s">
        <v>1041</v>
      </c>
      <c r="I466" t="s">
        <v>1011</v>
      </c>
      <c r="J466" s="6" t="str">
        <f>HYPERLINK("https://www.biovista.com/db/link/%5B%5B%22Disease%7CGlutaric%20aciduria%201%22%5D,%20%5B%22Drug%7Closartan%20carboxylic%20acid%22%5D%5D?strength-weight-map=%257B%2522MEDLINE_STRENGTH_AB%2522:1.0,%2522HPO%2522:100.0%257D", "Show Evidence...")</f>
        <v>Show Evidence...</v>
      </c>
    </row>
    <row r="467" spans="1:10" ht="12.75">
      <c r="A467" s="2" t="s">
        <v>50</v>
      </c>
      <c r="B467" s="2" t="s">
        <v>920</v>
      </c>
      <c r="C467" s="2" t="s">
        <v>24</v>
      </c>
      <c r="D467" s="2" t="s">
        <v>921</v>
      </c>
      <c r="E467" s="2" t="s">
        <v>53</v>
      </c>
      <c r="F467" s="11" t="s">
        <v>1042</v>
      </c>
      <c r="G467" t="s">
        <v>39</v>
      </c>
      <c r="H467" t="s">
        <v>1043</v>
      </c>
      <c r="I467" t="s">
        <v>1011</v>
      </c>
      <c r="J467" s="6" t="str">
        <f>HYPERLINK("https://www.biovista.com/db/link/%5B%5B%22Disease%7CGlutaric%20aciduria%201%22%5D,%20%5B%22Drug%7CLycopene%22%5D%5D?strength-weight-map=%257B%2522MEDLINE_STRENGTH_AB%2522:1.0,%2522HPO%2522:100.0%257D", "Show Evidence...")</f>
        <v>Show Evidence...</v>
      </c>
    </row>
    <row r="468" spans="1:10" ht="12.75">
      <c r="A468" s="2" t="s">
        <v>50</v>
      </c>
      <c r="B468" s="2" t="s">
        <v>920</v>
      </c>
      <c r="C468" s="2" t="s">
        <v>24</v>
      </c>
      <c r="D468" s="2" t="s">
        <v>921</v>
      </c>
      <c r="E468" s="2" t="s">
        <v>53</v>
      </c>
      <c r="F468" s="11" t="s">
        <v>1044</v>
      </c>
      <c r="G468" t="s">
        <v>39</v>
      </c>
      <c r="H468" t="s">
        <v>1045</v>
      </c>
      <c r="I468" t="s">
        <v>1011</v>
      </c>
      <c r="J468" s="6" t="str">
        <f>HYPERLINK("https://www.biovista.com/db/link/%5B%5B%22Disease%7CGlutaric%20aciduria%201%22%5D,%20%5B%22Drug%7CLysergic%20Acid%20Diethylamide%22%5D%5D?strength-weight-map=%257B%2522MEDLINE_STRENGTH_AB%2522:1.0,%2522HPO%2522:100.0%257D", "Show Evidence...")</f>
        <v>Show Evidence...</v>
      </c>
    </row>
    <row r="469" spans="1:10" ht="12.75">
      <c r="A469" s="2" t="s">
        <v>50</v>
      </c>
      <c r="B469" s="2" t="s">
        <v>920</v>
      </c>
      <c r="C469" s="2" t="s">
        <v>24</v>
      </c>
      <c r="D469" s="2" t="s">
        <v>921</v>
      </c>
      <c r="E469" s="2" t="s">
        <v>53</v>
      </c>
      <c r="F469" s="11" t="s">
        <v>1046</v>
      </c>
      <c r="G469" t="s">
        <v>39</v>
      </c>
      <c r="H469" t="s">
        <v>1047</v>
      </c>
      <c r="I469" t="s">
        <v>1011</v>
      </c>
      <c r="J469" s="6" t="str">
        <f>HYPERLINK("https://www.biovista.com/db/link/%5B%5B%22Disease%7CGlutaric%20aciduria%201%22%5D,%20%5B%22Drug%7Cmetaperiodate%22%5D%5D?strength-weight-map=%257B%2522MEDLINE_STRENGTH_AB%2522:1.0,%2522HPO%2522:100.0%257D", "Show Evidence...")</f>
        <v>Show Evidence...</v>
      </c>
    </row>
    <row r="470" spans="1:10" ht="12.75">
      <c r="A470" s="2" t="s">
        <v>50</v>
      </c>
      <c r="B470" s="2" t="s">
        <v>920</v>
      </c>
      <c r="C470" s="2" t="s">
        <v>24</v>
      </c>
      <c r="D470" s="2" t="s">
        <v>921</v>
      </c>
      <c r="E470" s="2" t="s">
        <v>53</v>
      </c>
      <c r="F470" s="11" t="s">
        <v>1048</v>
      </c>
      <c r="G470" t="s">
        <v>39</v>
      </c>
      <c r="H470" t="s">
        <v>1049</v>
      </c>
      <c r="I470" t="s">
        <v>1011</v>
      </c>
      <c r="J470" s="6" t="str">
        <f>HYPERLINK("https://www.biovista.com/db/link/%5B%5B%22Disease%7CGlutaric%20aciduria%201%22%5D,%20%5B%22Drug%7CMethamphetamine%22%5D%5D?strength-weight-map=%257B%2522MEDLINE_STRENGTH_AB%2522:1.0,%2522HPO%2522:100.0%257D", "Show Evidence...")</f>
        <v>Show Evidence...</v>
      </c>
    </row>
    <row r="471" spans="1:10" ht="12.75">
      <c r="A471" s="2" t="s">
        <v>50</v>
      </c>
      <c r="B471" s="2" t="s">
        <v>920</v>
      </c>
      <c r="C471" s="2" t="s">
        <v>24</v>
      </c>
      <c r="D471" s="2" t="s">
        <v>921</v>
      </c>
      <c r="E471" s="2" t="s">
        <v>53</v>
      </c>
      <c r="F471" s="11" t="s">
        <v>1050</v>
      </c>
      <c r="G471" t="s">
        <v>39</v>
      </c>
      <c r="H471" t="s">
        <v>1051</v>
      </c>
      <c r="I471" t="s">
        <v>1011</v>
      </c>
      <c r="J471" s="6" t="str">
        <f>HYPERLINK("https://www.biovista.com/db/link/%5B%5B%22Disease%7CGlutaric%20aciduria%201%22%5D,%20%5B%22Drug%7COctoxynol%22%5D%5D?strength-weight-map=%257B%2522MEDLINE_STRENGTH_AB%2522:1.0,%2522HPO%2522:100.0%257D", "Show Evidence...")</f>
        <v>Show Evidence...</v>
      </c>
    </row>
    <row r="472" spans="1:10" ht="12.75">
      <c r="A472" s="2" t="s">
        <v>50</v>
      </c>
      <c r="B472" s="2" t="s">
        <v>920</v>
      </c>
      <c r="C472" s="2" t="s">
        <v>24</v>
      </c>
      <c r="D472" s="2" t="s">
        <v>921</v>
      </c>
      <c r="E472" s="2" t="s">
        <v>53</v>
      </c>
      <c r="F472" s="11" t="s">
        <v>1052</v>
      </c>
      <c r="G472" t="s">
        <v>39</v>
      </c>
      <c r="H472" t="s">
        <v>1053</v>
      </c>
      <c r="I472" t="s">
        <v>1011</v>
      </c>
      <c r="J472" s="6" t="str">
        <f>HYPERLINK("https://www.biovista.com/db/link/%5B%5B%22Disease%7CGlutaric%20aciduria%201%22%5D,%20%5B%22Drug%7CPenicillins%22%5D%5D?strength-weight-map=%257B%2522MEDLINE_STRENGTH_AB%2522:1.0,%2522HPO%2522:100.0%257D", "Show Evidence...")</f>
        <v>Show Evidence...</v>
      </c>
    </row>
    <row r="473" spans="1:10" ht="12.75">
      <c r="A473" s="2" t="s">
        <v>50</v>
      </c>
      <c r="B473" s="2" t="s">
        <v>920</v>
      </c>
      <c r="C473" s="2" t="s">
        <v>24</v>
      </c>
      <c r="D473" s="2" t="s">
        <v>921</v>
      </c>
      <c r="E473" s="2" t="s">
        <v>53</v>
      </c>
      <c r="F473" s="11" t="s">
        <v>1054</v>
      </c>
      <c r="G473" t="s">
        <v>39</v>
      </c>
      <c r="H473" t="s">
        <v>1055</v>
      </c>
      <c r="I473" t="s">
        <v>1011</v>
      </c>
      <c r="J473" s="6" t="str">
        <f>HYPERLINK("https://www.biovista.com/db/link/%5B%5B%22Disease%7CGlutaric%20aciduria%201%22%5D,%20%5B%22Drug%7Cpimagedine%22%5D%5D?strength-weight-map=%257B%2522MEDLINE_STRENGTH_AB%2522:1.0,%2522HPO%2522:100.0%257D", "Show Evidence...")</f>
        <v>Show Evidence...</v>
      </c>
    </row>
    <row r="474" spans="1:10" ht="12.75">
      <c r="A474" s="2" t="s">
        <v>50</v>
      </c>
      <c r="B474" s="2" t="s">
        <v>920</v>
      </c>
      <c r="C474" s="2" t="s">
        <v>24</v>
      </c>
      <c r="D474" s="2" t="s">
        <v>921</v>
      </c>
      <c r="E474" s="2" t="s">
        <v>53</v>
      </c>
      <c r="F474" s="11" t="s">
        <v>1056</v>
      </c>
      <c r="G474" t="s">
        <v>39</v>
      </c>
      <c r="H474" t="s">
        <v>1057</v>
      </c>
      <c r="I474" t="s">
        <v>1011</v>
      </c>
      <c r="J474" s="6" t="str">
        <f>HYPERLINK("https://www.biovista.com/db/link/%5B%5B%22Disease%7CGlutaric%20aciduria%201%22%5D,%20%5B%22Drug%7Cpotassium%20phosphate%22%5D%5D?strength-weight-map=%257B%2522MEDLINE_STRENGTH_AB%2522:1.0,%2522HPO%2522:100.0%257D", "Show Evidence...")</f>
        <v>Show Evidence...</v>
      </c>
    </row>
    <row r="475" spans="1:10" ht="12.75">
      <c r="A475" s="2" t="s">
        <v>50</v>
      </c>
      <c r="B475" s="2" t="s">
        <v>920</v>
      </c>
      <c r="C475" s="2" t="s">
        <v>24</v>
      </c>
      <c r="D475" s="2" t="s">
        <v>921</v>
      </c>
      <c r="E475" s="2" t="s">
        <v>53</v>
      </c>
      <c r="F475" s="11" t="s">
        <v>1058</v>
      </c>
      <c r="G475" t="s">
        <v>39</v>
      </c>
      <c r="H475" t="s">
        <v>1059</v>
      </c>
      <c r="I475" t="s">
        <v>1011</v>
      </c>
      <c r="J475" s="6" t="str">
        <f>HYPERLINK("https://www.biovista.com/db/link/%5B%5B%22Disease%7CGlutaric%20aciduria%201%22%5D,%20%5B%22Drug%7CPrednisolone%22%5D%5D?strength-weight-map=%257B%2522MEDLINE_STRENGTH_AB%2522:1.0,%2522HPO%2522:100.0%257D", "Show Evidence...")</f>
        <v>Show Evidence...</v>
      </c>
    </row>
    <row r="476" spans="1:10" ht="12.75">
      <c r="A476" s="2" t="s">
        <v>50</v>
      </c>
      <c r="B476" s="2" t="s">
        <v>920</v>
      </c>
      <c r="C476" s="2" t="s">
        <v>24</v>
      </c>
      <c r="D476" s="2" t="s">
        <v>921</v>
      </c>
      <c r="E476" s="2" t="s">
        <v>53</v>
      </c>
      <c r="F476" s="11" t="s">
        <v>1060</v>
      </c>
      <c r="G476" t="s">
        <v>39</v>
      </c>
      <c r="H476" t="s">
        <v>1061</v>
      </c>
      <c r="I476" t="s">
        <v>1011</v>
      </c>
      <c r="J476" s="6" t="str">
        <f>HYPERLINK("https://www.biovista.com/db/link/%5B%5B%22Disease%7CGlutaric%20aciduria%201%22%5D,%20%5B%22Drug%7Cprostaglandin%20A1%22%5D%5D?strength-weight-map=%257B%2522MEDLINE_STRENGTH_AB%2522:1.0,%2522HPO%2522:100.0%257D", "Show Evidence...")</f>
        <v>Show Evidence...</v>
      </c>
    </row>
    <row r="477" spans="1:10" ht="12.75">
      <c r="A477" s="2" t="s">
        <v>50</v>
      </c>
      <c r="B477" s="2" t="s">
        <v>920</v>
      </c>
      <c r="C477" s="2" t="s">
        <v>24</v>
      </c>
      <c r="D477" s="2" t="s">
        <v>921</v>
      </c>
      <c r="E477" s="2" t="s">
        <v>53</v>
      </c>
      <c r="F477" s="11" t="s">
        <v>1062</v>
      </c>
      <c r="G477" t="s">
        <v>39</v>
      </c>
      <c r="H477" t="s">
        <v>1063</v>
      </c>
      <c r="I477" t="s">
        <v>1011</v>
      </c>
      <c r="J477" s="6" t="str">
        <f>HYPERLINK("https://www.biovista.com/db/link/%5B%5B%22Disease%7CGlutaric%20aciduria%201%22%5D,%20%5B%22Drug%7CStreptomycin%22%5D%5D?strength-weight-map=%257B%2522MEDLINE_STRENGTH_AB%2522:1.0,%2522HPO%2522:100.0%257D", "Show Evidence...")</f>
        <v>Show Evidence...</v>
      </c>
    </row>
    <row r="478" spans="1:10" ht="12.75">
      <c r="A478" s="2" t="s">
        <v>50</v>
      </c>
      <c r="B478" s="2" t="s">
        <v>920</v>
      </c>
      <c r="C478" s="2" t="s">
        <v>24</v>
      </c>
      <c r="D478" s="2" t="s">
        <v>921</v>
      </c>
      <c r="E478" s="2" t="s">
        <v>53</v>
      </c>
      <c r="F478" s="11" t="s">
        <v>1064</v>
      </c>
      <c r="G478" t="s">
        <v>39</v>
      </c>
      <c r="H478" t="s">
        <v>1065</v>
      </c>
      <c r="I478" t="s">
        <v>1011</v>
      </c>
      <c r="J478" s="6" t="str">
        <f>HYPERLINK("https://www.biovista.com/db/link/%5B%5B%22Disease%7CGlutaric%20aciduria%201%22%5D,%20%5B%22Drug%7Csurfactin%20peptide%22%5D%5D?strength-weight-map=%257B%2522MEDLINE_STRENGTH_AB%2522:1.0,%2522HPO%2522:100.0%257D", "Show Evidence...")</f>
        <v>Show Evidence...</v>
      </c>
    </row>
    <row r="479" spans="1:10" ht="12.75">
      <c r="A479" s="2" t="s">
        <v>50</v>
      </c>
      <c r="B479" s="2" t="s">
        <v>920</v>
      </c>
      <c r="C479" s="2" t="s">
        <v>24</v>
      </c>
      <c r="D479" s="2" t="s">
        <v>921</v>
      </c>
      <c r="E479" s="2" t="s">
        <v>53</v>
      </c>
      <c r="F479" s="11" t="s">
        <v>1066</v>
      </c>
      <c r="G479" t="s">
        <v>39</v>
      </c>
      <c r="H479" t="s">
        <v>1067</v>
      </c>
      <c r="I479" t="s">
        <v>1011</v>
      </c>
      <c r="J479" s="6" t="str">
        <f>HYPERLINK("https://www.biovista.com/db/link/%5B%5B%22Disease%7CGlutaric%20aciduria%201%22%5D,%20%5B%22Drug%7CTaurocholic%20Acid%22%5D%5D?strength-weight-map=%257B%2522MEDLINE_STRENGTH_AB%2522:1.0,%2522HPO%2522:100.0%257D", "Show Evidence...")</f>
        <v>Show Evidence...</v>
      </c>
    </row>
    <row r="480" spans="1:10" ht="12.75">
      <c r="A480" s="2" t="s">
        <v>50</v>
      </c>
      <c r="B480" s="2" t="s">
        <v>920</v>
      </c>
      <c r="C480" s="2" t="s">
        <v>24</v>
      </c>
      <c r="D480" s="2" t="s">
        <v>921</v>
      </c>
      <c r="E480" s="2" t="s">
        <v>53</v>
      </c>
      <c r="F480" s="11" t="s">
        <v>1068</v>
      </c>
      <c r="G480" t="s">
        <v>39</v>
      </c>
      <c r="H480" t="s">
        <v>1069</v>
      </c>
      <c r="I480" t="s">
        <v>1011</v>
      </c>
      <c r="J480" s="6" t="str">
        <f>HYPERLINK("https://www.biovista.com/db/link/%5B%5B%22Disease%7CGlutaric%20aciduria%201%22%5D,%20%5B%22Drug%7CValsartan%22%5D%5D?strength-weight-map=%257B%2522MEDLINE_STRENGTH_AB%2522:1.0,%2522HPO%2522:100.0%257D", "Show Evidence...")</f>
        <v>Show Evidence...</v>
      </c>
    </row>
    <row r="481" spans="1:10" ht="12.75">
      <c r="A481" s="2" t="s">
        <v>50</v>
      </c>
      <c r="B481" s="2" t="s">
        <v>920</v>
      </c>
      <c r="C481" s="2" t="s">
        <v>24</v>
      </c>
      <c r="D481" s="2" t="s">
        <v>921</v>
      </c>
      <c r="E481" s="2" t="s">
        <v>53</v>
      </c>
      <c r="F481" s="11" t="s">
        <v>1070</v>
      </c>
      <c r="G481" t="s">
        <v>39</v>
      </c>
      <c r="H481" t="s">
        <v>1071</v>
      </c>
      <c r="I481" t="s">
        <v>1072</v>
      </c>
      <c r="J481" s="6" t="str">
        <f>HYPERLINK("https://www.biovista.com/db/link/%5B%5B%22Disease%7CGlutaric%20aciduria%201%22%5D,%20%5B%22Drug%7CCholic%20Acids%22%5D%5D?strength-weight-map=%257B%2522MEDLINE_STRENGTH_AB%2522:1.0,%2522HPO%2522:100.0%257D", "Show Evidence...")</f>
        <v>Show Evidence...</v>
      </c>
    </row>
    <row r="482" spans="1:10" ht="12.75">
      <c r="A482" s="2" t="s">
        <v>50</v>
      </c>
      <c r="B482" s="2" t="s">
        <v>920</v>
      </c>
      <c r="C482" s="2" t="s">
        <v>24</v>
      </c>
      <c r="D482" s="2" t="s">
        <v>921</v>
      </c>
      <c r="E482" s="2" t="s">
        <v>53</v>
      </c>
      <c r="F482" s="11" t="s">
        <v>1073</v>
      </c>
      <c r="G482" t="s">
        <v>39</v>
      </c>
      <c r="H482" t="s">
        <v>1074</v>
      </c>
      <c r="I482" t="s">
        <v>1072</v>
      </c>
      <c r="J482" s="6" t="str">
        <f>HYPERLINK("https://www.biovista.com/db/link/%5B%5B%22Disease%7CGlutaric%20aciduria%201%22%5D,%20%5B%22Drug%7CCiprofloxacin%22%5D%5D?strength-weight-map=%257B%2522MEDLINE_STRENGTH_AB%2522:1.0,%2522HPO%2522:100.0%257D", "Show Evidence...")</f>
        <v>Show Evidence...</v>
      </c>
    </row>
    <row r="483" spans="1:10" ht="12.75">
      <c r="A483" s="2" t="s">
        <v>50</v>
      </c>
      <c r="B483" s="2" t="s">
        <v>920</v>
      </c>
      <c r="C483" s="2" t="s">
        <v>24</v>
      </c>
      <c r="D483" s="2" t="s">
        <v>921</v>
      </c>
      <c r="E483" s="2" t="s">
        <v>53</v>
      </c>
      <c r="F483" s="11" t="s">
        <v>1075</v>
      </c>
      <c r="G483" t="s">
        <v>39</v>
      </c>
      <c r="H483" t="s">
        <v>1076</v>
      </c>
      <c r="I483" t="s">
        <v>1072</v>
      </c>
      <c r="J483" s="6" t="str">
        <f>HYPERLINK("https://www.biovista.com/db/link/%5B%5B%22Disease%7CGlutaric%20aciduria%201%22%5D,%20%5B%22Drug%7CCitrinin%22%5D%5D?strength-weight-map=%257B%2522MEDLINE_STRENGTH_AB%2522:1.0,%2522HPO%2522:100.0%257D", "Show Evidence...")</f>
        <v>Show Evidence...</v>
      </c>
    </row>
    <row r="484" spans="1:10" ht="12.75">
      <c r="A484" s="2" t="s">
        <v>50</v>
      </c>
      <c r="B484" s="2" t="s">
        <v>920</v>
      </c>
      <c r="C484" s="2" t="s">
        <v>24</v>
      </c>
      <c r="D484" s="2" t="s">
        <v>921</v>
      </c>
      <c r="E484" s="2" t="s">
        <v>53</v>
      </c>
      <c r="F484" s="11" t="s">
        <v>1077</v>
      </c>
      <c r="G484" t="s">
        <v>39</v>
      </c>
      <c r="H484" t="s">
        <v>1078</v>
      </c>
      <c r="I484" t="s">
        <v>1072</v>
      </c>
      <c r="J484" s="6" t="str">
        <f>HYPERLINK("https://www.biovista.com/db/link/%5B%5B%22Disease%7CGlutaric%20aciduria%201%22%5D,%20%5B%22Drug%7CClindamycin%22%5D%5D?strength-weight-map=%257B%2522MEDLINE_STRENGTH_AB%2522:1.0,%2522HPO%2522:100.0%257D", "Show Evidence...")</f>
        <v>Show Evidence...</v>
      </c>
    </row>
    <row r="485" spans="1:10" ht="12.75">
      <c r="A485" s="2" t="s">
        <v>50</v>
      </c>
      <c r="B485" s="2" t="s">
        <v>920</v>
      </c>
      <c r="C485" s="2" t="s">
        <v>24</v>
      </c>
      <c r="D485" s="2" t="s">
        <v>921</v>
      </c>
      <c r="E485" s="2" t="s">
        <v>53</v>
      </c>
      <c r="F485" s="11" t="s">
        <v>1079</v>
      </c>
      <c r="G485" t="s">
        <v>39</v>
      </c>
      <c r="H485" t="s">
        <v>1080</v>
      </c>
      <c r="I485" t="s">
        <v>1072</v>
      </c>
      <c r="J485" s="6" t="str">
        <f>HYPERLINK("https://www.biovista.com/db/link/%5B%5B%22Disease%7CGlutaric%20aciduria%201%22%5D,%20%5B%22Drug%7CClofibrate%22%5D%5D?strength-weight-map=%257B%2522MEDLINE_STRENGTH_AB%2522:1.0,%2522HPO%2522:100.0%257D", "Show Evidence...")</f>
        <v>Show Evidence...</v>
      </c>
    </row>
    <row r="486" spans="1:10" ht="12.75">
      <c r="A486" s="2" t="s">
        <v>50</v>
      </c>
      <c r="B486" s="2" t="s">
        <v>920</v>
      </c>
      <c r="C486" s="2" t="s">
        <v>24</v>
      </c>
      <c r="D486" s="2" t="s">
        <v>921</v>
      </c>
      <c r="E486" s="2" t="s">
        <v>53</v>
      </c>
      <c r="F486" s="11" t="s">
        <v>1081</v>
      </c>
      <c r="G486" t="s">
        <v>39</v>
      </c>
      <c r="H486" t="s">
        <v>1082</v>
      </c>
      <c r="I486" t="s">
        <v>1072</v>
      </c>
      <c r="J486" s="6" t="str">
        <f>HYPERLINK("https://www.biovista.com/db/link/%5B%5B%22Disease%7CGlutaric%20aciduria%201%22%5D,%20%5B%22Drug%7CClofibric%20Acid%22%5D%5D?strength-weight-map=%257B%2522MEDLINE_STRENGTH_AB%2522:1.0,%2522HPO%2522:100.0%257D", "Show Evidence...")</f>
        <v>Show Evidence...</v>
      </c>
    </row>
    <row r="487" spans="1:10" ht="12.75">
      <c r="A487" s="2" t="s">
        <v>50</v>
      </c>
      <c r="B487" s="2" t="s">
        <v>920</v>
      </c>
      <c r="C487" s="2" t="s">
        <v>24</v>
      </c>
      <c r="D487" s="2" t="s">
        <v>921</v>
      </c>
      <c r="E487" s="2" t="s">
        <v>53</v>
      </c>
      <c r="F487" s="11" t="s">
        <v>1083</v>
      </c>
      <c r="G487" t="s">
        <v>39</v>
      </c>
      <c r="H487" t="s">
        <v>1084</v>
      </c>
      <c r="I487" t="s">
        <v>1072</v>
      </c>
      <c r="J487" s="6" t="str">
        <f>HYPERLINK("https://www.biovista.com/db/link/%5B%5B%22Disease%7CGlutaric%20aciduria%201%22%5D,%20%5B%22Drug%7CClonazepam%22%5D%5D?strength-weight-map=%257B%2522MEDLINE_STRENGTH_AB%2522:1.0,%2522HPO%2522:100.0%257D", "Show Evidence...")</f>
        <v>Show Evidence...</v>
      </c>
    </row>
    <row r="488" spans="1:10" ht="12.75">
      <c r="A488" s="2" t="s">
        <v>50</v>
      </c>
      <c r="B488" s="2" t="s">
        <v>920</v>
      </c>
      <c r="C488" s="2" t="s">
        <v>24</v>
      </c>
      <c r="D488" s="2" t="s">
        <v>921</v>
      </c>
      <c r="E488" s="2" t="s">
        <v>53</v>
      </c>
      <c r="F488" s="11" t="s">
        <v>1085</v>
      </c>
      <c r="G488" t="s">
        <v>39</v>
      </c>
      <c r="H488" t="s">
        <v>1086</v>
      </c>
      <c r="I488" t="s">
        <v>1072</v>
      </c>
      <c r="J488" s="6" t="str">
        <f>HYPERLINK("https://www.biovista.com/db/link/%5B%5B%22Disease%7CGlutaric%20aciduria%201%22%5D,%20%5B%22Drug%7Ccompound%2021%22%5D%5D?strength-weight-map=%257B%2522MEDLINE_STRENGTH_AB%2522:1.0,%2522HPO%2522:100.0%257D", "Show Evidence...")</f>
        <v>Show Evidence...</v>
      </c>
    </row>
    <row r="489" spans="1:10" ht="12.75">
      <c r="A489" s="2" t="s">
        <v>50</v>
      </c>
      <c r="B489" s="2" t="s">
        <v>920</v>
      </c>
      <c r="C489" s="2" t="s">
        <v>24</v>
      </c>
      <c r="D489" s="2" t="s">
        <v>921</v>
      </c>
      <c r="E489" s="2" t="s">
        <v>53</v>
      </c>
      <c r="F489" s="11" t="s">
        <v>1087</v>
      </c>
      <c r="G489" t="s">
        <v>39</v>
      </c>
      <c r="H489" t="s">
        <v>1088</v>
      </c>
      <c r="I489" t="s">
        <v>1072</v>
      </c>
      <c r="J489" s="6" t="str">
        <f>HYPERLINK("https://www.biovista.com/db/link/%5B%5B%22Disease%7CGlutaric%20aciduria%201%22%5D,%20%5B%22Drug%7CKanamycin%22%5D%5D?strength-weight-map=%257B%2522MEDLINE_STRENGTH_AB%2522:1.0,%2522HPO%2522:100.0%257D", "Show Evidence...")</f>
        <v>Show Evidence...</v>
      </c>
    </row>
    <row r="490" spans="1:10" ht="12.75">
      <c r="A490" s="2" t="s">
        <v>50</v>
      </c>
      <c r="B490" s="2" t="s">
        <v>920</v>
      </c>
      <c r="C490" s="2" t="s">
        <v>24</v>
      </c>
      <c r="D490" s="2" t="s">
        <v>921</v>
      </c>
      <c r="E490" s="2" t="s">
        <v>53</v>
      </c>
      <c r="F490" s="11" t="s">
        <v>1089</v>
      </c>
      <c r="G490" t="s">
        <v>39</v>
      </c>
      <c r="H490" t="s">
        <v>1090</v>
      </c>
      <c r="I490" t="s">
        <v>1072</v>
      </c>
      <c r="J490" s="6" t="str">
        <f>HYPERLINK("https://www.biovista.com/db/link/%5B%5B%22Disease%7CGlutaric%20aciduria%201%22%5D,%20%5B%22Drug%7CKaolin%22%5D%5D?strength-weight-map=%257B%2522MEDLINE_STRENGTH_AB%2522:1.0,%2522HPO%2522:100.0%257D", "Show Evidence...")</f>
        <v>Show Evidence...</v>
      </c>
    </row>
    <row r="491" spans="1:10" ht="12.75">
      <c r="A491" s="2" t="s">
        <v>50</v>
      </c>
      <c r="B491" s="2" t="s">
        <v>920</v>
      </c>
      <c r="C491" s="2" t="s">
        <v>24</v>
      </c>
      <c r="D491" s="2" t="s">
        <v>921</v>
      </c>
      <c r="E491" s="2" t="s">
        <v>53</v>
      </c>
      <c r="F491" s="11" t="s">
        <v>1091</v>
      </c>
      <c r="G491" t="s">
        <v>39</v>
      </c>
      <c r="H491" t="s">
        <v>1092</v>
      </c>
      <c r="I491" t="s">
        <v>1072</v>
      </c>
      <c r="J491" s="6" t="str">
        <f>HYPERLINK("https://www.biovista.com/db/link/%5B%5B%22Disease%7CGlutaric%20aciduria%201%22%5D,%20%5B%22Drug%7CLamotrigine%22%5D%5D?strength-weight-map=%257B%2522MEDLINE_STRENGTH_AB%2522:1.0,%2522HPO%2522:100.0%257D", "Show Evidence...")</f>
        <v>Show Evidence...</v>
      </c>
    </row>
    <row r="492" spans="1:10" ht="12.75">
      <c r="A492" s="2" t="s">
        <v>50</v>
      </c>
      <c r="B492" s="2" t="s">
        <v>920</v>
      </c>
      <c r="C492" s="2" t="s">
        <v>24</v>
      </c>
      <c r="D492" s="2" t="s">
        <v>921</v>
      </c>
      <c r="E492" s="2" t="s">
        <v>53</v>
      </c>
      <c r="F492" s="11" t="s">
        <v>268</v>
      </c>
      <c r="G492" t="s">
        <v>39</v>
      </c>
      <c r="H492" t="s">
        <v>269</v>
      </c>
      <c r="I492" t="s">
        <v>1072</v>
      </c>
      <c r="J492" s="6" t="str">
        <f>HYPERLINK("https://www.biovista.com/db/link/%5B%5B%22Disease%7CGlutaric%20aciduria%201%22%5D,%20%5B%22Drug%7CLeucovorin%22%5D%5D?strength-weight-map=%257B%2522MEDLINE_STRENGTH_AB%2522:1.0,%2522HPO%2522:100.0%257D", "Show Evidence...")</f>
        <v>Show Evidence...</v>
      </c>
    </row>
    <row r="493" spans="1:10" ht="12.75">
      <c r="A493" s="2" t="s">
        <v>50</v>
      </c>
      <c r="B493" s="2" t="s">
        <v>920</v>
      </c>
      <c r="C493" s="2" t="s">
        <v>24</v>
      </c>
      <c r="D493" s="2" t="s">
        <v>921</v>
      </c>
      <c r="E493" s="2" t="s">
        <v>53</v>
      </c>
      <c r="F493" s="11" t="s">
        <v>1093</v>
      </c>
      <c r="G493" t="s">
        <v>39</v>
      </c>
      <c r="H493" t="s">
        <v>1094</v>
      </c>
      <c r="I493" t="s">
        <v>1072</v>
      </c>
      <c r="J493" s="6" t="str">
        <f>HYPERLINK("https://www.biovista.com/db/link/%5B%5B%22Disease%7CGlutaric%20aciduria%201%22%5D,%20%5B%22Drug%7CLevetiracetam%22%5D%5D?strength-weight-map=%257B%2522MEDLINE_STRENGTH_AB%2522:1.0,%2522HPO%2522:100.0%257D", "Show Evidence...")</f>
        <v>Show Evidence...</v>
      </c>
    </row>
    <row r="494" spans="1:10" ht="12.75">
      <c r="A494" s="2" t="s">
        <v>50</v>
      </c>
      <c r="B494" s="2" t="s">
        <v>920</v>
      </c>
      <c r="C494" s="2" t="s">
        <v>24</v>
      </c>
      <c r="D494" s="2" t="s">
        <v>921</v>
      </c>
      <c r="E494" s="2" t="s">
        <v>53</v>
      </c>
      <c r="F494" s="11" t="s">
        <v>1095</v>
      </c>
      <c r="G494" t="s">
        <v>39</v>
      </c>
      <c r="H494" t="s">
        <v>1096</v>
      </c>
      <c r="I494" t="s">
        <v>1072</v>
      </c>
      <c r="J494" s="6" t="str">
        <f>HYPERLINK("https://www.biovista.com/db/link/%5B%5B%22Disease%7CGlutaric%20aciduria%201%22%5D,%20%5B%22Drug%7CLevodopa%22%5D%5D?strength-weight-map=%257B%2522MEDLINE_STRENGTH_AB%2522:1.0,%2522HPO%2522:100.0%257D", "Show Evidence...")</f>
        <v>Show Evidence...</v>
      </c>
    </row>
    <row r="495" spans="1:10" ht="12.75">
      <c r="A495" s="2" t="s">
        <v>50</v>
      </c>
      <c r="B495" s="2" t="s">
        <v>920</v>
      </c>
      <c r="C495" s="2" t="s">
        <v>24</v>
      </c>
      <c r="D495" s="2" t="s">
        <v>921</v>
      </c>
      <c r="E495" s="2" t="s">
        <v>53</v>
      </c>
      <c r="F495" s="11" t="s">
        <v>1097</v>
      </c>
      <c r="G495" t="s">
        <v>39</v>
      </c>
      <c r="H495" t="s">
        <v>1098</v>
      </c>
      <c r="I495" t="s">
        <v>1072</v>
      </c>
      <c r="J495" s="6" t="str">
        <f>HYPERLINK("https://www.biovista.com/db/link/%5B%5B%22Disease%7CGlutaric%20aciduria%201%22%5D,%20%5B%22Drug%7CMalaria%20Vaccines%22%5D%5D?strength-weight-map=%257B%2522MEDLINE_STRENGTH_AB%2522:1.0,%2522HPO%2522:100.0%257D", "Show Evidence...")</f>
        <v>Show Evidence...</v>
      </c>
    </row>
    <row r="496" spans="1:10" ht="12.75">
      <c r="A496" s="2" t="s">
        <v>50</v>
      </c>
      <c r="B496" s="2" t="s">
        <v>920</v>
      </c>
      <c r="C496" s="2" t="s">
        <v>24</v>
      </c>
      <c r="D496" s="2" t="s">
        <v>921</v>
      </c>
      <c r="E496" s="2" t="s">
        <v>53</v>
      </c>
      <c r="F496" s="11" t="s">
        <v>1099</v>
      </c>
      <c r="G496" t="s">
        <v>39</v>
      </c>
      <c r="H496" t="s">
        <v>1100</v>
      </c>
      <c r="I496" t="s">
        <v>1072</v>
      </c>
      <c r="J496" s="6" t="str">
        <f>HYPERLINK("https://www.biovista.com/db/link/%5B%5B%22Disease%7CGlutaric%20aciduria%201%22%5D,%20%5B%22Drug%7Cmiglustat%22%5D%5D?strength-weight-map=%257B%2522MEDLINE_STRENGTH_AB%2522:1.0,%2522HPO%2522:100.0%257D", "Show Evidence...")</f>
        <v>Show Evidence...</v>
      </c>
    </row>
    <row r="497" spans="1:10" ht="12.75">
      <c r="A497" s="2" t="s">
        <v>50</v>
      </c>
      <c r="B497" s="2" t="s">
        <v>920</v>
      </c>
      <c r="C497" s="2" t="s">
        <v>24</v>
      </c>
      <c r="D497" s="2" t="s">
        <v>921</v>
      </c>
      <c r="E497" s="2" t="s">
        <v>53</v>
      </c>
      <c r="F497" s="11" t="s">
        <v>1101</v>
      </c>
      <c r="G497" t="s">
        <v>39</v>
      </c>
      <c r="H497" t="s">
        <v>1102</v>
      </c>
      <c r="I497" t="s">
        <v>1072</v>
      </c>
      <c r="J497" s="6" t="str">
        <f>HYPERLINK("https://www.biovista.com/db/link/%5B%5B%22Disease%7CGlutaric%20aciduria%201%22%5D,%20%5B%22Drug%7CPolidocanol%22%5D%5D?strength-weight-map=%257B%2522MEDLINE_STRENGTH_AB%2522:1.0,%2522HPO%2522:100.0%257D", "Show Evidence...")</f>
        <v>Show Evidence...</v>
      </c>
    </row>
    <row r="498" spans="1:10" ht="12.75">
      <c r="A498" s="2" t="s">
        <v>50</v>
      </c>
      <c r="B498" s="2" t="s">
        <v>920</v>
      </c>
      <c r="C498" s="2" t="s">
        <v>24</v>
      </c>
      <c r="D498" s="2" t="s">
        <v>921</v>
      </c>
      <c r="E498" s="2" t="s">
        <v>53</v>
      </c>
      <c r="F498" s="11" t="s">
        <v>1103</v>
      </c>
      <c r="G498" t="s">
        <v>39</v>
      </c>
      <c r="H498" t="s">
        <v>1104</v>
      </c>
      <c r="I498" t="s">
        <v>1072</v>
      </c>
      <c r="J498" s="6" t="str">
        <f>HYPERLINK("https://www.biovista.com/db/link/%5B%5B%22Disease%7CGlutaric%20aciduria%201%22%5D,%20%5B%22Drug%7CPyridoxal%20Phosphate%22%5D%5D?strength-weight-map=%257B%2522MEDLINE_STRENGTH_AB%2522:1.0,%2522HPO%2522:100.0%257D", "Show Evidence...")</f>
        <v>Show Evidence...</v>
      </c>
    </row>
    <row r="499" spans="1:10" ht="12.75">
      <c r="A499" s="2" t="s">
        <v>50</v>
      </c>
      <c r="B499" s="2" t="s">
        <v>920</v>
      </c>
      <c r="C499" s="2" t="s">
        <v>24</v>
      </c>
      <c r="D499" s="2" t="s">
        <v>921</v>
      </c>
      <c r="E499" s="2" t="s">
        <v>53</v>
      </c>
      <c r="F499" s="11" t="s">
        <v>1105</v>
      </c>
      <c r="G499" t="s">
        <v>39</v>
      </c>
      <c r="H499" t="s">
        <v>1106</v>
      </c>
      <c r="I499" t="s">
        <v>1072</v>
      </c>
      <c r="J499" s="6" t="str">
        <f>HYPERLINK("https://www.biovista.com/db/link/%5B%5B%22Disease%7CGlutaric%20aciduria%201%22%5D,%20%5B%22Drug%7Cremdesivir%22%5D%5D?strength-weight-map=%257B%2522MEDLINE_STRENGTH_AB%2522:1.0,%2522HPO%2522:100.0%257D", "Show Evidence...")</f>
        <v>Show Evidence...</v>
      </c>
    </row>
    <row r="500" spans="1:10" ht="12.75">
      <c r="A500" s="2" t="s">
        <v>50</v>
      </c>
      <c r="B500" s="2" t="s">
        <v>920</v>
      </c>
      <c r="C500" s="2" t="s">
        <v>24</v>
      </c>
      <c r="D500" s="2" t="s">
        <v>921</v>
      </c>
      <c r="E500" s="2" t="s">
        <v>53</v>
      </c>
      <c r="F500" s="11" t="s">
        <v>1107</v>
      </c>
      <c r="G500" t="s">
        <v>39</v>
      </c>
      <c r="H500" t="s">
        <v>1108</v>
      </c>
      <c r="I500" t="s">
        <v>1072</v>
      </c>
      <c r="J500" s="6" t="str">
        <f>HYPERLINK("https://www.biovista.com/db/link/%5B%5B%22Disease%7CGlutaric%20aciduria%201%22%5D,%20%5B%22Drug%7CRibavirin%22%5D%5D?strength-weight-map=%257B%2522MEDLINE_STRENGTH_AB%2522:1.0,%2522HPO%2522:100.0%257D", "Show Evidence...")</f>
        <v>Show Evidence...</v>
      </c>
    </row>
    <row r="501" spans="1:10" ht="12.75">
      <c r="A501" s="2" t="s">
        <v>50</v>
      </c>
      <c r="B501" s="2" t="s">
        <v>920</v>
      </c>
      <c r="C501" s="2" t="s">
        <v>24</v>
      </c>
      <c r="D501" s="2" t="s">
        <v>921</v>
      </c>
      <c r="E501" s="2" t="s">
        <v>53</v>
      </c>
      <c r="F501" s="11" t="s">
        <v>1109</v>
      </c>
      <c r="G501" t="s">
        <v>39</v>
      </c>
      <c r="H501" t="s">
        <v>1110</v>
      </c>
      <c r="I501" t="s">
        <v>1072</v>
      </c>
      <c r="J501" s="6" t="str">
        <f>HYPERLINK("https://www.biovista.com/db/link/%5B%5B%22Disease%7CGlutaric%20aciduria%201%22%5D,%20%5B%22Drug%7CSafflower%20Oil%22%5D%5D?strength-weight-map=%257B%2522MEDLINE_STRENGTH_AB%2522:1.0,%2522HPO%2522:100.0%257D", "Show Evidence...")</f>
        <v>Show Evidence...</v>
      </c>
    </row>
    <row r="502" spans="1:10" ht="12.75">
      <c r="A502" s="2" t="s">
        <v>50</v>
      </c>
      <c r="B502" s="2" t="s">
        <v>920</v>
      </c>
      <c r="C502" s="2" t="s">
        <v>24</v>
      </c>
      <c r="D502" s="2" t="s">
        <v>921</v>
      </c>
      <c r="E502" s="2" t="s">
        <v>293</v>
      </c>
      <c r="F502" s="11">
        <v>2639</v>
      </c>
      <c r="G502" t="s">
        <v>36</v>
      </c>
      <c r="H502" t="s">
        <v>1111</v>
      </c>
      <c r="I502" t="s">
        <v>1112</v>
      </c>
      <c r="J502" s="6" t="str">
        <f>HYPERLINK("https://www.biovista.com/db/link/%5B%5B%22Disease%7CGlutaric%20aciduria%201%22%5D,%20%5B%22Gene%7CGCDH%22%5D%5D?strength-weight-map=%257B%2522MEDLINE_STRENGTH_AB%2522:1.0,%2522HPO%2522:100.0%257D", "Show Evidence...")</f>
        <v>Show Evidence...</v>
      </c>
    </row>
    <row r="503" spans="1:10" ht="12.75">
      <c r="A503" s="2" t="s">
        <v>50</v>
      </c>
      <c r="B503" s="2" t="s">
        <v>920</v>
      </c>
      <c r="C503" s="2" t="s">
        <v>24</v>
      </c>
      <c r="D503" s="2" t="s">
        <v>921</v>
      </c>
      <c r="E503" s="2" t="s">
        <v>293</v>
      </c>
      <c r="F503" s="11">
        <v>4338448</v>
      </c>
      <c r="G503" t="s">
        <v>36</v>
      </c>
      <c r="H503" t="s">
        <v>1113</v>
      </c>
      <c r="I503" t="s">
        <v>1114</v>
      </c>
      <c r="J503" s="6" t="str">
        <f>HYPERLINK("https://www.biovista.com/db/link/%5B%5B%22Disease%7CGlutaric%20aciduria%201%22%5D,%20%5B%22Gene%7CGA1%22%5D%5D?strength-weight-map=%257B%2522MEDLINE_STRENGTH_AB%2522:1.0,%2522HPO%2522:100.0%257D", "Show Evidence...")</f>
        <v>Show Evidence...</v>
      </c>
    </row>
    <row r="504" spans="1:10" ht="12.75">
      <c r="A504" s="2" t="s">
        <v>50</v>
      </c>
      <c r="B504" s="2" t="s">
        <v>920</v>
      </c>
      <c r="C504" s="2" t="s">
        <v>24</v>
      </c>
      <c r="D504" s="2" t="s">
        <v>921</v>
      </c>
      <c r="E504" s="2" t="s">
        <v>293</v>
      </c>
      <c r="F504" s="11">
        <v>2639</v>
      </c>
      <c r="G504" t="s">
        <v>36</v>
      </c>
      <c r="H504" t="s">
        <v>1115</v>
      </c>
      <c r="I504" t="s">
        <v>1116</v>
      </c>
      <c r="J504" s="6" t="str">
        <f>HYPERLINK("https://www.biovista.com/db/link/%5B%5B%22Disease%7CGlutaric%20aciduria%201%22%5D,%20%5B%22Gene%7Cglutaryl-CoA%20dehydrogenase%22%5D%5D?strength-weight-map=%257B%2522MEDLINE_STRENGTH_AB%2522:1.0,%2522HPO%2522:100.0%257D", "Show Evidence...")</f>
        <v>Show Evidence...</v>
      </c>
    </row>
    <row r="505" spans="1:10" ht="12.75">
      <c r="A505" s="2" t="s">
        <v>50</v>
      </c>
      <c r="B505" s="2" t="s">
        <v>920</v>
      </c>
      <c r="C505" s="2" t="s">
        <v>24</v>
      </c>
      <c r="D505" s="2" t="s">
        <v>921</v>
      </c>
      <c r="E505" s="2" t="s">
        <v>293</v>
      </c>
      <c r="F505" s="11">
        <v>175</v>
      </c>
      <c r="G505" t="s">
        <v>36</v>
      </c>
      <c r="H505" t="s">
        <v>1117</v>
      </c>
      <c r="I505" t="s">
        <v>1118</v>
      </c>
      <c r="J505" s="6" t="str">
        <f>HYPERLINK("https://www.biovista.com/db/link/%5B%5B%22Disease%7CGlutaric%20aciduria%201%22%5D,%20%5B%22Gene%7CGA%22%5D%5D?strength-weight-map=%257B%2522MEDLINE_STRENGTH_AB%2522:1.0,%2522HPO%2522:100.0%257D", "Show Evidence...")</f>
        <v>Show Evidence...</v>
      </c>
    </row>
    <row r="506" spans="1:10" ht="12.75">
      <c r="A506" s="2" t="s">
        <v>50</v>
      </c>
      <c r="B506" s="2" t="s">
        <v>920</v>
      </c>
      <c r="C506" s="2" t="s">
        <v>24</v>
      </c>
      <c r="D506" s="2" t="s">
        <v>921</v>
      </c>
      <c r="E506" s="2" t="s">
        <v>293</v>
      </c>
      <c r="F506" s="11">
        <v>838125</v>
      </c>
      <c r="G506" t="s">
        <v>36</v>
      </c>
      <c r="H506" t="s">
        <v>1119</v>
      </c>
      <c r="I506" t="s">
        <v>1120</v>
      </c>
      <c r="J506" s="6" t="str">
        <f>HYPERLINK("https://www.biovista.com/db/link/%5B%5B%22Disease%7CGlutaric%20aciduria%201%22%5D,%20%5B%22Gene%7CGA4%22%5D%5D?strength-weight-map=%257B%2522MEDLINE_STRENGTH_AB%2522:1.0,%2522HPO%2522:100.0%257D", "Show Evidence...")</f>
        <v>Show Evidence...</v>
      </c>
    </row>
    <row r="507" spans="1:10" ht="12.75">
      <c r="A507" s="2" t="s">
        <v>50</v>
      </c>
      <c r="B507" s="2" t="s">
        <v>920</v>
      </c>
      <c r="C507" s="2" t="s">
        <v>24</v>
      </c>
      <c r="D507" s="2" t="s">
        <v>921</v>
      </c>
      <c r="E507" s="2" t="s">
        <v>293</v>
      </c>
      <c r="F507" s="11">
        <v>4325003</v>
      </c>
      <c r="G507" t="s">
        <v>36</v>
      </c>
      <c r="H507" t="s">
        <v>1121</v>
      </c>
      <c r="I507" t="s">
        <v>1122</v>
      </c>
      <c r="J507" s="6" t="str">
        <f>HYPERLINK("https://www.biovista.com/db/link/%5B%5B%22Disease%7CGlutaric%20aciduria%201%22%5D,%20%5B%22Gene%7CGA20%22%5D%5D?strength-weight-map=%257B%2522MEDLINE_STRENGTH_AB%2522:1.0,%2522HPO%2522:100.0%257D", "Show Evidence...")</f>
        <v>Show Evidence...</v>
      </c>
    </row>
    <row r="508" spans="1:10" ht="12.75">
      <c r="A508" s="2" t="s">
        <v>50</v>
      </c>
      <c r="B508" s="2" t="s">
        <v>920</v>
      </c>
      <c r="C508" s="2" t="s">
        <v>24</v>
      </c>
      <c r="D508" s="2" t="s">
        <v>921</v>
      </c>
      <c r="E508" s="2" t="s">
        <v>293</v>
      </c>
      <c r="F508" s="11">
        <v>79783</v>
      </c>
      <c r="G508" t="s">
        <v>36</v>
      </c>
      <c r="H508" t="s">
        <v>1123</v>
      </c>
      <c r="I508" t="s">
        <v>1124</v>
      </c>
      <c r="J508" s="6" t="str">
        <f>HYPERLINK("https://www.biovista.com/db/link/%5B%5B%22Disease%7CGlutaric%20aciduria%201%22%5D,%20%5B%22Gene%7CGA3%22%5D%5D?strength-weight-map=%257B%2522MEDLINE_STRENGTH_AB%2522:1.0,%2522HPO%2522:100.0%257D", "Show Evidence...")</f>
        <v>Show Evidence...</v>
      </c>
    </row>
    <row r="509" spans="1:10" ht="12.75">
      <c r="A509" s="2" t="s">
        <v>50</v>
      </c>
      <c r="B509" s="2" t="s">
        <v>920</v>
      </c>
      <c r="C509" s="2" t="s">
        <v>24</v>
      </c>
      <c r="D509" s="2" t="s">
        <v>921</v>
      </c>
      <c r="E509" s="2" t="s">
        <v>293</v>
      </c>
      <c r="F509" s="11">
        <v>828645</v>
      </c>
      <c r="G509" t="s">
        <v>36</v>
      </c>
      <c r="H509" t="s">
        <v>1125</v>
      </c>
      <c r="I509" t="s">
        <v>1126</v>
      </c>
      <c r="J509" s="6" t="str">
        <f>HYPERLINK("https://www.biovista.com/db/link/%5B%5B%22Disease%7CGlutaric%20aciduria%201%22%5D,%20%5B%22Gene%7CGA5%22%5D%5D?strength-weight-map=%257B%2522MEDLINE_STRENGTH_AB%2522:1.0,%2522HPO%2522:100.0%257D", "Show Evidence...")</f>
        <v>Show Evidence...</v>
      </c>
    </row>
    <row r="510" spans="1:10" ht="12.75">
      <c r="A510" s="2" t="s">
        <v>50</v>
      </c>
      <c r="B510" s="2" t="s">
        <v>920</v>
      </c>
      <c r="C510" s="2" t="s">
        <v>24</v>
      </c>
      <c r="D510" s="2" t="s">
        <v>921</v>
      </c>
      <c r="E510" s="2" t="s">
        <v>293</v>
      </c>
      <c r="F510" s="11">
        <v>2108</v>
      </c>
      <c r="G510" t="s">
        <v>36</v>
      </c>
      <c r="H510" t="s">
        <v>1127</v>
      </c>
      <c r="I510" t="s">
        <v>1128</v>
      </c>
      <c r="J510" s="6" t="str">
        <f>HYPERLINK("https://www.biovista.com/db/link/%5B%5B%22Disease%7CGlutaric%20aciduria%201%22%5D,%20%5B%22Gene%7CGA2%22%5D%5D?strength-weight-map=%257B%2522MEDLINE_STRENGTH_AB%2522:1.0,%2522HPO%2522:100.0%257D", "Show Evidence...")</f>
        <v>Show Evidence...</v>
      </c>
    </row>
    <row r="511" spans="1:10" ht="12.75">
      <c r="A511" s="2" t="s">
        <v>50</v>
      </c>
      <c r="B511" s="2" t="s">
        <v>920</v>
      </c>
      <c r="C511" s="2" t="s">
        <v>24</v>
      </c>
      <c r="D511" s="2" t="s">
        <v>921</v>
      </c>
      <c r="E511" s="2" t="s">
        <v>293</v>
      </c>
      <c r="F511" s="11">
        <v>114787</v>
      </c>
      <c r="G511" t="s">
        <v>36</v>
      </c>
      <c r="H511" t="s">
        <v>363</v>
      </c>
      <c r="I511" t="s">
        <v>1129</v>
      </c>
      <c r="J511" s="6" t="str">
        <f>HYPERLINK("https://www.biovista.com/db/link/%5B%5B%22Disease%7CGlutaric%20aciduria%201%22%5D,%20%5B%22Gene%7CGRIN1%22%5D%5D?strength-weight-map=%257B%2522MEDLINE_STRENGTH_AB%2522:1.0,%2522HPO%2522:100.0%257D", "Show Evidence...")</f>
        <v>Show Evidence...</v>
      </c>
    </row>
    <row r="512" spans="1:10" ht="12.75">
      <c r="A512" s="2" t="s">
        <v>50</v>
      </c>
      <c r="B512" s="2" t="s">
        <v>920</v>
      </c>
      <c r="C512" s="2" t="s">
        <v>24</v>
      </c>
      <c r="D512" s="2" t="s">
        <v>921</v>
      </c>
      <c r="E512" s="2" t="s">
        <v>293</v>
      </c>
      <c r="F512" s="11">
        <v>6647</v>
      </c>
      <c r="G512" t="s">
        <v>36</v>
      </c>
      <c r="H512" t="s">
        <v>340</v>
      </c>
      <c r="I512" t="s">
        <v>1130</v>
      </c>
      <c r="J512" s="6" t="str">
        <f>HYPERLINK("https://www.biovista.com/db/link/%5B%5B%22Disease%7CGlutaric%20aciduria%201%22%5D,%20%5B%22Gene%7CSOD%22%5D%5D?strength-weight-map=%257B%2522MEDLINE_STRENGTH_AB%2522:1.0,%2522HPO%2522:100.0%257D", "Show Evidence...")</f>
        <v>Show Evidence...</v>
      </c>
    </row>
    <row r="513" spans="1:10" ht="12.75">
      <c r="A513" s="2" t="s">
        <v>50</v>
      </c>
      <c r="B513" s="2" t="s">
        <v>920</v>
      </c>
      <c r="C513" s="2" t="s">
        <v>24</v>
      </c>
      <c r="D513" s="2" t="s">
        <v>921</v>
      </c>
      <c r="E513" s="2" t="s">
        <v>293</v>
      </c>
      <c r="F513" s="11">
        <v>847</v>
      </c>
      <c r="G513" t="s">
        <v>36</v>
      </c>
      <c r="H513" t="s">
        <v>369</v>
      </c>
      <c r="I513" t="s">
        <v>931</v>
      </c>
      <c r="J513" s="6" t="str">
        <f>HYPERLINK("https://www.biovista.com/db/link/%5B%5B%22Disease%7CGlutaric%20aciduria%201%22%5D,%20%5B%22Gene%7Ccatalase%22%5D%5D?strength-weight-map=%257B%2522MEDLINE_STRENGTH_AB%2522:1.0,%2522HPO%2522:100.0%257D", "Show Evidence...")</f>
        <v>Show Evidence...</v>
      </c>
    </row>
    <row r="514" spans="1:10" ht="12.75">
      <c r="A514" s="2" t="s">
        <v>50</v>
      </c>
      <c r="B514" s="2" t="s">
        <v>920</v>
      </c>
      <c r="C514" s="2" t="s">
        <v>24</v>
      </c>
      <c r="D514" s="2" t="s">
        <v>921</v>
      </c>
      <c r="E514" s="2" t="s">
        <v>53</v>
      </c>
      <c r="F514" s="11" t="s">
        <v>1131</v>
      </c>
      <c r="G514" t="s">
        <v>36</v>
      </c>
      <c r="H514" t="s">
        <v>1132</v>
      </c>
      <c r="I514" t="s">
        <v>932</v>
      </c>
      <c r="J514" s="6" t="str">
        <f>HYPERLINK("https://www.biovista.com/db/link/%5B%5B%22Disease%7CGlutaric%20aciduria%201%22%5D,%20%5B%22Gene%7CGlutaryl%20CoA%20Dehydrogenase%22%5D%5D?strength-weight-map=%257B%2522MEDLINE_STRENGTH_AB%2522:1.0,%2522HPO%2522:100.0%257D", "Show Evidence...")</f>
        <v>Show Evidence...</v>
      </c>
    </row>
    <row r="515" spans="1:10" ht="12.75">
      <c r="A515" s="2" t="s">
        <v>50</v>
      </c>
      <c r="B515" s="2" t="s">
        <v>920</v>
      </c>
      <c r="C515" s="2" t="s">
        <v>24</v>
      </c>
      <c r="D515" s="2" t="s">
        <v>921</v>
      </c>
      <c r="E515" s="2" t="s">
        <v>293</v>
      </c>
      <c r="F515" s="11">
        <v>457067</v>
      </c>
      <c r="G515" t="s">
        <v>36</v>
      </c>
      <c r="H515" t="s">
        <v>1133</v>
      </c>
      <c r="I515" t="s">
        <v>935</v>
      </c>
      <c r="J515" s="6" t="str">
        <f>HYPERLINK("https://www.biovista.com/db/link/%5B%5B%22Disease%7CGlutaric%20aciduria%201%22%5D,%20%5B%22Gene%7Calpha-amylase%22%5D%5D?strength-weight-map=%257B%2522MEDLINE_STRENGTH_AB%2522:1.0,%2522HPO%2522:100.0%257D", "Show Evidence...")</f>
        <v>Show Evidence...</v>
      </c>
    </row>
    <row r="516" spans="1:10" ht="12.75">
      <c r="A516" s="2" t="s">
        <v>50</v>
      </c>
      <c r="B516" s="2" t="s">
        <v>920</v>
      </c>
      <c r="C516" s="2" t="s">
        <v>24</v>
      </c>
      <c r="D516" s="2" t="s">
        <v>921</v>
      </c>
      <c r="E516" s="2" t="s">
        <v>53</v>
      </c>
      <c r="F516" s="11" t="s">
        <v>1134</v>
      </c>
      <c r="G516" t="s">
        <v>36</v>
      </c>
      <c r="H516" t="s">
        <v>1135</v>
      </c>
      <c r="I516" t="s">
        <v>935</v>
      </c>
      <c r="J516" s="6" t="str">
        <f>HYPERLINK("https://www.biovista.com/db/link/%5B%5B%22Disease%7CGlutaric%20aciduria%201%22%5D,%20%5B%22Gene%7CPlant%20Proteins,%20Dietary%22%5D%5D?strength-weight-map=%257B%2522MEDLINE_STRENGTH_AB%2522:1.0,%2522HPO%2522:100.0%257D", "Show Evidence...")</f>
        <v>Show Evidence...</v>
      </c>
    </row>
    <row r="517" spans="1:10" ht="12.75">
      <c r="A517" s="2" t="s">
        <v>50</v>
      </c>
      <c r="B517" s="2" t="s">
        <v>920</v>
      </c>
      <c r="C517" s="2" t="s">
        <v>24</v>
      </c>
      <c r="D517" s="2" t="s">
        <v>921</v>
      </c>
      <c r="E517" s="2" t="s">
        <v>53</v>
      </c>
      <c r="F517" s="11" t="s">
        <v>1136</v>
      </c>
      <c r="G517" t="s">
        <v>36</v>
      </c>
      <c r="H517" t="s">
        <v>1137</v>
      </c>
      <c r="I517" t="s">
        <v>938</v>
      </c>
      <c r="J517" s="6" t="str">
        <f>HYPERLINK("https://www.biovista.com/db/link/%5B%5B%22Disease%7CGlutaric%20aciduria%201%22%5D,%20%5B%22Gene%7Cgibberellin%203beta-hydroxylase%22%5D%5D?strength-weight-map=%257B%2522MEDLINE_STRENGTH_AB%2522:1.0,%2522HPO%2522:100.0%257D", "Show Evidence...")</f>
        <v>Show Evidence...</v>
      </c>
    </row>
    <row r="518" spans="1:10" ht="12.75">
      <c r="A518" s="2" t="s">
        <v>50</v>
      </c>
      <c r="B518" s="2" t="s">
        <v>920</v>
      </c>
      <c r="C518" s="2" t="s">
        <v>24</v>
      </c>
      <c r="D518" s="2" t="s">
        <v>921</v>
      </c>
      <c r="E518" s="2" t="s">
        <v>293</v>
      </c>
      <c r="F518" s="11">
        <v>3873129</v>
      </c>
      <c r="G518" t="s">
        <v>36</v>
      </c>
      <c r="H518" t="s">
        <v>1138</v>
      </c>
      <c r="I518" t="s">
        <v>938</v>
      </c>
      <c r="J518" s="6" t="str">
        <f>HYPERLINK("https://www.biovista.com/db/link/%5B%5B%22Disease%7CGlutaric%20aciduria%201%22%5D,%20%5B%22Gene%7Cglucoamylase%22%5D%5D?strength-weight-map=%257B%2522MEDLINE_STRENGTH_AB%2522:1.0,%2522HPO%2522:100.0%257D", "Show Evidence...")</f>
        <v>Show Evidence...</v>
      </c>
    </row>
    <row r="519" spans="1:10" ht="12.75">
      <c r="A519" s="2" t="s">
        <v>50</v>
      </c>
      <c r="B519" s="2" t="s">
        <v>920</v>
      </c>
      <c r="C519" s="2" t="s">
        <v>24</v>
      </c>
      <c r="D519" s="2" t="s">
        <v>921</v>
      </c>
      <c r="E519" s="2" t="s">
        <v>293</v>
      </c>
      <c r="F519" s="11">
        <v>100192976</v>
      </c>
      <c r="G519" t="s">
        <v>36</v>
      </c>
      <c r="H519" t="s">
        <v>1139</v>
      </c>
      <c r="I519" t="s">
        <v>938</v>
      </c>
      <c r="J519" s="6" t="str">
        <f>HYPERLINK("https://www.biovista.com/db/link/%5B%5B%22Disease%7CGlutaric%20aciduria%201%22%5D,%20%5B%22Gene%7CPhytochrome%22%5D%5D?strength-weight-map=%257B%2522MEDLINE_STRENGTH_AB%2522:1.0,%2522HPO%2522:100.0%257D", "Show Evidence...")</f>
        <v>Show Evidence...</v>
      </c>
    </row>
    <row r="520" spans="1:10" ht="12.75">
      <c r="A520" s="2" t="s">
        <v>50</v>
      </c>
      <c r="B520" s="2" t="s">
        <v>920</v>
      </c>
      <c r="C520" s="2" t="s">
        <v>24</v>
      </c>
      <c r="D520" s="2" t="s">
        <v>921</v>
      </c>
      <c r="E520" s="2" t="s">
        <v>293</v>
      </c>
      <c r="F520" s="11">
        <v>2720</v>
      </c>
      <c r="G520" t="s">
        <v>36</v>
      </c>
      <c r="H520" t="s">
        <v>1140</v>
      </c>
      <c r="I520" t="s">
        <v>1141</v>
      </c>
      <c r="J520" s="6" t="str">
        <f>HYPERLINK("https://www.biovista.com/db/link/%5B%5B%22Disease%7CGlutaric%20aciduria%201%22%5D,%20%5B%22Gene%7Cbeta-galactosidase%22%5D%5D?strength-weight-map=%257B%2522MEDLINE_STRENGTH_AB%2522:1.0,%2522HPO%2522:100.0%257D", "Show Evidence...")</f>
        <v>Show Evidence...</v>
      </c>
    </row>
    <row r="521" spans="1:10" ht="12.75">
      <c r="A521" s="2" t="s">
        <v>50</v>
      </c>
      <c r="B521" s="2" t="s">
        <v>920</v>
      </c>
      <c r="C521" s="2" t="s">
        <v>24</v>
      </c>
      <c r="D521" s="2" t="s">
        <v>921</v>
      </c>
      <c r="E521" s="2" t="s">
        <v>293</v>
      </c>
      <c r="F521" s="11">
        <v>140858</v>
      </c>
      <c r="G521" t="s">
        <v>36</v>
      </c>
      <c r="H521" t="s">
        <v>1142</v>
      </c>
      <c r="I521" t="s">
        <v>1141</v>
      </c>
      <c r="J521" s="6" t="str">
        <f>HYPERLINK("https://www.biovista.com/db/link/%5B%5B%22Disease%7CGlutaric%20aciduria%201%22%5D,%20%5B%22Gene%7CBig%22%5D%5D?strength-weight-map=%257B%2522MEDLINE_STRENGTH_AB%2522:1.0,%2522HPO%2522:100.0%257D", "Show Evidence...")</f>
        <v>Show Evidence...</v>
      </c>
    </row>
    <row r="522" spans="1:10" ht="12.75">
      <c r="A522" s="2" t="s">
        <v>50</v>
      </c>
      <c r="B522" s="2" t="s">
        <v>920</v>
      </c>
      <c r="C522" s="2" t="s">
        <v>24</v>
      </c>
      <c r="D522" s="2" t="s">
        <v>921</v>
      </c>
      <c r="E522" s="2" t="s">
        <v>293</v>
      </c>
      <c r="F522" s="11">
        <v>2639</v>
      </c>
      <c r="G522" t="s">
        <v>36</v>
      </c>
      <c r="H522" t="s">
        <v>1143</v>
      </c>
      <c r="I522" t="s">
        <v>1141</v>
      </c>
      <c r="J522" s="6" t="str">
        <f>HYPERLINK("https://www.biovista.com/db/link/%5B%5B%22Disease%7CGlutaric%20aciduria%201%22%5D,%20%5B%22Gene%7Cglutaryl-Coenzyme%20A%20dehydrogenase%22%5D%5D?strength-weight-map=%257B%2522MEDLINE_STRENGTH_AB%2522:1.0,%2522HPO%2522:100.0%257D", "Show Evidence...")</f>
        <v>Show Evidence...</v>
      </c>
    </row>
    <row r="523" spans="1:10" ht="12.75">
      <c r="A523" s="2" t="s">
        <v>50</v>
      </c>
      <c r="B523" s="2" t="s">
        <v>920</v>
      </c>
      <c r="C523" s="2" t="s">
        <v>24</v>
      </c>
      <c r="D523" s="2" t="s">
        <v>921</v>
      </c>
      <c r="E523" s="2" t="s">
        <v>53</v>
      </c>
      <c r="F523" s="11" t="s">
        <v>1136</v>
      </c>
      <c r="G523" t="s">
        <v>36</v>
      </c>
      <c r="H523" t="s">
        <v>1144</v>
      </c>
      <c r="I523" t="s">
        <v>1145</v>
      </c>
      <c r="J523" s="6" t="str">
        <f>HYPERLINK("https://www.biovista.com/db/link/%5B%5B%22Disease%7CGlutaric%20aciduria%201%22%5D,%20%5B%22Gene%7CGA%203-oxidase%22%5D%5D?strength-weight-map=%257B%2522MEDLINE_STRENGTH_AB%2522:1.0,%2522HPO%2522:100.0%257D", "Show Evidence...")</f>
        <v>Show Evidence...</v>
      </c>
    </row>
    <row r="524" spans="1:10" ht="12.75">
      <c r="A524" s="2" t="s">
        <v>50</v>
      </c>
      <c r="B524" s="2" t="s">
        <v>920</v>
      </c>
      <c r="C524" s="2" t="s">
        <v>24</v>
      </c>
      <c r="D524" s="2" t="s">
        <v>921</v>
      </c>
      <c r="E524" s="2" t="s">
        <v>293</v>
      </c>
      <c r="F524" s="11">
        <v>10480</v>
      </c>
      <c r="G524" t="s">
        <v>36</v>
      </c>
      <c r="H524" t="s">
        <v>1146</v>
      </c>
      <c r="I524" t="s">
        <v>1145</v>
      </c>
      <c r="J524" s="6" t="str">
        <f>HYPERLINK("https://www.biovista.com/db/link/%5B%5B%22Disease%7CGlutaric%20aciduria%201%22%5D,%20%5B%22Gene%7CGA17%22%5D%5D?strength-weight-map=%257B%2522MEDLINE_STRENGTH_AB%2522:1.0,%2522HPO%2522:100.0%257D", "Show Evidence...")</f>
        <v>Show Evidence...</v>
      </c>
    </row>
    <row r="525" spans="1:10" ht="12.75">
      <c r="A525" s="2" t="s">
        <v>50</v>
      </c>
      <c r="B525" s="2" t="s">
        <v>920</v>
      </c>
      <c r="C525" s="2" t="s">
        <v>24</v>
      </c>
      <c r="D525" s="2" t="s">
        <v>921</v>
      </c>
      <c r="E525" s="2" t="s">
        <v>293</v>
      </c>
      <c r="F525" s="11">
        <v>3636652</v>
      </c>
      <c r="G525" t="s">
        <v>36</v>
      </c>
      <c r="H525" t="s">
        <v>1147</v>
      </c>
      <c r="I525" t="s">
        <v>1145</v>
      </c>
      <c r="J525" s="6" t="str">
        <f>HYPERLINK("https://www.biovista.com/db/link/%5B%5B%22Disease%7CGlutaric%20aciduria%201%22%5D,%20%5B%22Gene%7Cglucan%201,4-alpha-glucosidase%22%5D%5D?strength-weight-map=%257B%2522MEDLINE_STRENGTH_AB%2522:1.0,%2522HPO%2522:100.0%257D", "Show Evidence...")</f>
        <v>Show Evidence...</v>
      </c>
    </row>
    <row r="526" spans="1:10" ht="12.75">
      <c r="A526" s="2" t="s">
        <v>50</v>
      </c>
      <c r="B526" s="2" t="s">
        <v>920</v>
      </c>
      <c r="C526" s="2" t="s">
        <v>24</v>
      </c>
      <c r="D526" s="2" t="s">
        <v>921</v>
      </c>
      <c r="E526" s="2" t="s">
        <v>293</v>
      </c>
      <c r="F526" s="11">
        <v>72448815</v>
      </c>
      <c r="G526" t="s">
        <v>36</v>
      </c>
      <c r="H526" t="s">
        <v>1148</v>
      </c>
      <c r="I526" t="s">
        <v>1145</v>
      </c>
      <c r="J526" s="6" t="str">
        <f>HYPERLINK("https://www.biovista.com/db/link/%5B%5B%22Disease%7CGlutaric%20aciduria%201%22%5D,%20%5B%22Gene%7Cglutathione%20peroxidase%22%5D%5D?strength-weight-map=%257B%2522MEDLINE_STRENGTH_AB%2522:1.0,%2522HPO%2522:100.0%257D", "Show Evidence...")</f>
        <v>Show Evidence...</v>
      </c>
    </row>
    <row r="527" spans="1:10" ht="12.75">
      <c r="A527" s="2" t="s">
        <v>50</v>
      </c>
      <c r="B527" s="2" t="s">
        <v>920</v>
      </c>
      <c r="C527" s="2" t="s">
        <v>24</v>
      </c>
      <c r="D527" s="2" t="s">
        <v>921</v>
      </c>
      <c r="E527" s="2" t="s">
        <v>293</v>
      </c>
      <c r="F527" s="11">
        <v>1213</v>
      </c>
      <c r="G527" t="s">
        <v>36</v>
      </c>
      <c r="H527" t="s">
        <v>352</v>
      </c>
      <c r="I527" t="s">
        <v>1145</v>
      </c>
      <c r="J527" s="6" t="str">
        <f>HYPERLINK("https://www.biovista.com/db/link/%5B%5B%22Disease%7CGlutaric%20aciduria%201%22%5D,%20%5B%22Gene%7CHC%22%5D%5D?strength-weight-map=%257B%2522MEDLINE_STRENGTH_AB%2522:1.0,%2522HPO%2522:100.0%257D", "Show Evidence...")</f>
        <v>Show Evidence...</v>
      </c>
    </row>
    <row r="528" spans="1:10" ht="12.75">
      <c r="A528" s="2" t="s">
        <v>50</v>
      </c>
      <c r="B528" s="2" t="s">
        <v>920</v>
      </c>
      <c r="C528" s="2" t="s">
        <v>24</v>
      </c>
      <c r="D528" s="2" t="s">
        <v>921</v>
      </c>
      <c r="E528" s="2" t="s">
        <v>293</v>
      </c>
      <c r="F528" s="11">
        <v>445</v>
      </c>
      <c r="G528" t="s">
        <v>36</v>
      </c>
      <c r="H528" t="s">
        <v>1149</v>
      </c>
      <c r="I528" t="s">
        <v>940</v>
      </c>
      <c r="J528" s="6" t="str">
        <f>HYPERLINK("https://www.biovista.com/db/link/%5B%5B%22Disease%7CGlutaric%20aciduria%201%22%5D,%20%5B%22Gene%7CASS1%22%5D%5D?strength-weight-map=%257B%2522MEDLINE_STRENGTH_AB%2522:1.0,%2522HPO%2522:100.0%257D", "Show Evidence...")</f>
        <v>Show Evidence...</v>
      </c>
    </row>
    <row r="529" spans="1:10" ht="12.75">
      <c r="A529" s="2" t="s">
        <v>50</v>
      </c>
      <c r="B529" s="2" t="s">
        <v>920</v>
      </c>
      <c r="C529" s="2" t="s">
        <v>24</v>
      </c>
      <c r="D529" s="2" t="s">
        <v>921</v>
      </c>
      <c r="E529" s="2" t="s">
        <v>293</v>
      </c>
      <c r="F529" s="11">
        <v>100176946</v>
      </c>
      <c r="G529" t="s">
        <v>36</v>
      </c>
      <c r="H529" t="s">
        <v>401</v>
      </c>
      <c r="I529" t="s">
        <v>940</v>
      </c>
      <c r="J529" s="6" t="str">
        <f>HYPERLINK("https://www.biovista.com/db/link/%5B%5B%22Disease%7CGlutaric%20aciduria%201%22%5D,%20%5B%22Gene%7Ccreatine%20kinase%22%5D%5D?strength-weight-map=%257B%2522MEDLINE_STRENGTH_AB%2522:1.0,%2522HPO%2522:100.0%257D", "Show Evidence...")</f>
        <v>Show Evidence...</v>
      </c>
    </row>
    <row r="530" spans="1:10" ht="12.75">
      <c r="A530" s="2" t="s">
        <v>50</v>
      </c>
      <c r="B530" s="2" t="s">
        <v>920</v>
      </c>
      <c r="C530" s="2" t="s">
        <v>24</v>
      </c>
      <c r="D530" s="2" t="s">
        <v>921</v>
      </c>
      <c r="E530" s="2" t="s">
        <v>293</v>
      </c>
      <c r="F530" s="11">
        <v>2525</v>
      </c>
      <c r="G530" t="s">
        <v>36</v>
      </c>
      <c r="H530" t="s">
        <v>1150</v>
      </c>
      <c r="I530" t="s">
        <v>940</v>
      </c>
      <c r="J530" s="6" t="str">
        <f>HYPERLINK("https://www.biovista.com/db/link/%5B%5B%22Disease%7CGlutaric%20aciduria%201%22%5D,%20%5B%22Gene%7CLE%22%5D%5D?strength-weight-map=%257B%2522MEDLINE_STRENGTH_AB%2522:1.0,%2522HPO%2522:100.0%257D", "Show Evidence...")</f>
        <v>Show Evidence...</v>
      </c>
    </row>
    <row r="531" spans="1:10" ht="12.75">
      <c r="A531" s="2" t="s">
        <v>50</v>
      </c>
      <c r="B531" s="2" t="s">
        <v>920</v>
      </c>
      <c r="C531" s="2" t="s">
        <v>24</v>
      </c>
      <c r="D531" s="2" t="s">
        <v>921</v>
      </c>
      <c r="E531" s="2" t="s">
        <v>53</v>
      </c>
      <c r="F531" s="11" t="s">
        <v>1151</v>
      </c>
      <c r="G531" t="s">
        <v>36</v>
      </c>
      <c r="H531" t="s">
        <v>1152</v>
      </c>
      <c r="I531" t="s">
        <v>943</v>
      </c>
      <c r="J531" s="6" t="str">
        <f>HYPERLINK("https://www.biovista.com/db/link/%5B%5B%22Disease%7CGlutaric%20aciduria%201%22%5D,%20%5B%22Gene%7CAcyl%20CoA%20DeHydrogenase%22%5D%5D?strength-weight-map=%257B%2522MEDLINE_STRENGTH_AB%2522:1.0,%2522HPO%2522:100.0%257D", "Show Evidence...")</f>
        <v>Show Evidence...</v>
      </c>
    </row>
    <row r="532" spans="1:10" ht="12.75">
      <c r="A532" s="2" t="s">
        <v>50</v>
      </c>
      <c r="B532" s="2" t="s">
        <v>920</v>
      </c>
      <c r="C532" s="2" t="s">
        <v>24</v>
      </c>
      <c r="D532" s="2" t="s">
        <v>921</v>
      </c>
      <c r="E532" s="2" t="s">
        <v>293</v>
      </c>
      <c r="F532" s="11">
        <v>479</v>
      </c>
      <c r="G532" t="s">
        <v>36</v>
      </c>
      <c r="H532" t="s">
        <v>1153</v>
      </c>
      <c r="I532" t="s">
        <v>943</v>
      </c>
      <c r="J532" s="6" t="str">
        <f>HYPERLINK("https://www.biovista.com/db/link/%5B%5B%22Disease%7CGlutaric%20aciduria%201%22%5D,%20%5B%22Gene%7CATP12A%22%5D%5D?strength-weight-map=%257B%2522MEDLINE_STRENGTH_AB%2522:1.0,%2522HPO%2522:100.0%257D", "Show Evidence...")</f>
        <v>Show Evidence...</v>
      </c>
    </row>
    <row r="533" spans="1:10" ht="12.75">
      <c r="A533" s="2" t="s">
        <v>50</v>
      </c>
      <c r="B533" s="2" t="s">
        <v>920</v>
      </c>
      <c r="C533" s="2" t="s">
        <v>24</v>
      </c>
      <c r="D533" s="2" t="s">
        <v>921</v>
      </c>
      <c r="E533" s="2" t="s">
        <v>293</v>
      </c>
      <c r="F533" s="11">
        <v>1119</v>
      </c>
      <c r="G533" t="s">
        <v>36</v>
      </c>
      <c r="H533" t="s">
        <v>1154</v>
      </c>
      <c r="I533" t="s">
        <v>943</v>
      </c>
      <c r="J533" s="6" t="str">
        <f>HYPERLINK("https://www.biovista.com/db/link/%5B%5B%22Disease%7CGlutaric%20aciduria%201%22%5D,%20%5B%22Gene%7CCK%22%5D%5D?strength-weight-map=%257B%2522MEDLINE_STRENGTH_AB%2522:1.0,%2522HPO%2522:100.0%257D", "Show Evidence...")</f>
        <v>Show Evidence...</v>
      </c>
    </row>
    <row r="534" spans="1:10" ht="12.75">
      <c r="A534" s="2" t="s">
        <v>50</v>
      </c>
      <c r="B534" s="2" t="s">
        <v>920</v>
      </c>
      <c r="C534" s="2" t="s">
        <v>24</v>
      </c>
      <c r="D534" s="2" t="s">
        <v>921</v>
      </c>
      <c r="E534" s="2" t="s">
        <v>293</v>
      </c>
      <c r="F534" s="11">
        <v>100775693</v>
      </c>
      <c r="G534" t="s">
        <v>36</v>
      </c>
      <c r="H534" t="s">
        <v>1155</v>
      </c>
      <c r="I534" t="s">
        <v>943</v>
      </c>
      <c r="J534" s="6" t="str">
        <f>HYPERLINK("https://www.biovista.com/db/link/%5B%5B%22Disease%7CGlutaric%20aciduria%201%22%5D,%20%5B%22Gene%7CGA20OX%22%5D%5D?strength-weight-map=%257B%2522MEDLINE_STRENGTH_AB%2522:1.0,%2522HPO%2522:100.0%257D", "Show Evidence...")</f>
        <v>Show Evidence...</v>
      </c>
    </row>
    <row r="535" spans="1:10" ht="12.75">
      <c r="A535" s="2" t="s">
        <v>50</v>
      </c>
      <c r="B535" s="2" t="s">
        <v>920</v>
      </c>
      <c r="C535" s="2" t="s">
        <v>24</v>
      </c>
      <c r="D535" s="2" t="s">
        <v>921</v>
      </c>
      <c r="E535" s="2" t="s">
        <v>293</v>
      </c>
      <c r="F535" s="11">
        <v>543553</v>
      </c>
      <c r="G535" t="s">
        <v>36</v>
      </c>
      <c r="H535" t="s">
        <v>1156</v>
      </c>
      <c r="I535" t="s">
        <v>943</v>
      </c>
      <c r="J535" s="6" t="str">
        <f>HYPERLINK("https://www.biovista.com/db/link/%5B%5B%22Disease%7CGlutaric%20aciduria%201%22%5D,%20%5B%22Gene%7Cgibberellin%2020-oxidase%22%5D%5D?strength-weight-map=%257B%2522MEDLINE_STRENGTH_AB%2522:1.0,%2522HPO%2522:100.0%257D", "Show Evidence...")</f>
        <v>Show Evidence...</v>
      </c>
    </row>
    <row r="536" spans="1:10" ht="12.75">
      <c r="A536" s="2" t="s">
        <v>50</v>
      </c>
      <c r="B536" s="2" t="s">
        <v>920</v>
      </c>
      <c r="C536" s="2" t="s">
        <v>24</v>
      </c>
      <c r="D536" s="2" t="s">
        <v>921</v>
      </c>
      <c r="E536" s="2" t="s">
        <v>53</v>
      </c>
      <c r="F536" s="11" t="s">
        <v>1157</v>
      </c>
      <c r="G536" t="s">
        <v>36</v>
      </c>
      <c r="H536" t="s">
        <v>1158</v>
      </c>
      <c r="I536" t="s">
        <v>943</v>
      </c>
      <c r="J536" s="6" t="str">
        <f>HYPERLINK("https://www.biovista.com/db/link/%5B%5B%22Disease%7CGlutaric%20aciduria%201%22%5D,%20%5B%22Gene%7CGT-1a%20protein,%20Nicotiana%20tabacum%22%5D%5D?strength-weight-map=%257B%2522MEDLINE_STRENGTH_AB%2522:1.0,%2522HPO%2522:100.0%257D", "Show Evidence...")</f>
        <v>Show Evidence...</v>
      </c>
    </row>
    <row r="537" spans="1:10" ht="12.75">
      <c r="A537" s="2" t="s">
        <v>50</v>
      </c>
      <c r="B537" s="2" t="s">
        <v>920</v>
      </c>
      <c r="C537" s="2" t="s">
        <v>24</v>
      </c>
      <c r="D537" s="2" t="s">
        <v>921</v>
      </c>
      <c r="E537" s="2" t="s">
        <v>53</v>
      </c>
      <c r="F537" s="11" t="s">
        <v>1159</v>
      </c>
      <c r="G537" t="s">
        <v>36</v>
      </c>
      <c r="H537" t="s">
        <v>1160</v>
      </c>
      <c r="I537" t="s">
        <v>943</v>
      </c>
      <c r="J537" s="6" t="str">
        <f>HYPERLINK("https://www.biovista.com/db/link/%5B%5B%22Disease%7CGlutaric%20aciduria%201%22%5D,%20%5B%22Gene%7CNeuraminidase%22%5D%5D?strength-weight-map=%257B%2522MEDLINE_STRENGTH_AB%2522:1.0,%2522HPO%2522:100.0%257D", "Show Evidence...")</f>
        <v>Show Evidence...</v>
      </c>
    </row>
    <row r="538" spans="1:10" ht="12.75">
      <c r="A538" s="2" t="s">
        <v>50</v>
      </c>
      <c r="B538" s="2" t="s">
        <v>920</v>
      </c>
      <c r="C538" s="2" t="s">
        <v>24</v>
      </c>
      <c r="D538" s="2" t="s">
        <v>921</v>
      </c>
      <c r="E538" s="2" t="s">
        <v>53</v>
      </c>
      <c r="F538" s="11" t="s">
        <v>1161</v>
      </c>
      <c r="G538" t="s">
        <v>36</v>
      </c>
      <c r="H538" t="s">
        <v>1162</v>
      </c>
      <c r="I538" t="s">
        <v>943</v>
      </c>
      <c r="J538" s="6" t="str">
        <f>HYPERLINK("https://www.biovista.com/db/link/%5B%5B%22Disease%7CGlutaric%20aciduria%201%22%5D,%20%5B%22Gene%7CReceptors,%20Glutamate%22%5D%5D?strength-weight-map=%257B%2522MEDLINE_STRENGTH_AB%2522:1.0,%2522HPO%2522:100.0%257D", "Show Evidence...")</f>
        <v>Show Evidence...</v>
      </c>
    </row>
    <row r="539" spans="1:10" ht="12.75">
      <c r="A539" s="2" t="s">
        <v>50</v>
      </c>
      <c r="B539" s="2" t="s">
        <v>920</v>
      </c>
      <c r="C539" s="2" t="s">
        <v>24</v>
      </c>
      <c r="D539" s="2" t="s">
        <v>921</v>
      </c>
      <c r="E539" s="2" t="s">
        <v>293</v>
      </c>
      <c r="F539" s="11">
        <v>938457</v>
      </c>
      <c r="G539" t="s">
        <v>36</v>
      </c>
      <c r="H539" t="s">
        <v>1163</v>
      </c>
      <c r="I539" t="s">
        <v>946</v>
      </c>
      <c r="J539" s="6" t="str">
        <f>HYPERLINK("https://www.biovista.com/db/link/%5B%5B%22Disease%7CGlutaric%20aciduria%201%22%5D,%20%5B%22Gene%7CAcyl-CoA%20dehydrogenase%22%5D%5D?strength-weight-map=%257B%2522MEDLINE_STRENGTH_AB%2522:1.0,%2522HPO%2522:100.0%257D", "Show Evidence...")</f>
        <v>Show Evidence...</v>
      </c>
    </row>
    <row r="540" spans="1:10" ht="12.75">
      <c r="A540" s="2" t="s">
        <v>50</v>
      </c>
      <c r="B540" s="2" t="s">
        <v>920</v>
      </c>
      <c r="C540" s="2" t="s">
        <v>24</v>
      </c>
      <c r="D540" s="2" t="s">
        <v>921</v>
      </c>
      <c r="E540" s="2" t="s">
        <v>53</v>
      </c>
      <c r="F540" s="11" t="s">
        <v>1164</v>
      </c>
      <c r="G540" t="s">
        <v>36</v>
      </c>
      <c r="H540" t="s">
        <v>1165</v>
      </c>
      <c r="I540" t="s">
        <v>946</v>
      </c>
      <c r="J540" s="6" t="str">
        <f>HYPERLINK("https://www.biovista.com/db/link/%5B%5B%22Disease%7CGlutaric%20aciduria%201%22%5D,%20%5B%22Gene%7CAcyl-CoA%20Dehydrogenase,%20Long-Chain%22%5D%5D?strength-weight-map=%257B%2522MEDLINE_STRENGTH_AB%2522:1.0,%2522HPO%2522:100.0%257D", "Show Evidence...")</f>
        <v>Show Evidence...</v>
      </c>
    </row>
    <row r="541" spans="1:10" ht="12.75">
      <c r="A541" s="2" t="s">
        <v>50</v>
      </c>
      <c r="B541" s="2" t="s">
        <v>920</v>
      </c>
      <c r="C541" s="2" t="s">
        <v>24</v>
      </c>
      <c r="D541" s="2" t="s">
        <v>921</v>
      </c>
      <c r="E541" s="2" t="s">
        <v>293</v>
      </c>
      <c r="F541" s="11">
        <v>543881</v>
      </c>
      <c r="G541" t="s">
        <v>36</v>
      </c>
      <c r="H541" t="s">
        <v>1166</v>
      </c>
      <c r="I541" t="s">
        <v>946</v>
      </c>
      <c r="J541" s="6" t="str">
        <f>HYPERLINK("https://www.biovista.com/db/link/%5B%5B%22Disease%7CGlutaric%20aciduria%201%22%5D,%20%5B%22Gene%7CDELLA%22%5D%5D?strength-weight-map=%257B%2522MEDLINE_STRENGTH_AB%2522:1.0,%2522HPO%2522:100.0%257D", "Show Evidence...")</f>
        <v>Show Evidence...</v>
      </c>
    </row>
    <row r="542" spans="1:10" ht="12.75">
      <c r="A542" s="2" t="s">
        <v>50</v>
      </c>
      <c r="B542" s="2" t="s">
        <v>920</v>
      </c>
      <c r="C542" s="2" t="s">
        <v>24</v>
      </c>
      <c r="D542" s="2" t="s">
        <v>921</v>
      </c>
      <c r="E542" s="2" t="s">
        <v>293</v>
      </c>
      <c r="F542" s="11">
        <v>36252</v>
      </c>
      <c r="G542" t="s">
        <v>36</v>
      </c>
      <c r="H542" t="s">
        <v>1167</v>
      </c>
      <c r="I542" t="s">
        <v>946</v>
      </c>
      <c r="J542" s="6" t="str">
        <f>HYPERLINK("https://www.biovista.com/db/link/%5B%5B%22Disease%7CGlutaric%20aciduria%201%22%5D,%20%5B%22Gene%7Celectron%20transfer%20flavoprotein%22%5D%5D?strength-weight-map=%257B%2522MEDLINE_STRENGTH_AB%2522:1.0,%2522HPO%2522:100.0%257D", "Show Evidence...")</f>
        <v>Show Evidence...</v>
      </c>
    </row>
    <row r="543" spans="1:10" ht="12.75">
      <c r="A543" s="2" t="s">
        <v>50</v>
      </c>
      <c r="B543" s="2" t="s">
        <v>920</v>
      </c>
      <c r="C543" s="2" t="s">
        <v>24</v>
      </c>
      <c r="D543" s="2" t="s">
        <v>921</v>
      </c>
      <c r="E543" s="2" t="s">
        <v>293</v>
      </c>
      <c r="F543" s="11">
        <v>2670</v>
      </c>
      <c r="G543" t="s">
        <v>36</v>
      </c>
      <c r="H543" t="s">
        <v>1168</v>
      </c>
      <c r="I543" t="s">
        <v>946</v>
      </c>
      <c r="J543" s="6" t="str">
        <f>HYPERLINK("https://www.biovista.com/db/link/%5B%5B%22Disease%7CGlutaric%20aciduria%201%22%5D,%20%5B%22Gene%7CGFAP%22%5D%5D?strength-weight-map=%257B%2522MEDLINE_STRENGTH_AB%2522:1.0,%2522HPO%2522:100.0%257D", "Show Evidence...")</f>
        <v>Show Evidence...</v>
      </c>
    </row>
    <row r="544" spans="1:10" ht="12.75">
      <c r="A544" s="2" t="s">
        <v>50</v>
      </c>
      <c r="B544" s="2" t="s">
        <v>920</v>
      </c>
      <c r="C544" s="2" t="s">
        <v>24</v>
      </c>
      <c r="D544" s="2" t="s">
        <v>921</v>
      </c>
      <c r="E544" s="2" t="s">
        <v>293</v>
      </c>
      <c r="F544" s="11">
        <v>300850</v>
      </c>
      <c r="G544" t="s">
        <v>36</v>
      </c>
      <c r="H544" t="s">
        <v>1169</v>
      </c>
      <c r="I544" t="s">
        <v>946</v>
      </c>
      <c r="J544" s="6" t="str">
        <f>HYPERLINK("https://www.biovista.com/db/link/%5B%5B%22Disease%7CGlutaric%20aciduria%201%22%5D,%20%5B%22Gene%7Cglutathione%20transferase%22%5D%5D?strength-weight-map=%257B%2522MEDLINE_STRENGTH_AB%2522:1.0,%2522HPO%2522:100.0%257D", "Show Evidence...")</f>
        <v>Show Evidence...</v>
      </c>
    </row>
    <row r="545" spans="1:10" ht="12.75">
      <c r="A545" s="2" t="s">
        <v>50</v>
      </c>
      <c r="B545" s="2" t="s">
        <v>920</v>
      </c>
      <c r="C545" s="2" t="s">
        <v>24</v>
      </c>
      <c r="D545" s="2" t="s">
        <v>921</v>
      </c>
      <c r="E545" s="2" t="s">
        <v>293</v>
      </c>
      <c r="F545" s="11">
        <v>1013</v>
      </c>
      <c r="G545" t="s">
        <v>36</v>
      </c>
      <c r="H545" t="s">
        <v>1170</v>
      </c>
      <c r="I545" t="s">
        <v>946</v>
      </c>
      <c r="J545" s="6" t="str">
        <f>HYPERLINK("https://www.biovista.com/db/link/%5B%5B%22Disease%7CGlutaric%20aciduria%201%22%5D,%20%5B%22Gene%7CMCAD%22%5D%5D?strength-weight-map=%257B%2522MEDLINE_STRENGTH_AB%2522:1.0,%2522HPO%2522:100.0%257D", "Show Evidence...")</f>
        <v>Show Evidence...</v>
      </c>
    </row>
    <row r="546" spans="1:10" ht="12.75">
      <c r="A546" s="2" t="s">
        <v>50</v>
      </c>
      <c r="B546" s="2" t="s">
        <v>920</v>
      </c>
      <c r="C546" s="2" t="s">
        <v>24</v>
      </c>
      <c r="D546" s="2" t="s">
        <v>921</v>
      </c>
      <c r="E546" s="2" t="s">
        <v>293</v>
      </c>
      <c r="F546" s="11">
        <v>7124</v>
      </c>
      <c r="G546" t="s">
        <v>36</v>
      </c>
      <c r="H546" t="s">
        <v>318</v>
      </c>
      <c r="I546" t="s">
        <v>946</v>
      </c>
      <c r="J546" s="6" t="str">
        <f>HYPERLINK("https://www.biovista.com/db/link/%5B%5B%22Disease%7CGlutaric%20aciduria%201%22%5D,%20%5B%22Gene%7CTNF%22%5D%5D?strength-weight-map=%257B%2522MEDLINE_STRENGTH_AB%2522:1.0,%2522HPO%2522:100.0%257D", "Show Evidence...")</f>
        <v>Show Evidence...</v>
      </c>
    </row>
    <row r="547" spans="1:10" ht="12.75">
      <c r="A547" s="2" t="s">
        <v>50</v>
      </c>
      <c r="B547" s="2" t="s">
        <v>920</v>
      </c>
      <c r="C547" s="2" t="s">
        <v>24</v>
      </c>
      <c r="D547" s="2" t="s">
        <v>921</v>
      </c>
      <c r="E547" s="2" t="s">
        <v>293</v>
      </c>
      <c r="F547" s="11">
        <v>2720</v>
      </c>
      <c r="G547" t="s">
        <v>36</v>
      </c>
      <c r="H547" t="s">
        <v>1171</v>
      </c>
      <c r="I547" t="s">
        <v>949</v>
      </c>
      <c r="J547" s="6" t="str">
        <f>HYPERLINK("https://www.biovista.com/db/link/%5B%5B%22Disease%7CGlutaric%20aciduria%201%22%5D,%20%5B%22Gene%7Cacid%20beta-galactosidase%22%5D%5D?strength-weight-map=%257B%2522MEDLINE_STRENGTH_AB%2522:1.0,%2522HPO%2522:100.0%257D", "Show Evidence...")</f>
        <v>Show Evidence...</v>
      </c>
    </row>
    <row r="548" spans="1:10" ht="12.75">
      <c r="A548" s="2" t="s">
        <v>50</v>
      </c>
      <c r="B548" s="2" t="s">
        <v>920</v>
      </c>
      <c r="C548" s="2" t="s">
        <v>24</v>
      </c>
      <c r="D548" s="2" t="s">
        <v>921</v>
      </c>
      <c r="E548" s="2" t="s">
        <v>293</v>
      </c>
      <c r="F548" s="11">
        <v>816871</v>
      </c>
      <c r="G548" t="s">
        <v>36</v>
      </c>
      <c r="H548" t="s">
        <v>1172</v>
      </c>
      <c r="I548" t="s">
        <v>949</v>
      </c>
      <c r="J548" s="6" t="str">
        <f>HYPERLINK("https://www.biovista.com/db/link/%5B%5B%22Disease%7CGlutaric%20aciduria%201%22%5D,%20%5B%22Gene%7CAT2G23390%22%5D%5D?strength-weight-map=%257B%2522MEDLINE_STRENGTH_AB%2522:1.0,%2522HPO%2522:100.0%257D", "Show Evidence...")</f>
        <v>Show Evidence...</v>
      </c>
    </row>
    <row r="549" spans="1:10" ht="12.75">
      <c r="A549" s="2" t="s">
        <v>50</v>
      </c>
      <c r="B549" s="2" t="s">
        <v>920</v>
      </c>
      <c r="C549" s="2" t="s">
        <v>24</v>
      </c>
      <c r="D549" s="2" t="s">
        <v>921</v>
      </c>
      <c r="E549" s="2" t="s">
        <v>293</v>
      </c>
      <c r="F549" s="11">
        <v>718</v>
      </c>
      <c r="G549" t="s">
        <v>36</v>
      </c>
      <c r="H549" t="s">
        <v>1173</v>
      </c>
      <c r="I549" t="s">
        <v>949</v>
      </c>
      <c r="J549" s="6" t="str">
        <f>HYPERLINK("https://www.biovista.com/db/link/%5B%5B%22Disease%7CGlutaric%20aciduria%201%22%5D,%20%5B%22Gene%7CC3%22%5D%5D?strength-weight-map=%257B%2522MEDLINE_STRENGTH_AB%2522:1.0,%2522HPO%2522:100.0%257D", "Show Evidence...")</f>
        <v>Show Evidence...</v>
      </c>
    </row>
    <row r="550" spans="1:10" ht="12.75">
      <c r="A550" s="2" t="s">
        <v>50</v>
      </c>
      <c r="B550" s="2" t="s">
        <v>920</v>
      </c>
      <c r="C550" s="2" t="s">
        <v>24</v>
      </c>
      <c r="D550" s="2" t="s">
        <v>921</v>
      </c>
      <c r="E550" s="2" t="s">
        <v>293</v>
      </c>
      <c r="F550" s="11">
        <v>836</v>
      </c>
      <c r="G550" t="s">
        <v>36</v>
      </c>
      <c r="H550" t="s">
        <v>383</v>
      </c>
      <c r="I550" t="s">
        <v>949</v>
      </c>
      <c r="J550" s="6" t="str">
        <f>HYPERLINK("https://www.biovista.com/db/link/%5B%5B%22Disease%7CGlutaric%20aciduria%201%22%5D,%20%5B%22Gene%7CCASP3%22%5D%5D?strength-weight-map=%257B%2522MEDLINE_STRENGTH_AB%2522:1.0,%2522HPO%2522:100.0%257D", "Show Evidence...")</f>
        <v>Show Evidence...</v>
      </c>
    </row>
    <row r="551" spans="1:10" ht="12.75">
      <c r="A551" s="2" t="s">
        <v>50</v>
      </c>
      <c r="B551" s="2" t="s">
        <v>920</v>
      </c>
      <c r="C551" s="2" t="s">
        <v>24</v>
      </c>
      <c r="D551" s="2" t="s">
        <v>921</v>
      </c>
      <c r="E551" s="2" t="s">
        <v>293</v>
      </c>
      <c r="F551" s="11">
        <v>14246</v>
      </c>
      <c r="G551" t="s">
        <v>36</v>
      </c>
      <c r="H551" t="s">
        <v>1174</v>
      </c>
      <c r="I551" t="s">
        <v>949</v>
      </c>
      <c r="J551" s="6" t="str">
        <f>HYPERLINK("https://www.biovista.com/db/link/%5B%5B%22Disease%7CGlutaric%20aciduria%201%22%5D,%20%5B%22Gene%7CFt%22%5D%5D?strength-weight-map=%257B%2522MEDLINE_STRENGTH_AB%2522:1.0,%2522HPO%2522:100.0%257D", "Show Evidence...")</f>
        <v>Show Evidence...</v>
      </c>
    </row>
    <row r="552" spans="1:10" ht="12.75">
      <c r="A552" s="2" t="s">
        <v>50</v>
      </c>
      <c r="B552" s="2" t="s">
        <v>920</v>
      </c>
      <c r="C552" s="2" t="s">
        <v>24</v>
      </c>
      <c r="D552" s="2" t="s">
        <v>921</v>
      </c>
      <c r="E552" s="2" t="s">
        <v>293</v>
      </c>
      <c r="F552" s="11">
        <v>107767349</v>
      </c>
      <c r="G552" t="s">
        <v>36</v>
      </c>
      <c r="H552" t="s">
        <v>1175</v>
      </c>
      <c r="I552" t="s">
        <v>949</v>
      </c>
      <c r="J552" s="6" t="str">
        <f>HYPERLINK("https://www.biovista.com/db/link/%5B%5B%22Disease%7CGlutaric%20aciduria%201%22%5D,%20%5B%22Gene%7Cfucosyltransferase%22%5D%5D?strength-weight-map=%257B%2522MEDLINE_STRENGTH_AB%2522:1.0,%2522HPO%2522:100.0%257D", "Show Evidence...")</f>
        <v>Show Evidence...</v>
      </c>
    </row>
    <row r="553" spans="1:10" ht="12.75">
      <c r="A553" s="2" t="s">
        <v>50</v>
      </c>
      <c r="B553" s="2" t="s">
        <v>920</v>
      </c>
      <c r="C553" s="2" t="s">
        <v>24</v>
      </c>
      <c r="D553" s="2" t="s">
        <v>921</v>
      </c>
      <c r="E553" s="2" t="s">
        <v>293</v>
      </c>
      <c r="F553" s="11">
        <v>2720</v>
      </c>
      <c r="G553" t="s">
        <v>36</v>
      </c>
      <c r="H553" t="s">
        <v>1176</v>
      </c>
      <c r="I553" t="s">
        <v>949</v>
      </c>
      <c r="J553" s="6" t="str">
        <f>HYPERLINK("https://www.biovista.com/db/link/%5B%5B%22Disease%7CGlutaric%20aciduria%201%22%5D,%20%5B%22Gene%7CGLB1%22%5D%5D?strength-weight-map=%257B%2522MEDLINE_STRENGTH_AB%2522:1.0,%2522HPO%2522:100.0%257D", "Show Evidence...")</f>
        <v>Show Evidence...</v>
      </c>
    </row>
    <row r="554" spans="1:10" ht="12.75">
      <c r="A554" s="2" t="s">
        <v>50</v>
      </c>
      <c r="B554" s="2" t="s">
        <v>920</v>
      </c>
      <c r="C554" s="2" t="s">
        <v>24</v>
      </c>
      <c r="D554" s="2" t="s">
        <v>921</v>
      </c>
      <c r="E554" s="2" t="s">
        <v>293</v>
      </c>
      <c r="F554" s="11">
        <v>3553</v>
      </c>
      <c r="G554" t="s">
        <v>36</v>
      </c>
      <c r="H554" t="s">
        <v>335</v>
      </c>
      <c r="I554" t="s">
        <v>949</v>
      </c>
      <c r="J554" s="6" t="str">
        <f>HYPERLINK("https://www.biovista.com/db/link/%5B%5B%22Disease%7CGlutaric%20aciduria%201%22%5D,%20%5B%22Gene%7CIL1B%22%5D%5D?strength-weight-map=%257B%2522MEDLINE_STRENGTH_AB%2522:1.0,%2522HPO%2522:100.0%257D", "Show Evidence...")</f>
        <v>Show Evidence...</v>
      </c>
    </row>
    <row r="555" spans="1:10" ht="12.75">
      <c r="A555" s="2" t="s">
        <v>50</v>
      </c>
      <c r="B555" s="2" t="s">
        <v>920</v>
      </c>
      <c r="C555" s="2" t="s">
        <v>24</v>
      </c>
      <c r="D555" s="2" t="s">
        <v>921</v>
      </c>
      <c r="E555" s="2" t="s">
        <v>293</v>
      </c>
      <c r="F555" s="11">
        <v>3712</v>
      </c>
      <c r="G555" t="s">
        <v>36</v>
      </c>
      <c r="H555" t="s">
        <v>1177</v>
      </c>
      <c r="I555" t="s">
        <v>949</v>
      </c>
      <c r="J555" s="6" t="str">
        <f>HYPERLINK("https://www.biovista.com/db/link/%5B%5B%22Disease%7CGlutaric%20aciduria%201%22%5D,%20%5B%22Gene%7Cisovaleryl-CoA%20dehydrogenase%22%5D%5D?strength-weight-map=%257B%2522MEDLINE_STRENGTH_AB%2522:1.0,%2522HPO%2522:100.0%257D", "Show Evidence...")</f>
        <v>Show Evidence...</v>
      </c>
    </row>
    <row r="556" spans="1:10" ht="12.75">
      <c r="A556" s="2" t="s">
        <v>50</v>
      </c>
      <c r="B556" s="2" t="s">
        <v>920</v>
      </c>
      <c r="C556" s="2" t="s">
        <v>24</v>
      </c>
      <c r="D556" s="2" t="s">
        <v>921</v>
      </c>
      <c r="E556" s="2" t="s">
        <v>293</v>
      </c>
      <c r="F556" s="11">
        <v>4155</v>
      </c>
      <c r="G556" t="s">
        <v>36</v>
      </c>
      <c r="H556" t="s">
        <v>1178</v>
      </c>
      <c r="I556" t="s">
        <v>949</v>
      </c>
      <c r="J556" s="6" t="str">
        <f>HYPERLINK("https://www.biovista.com/db/link/%5B%5B%22Disease%7CGlutaric%20aciduria%201%22%5D,%20%5B%22Gene%7Cmyelin%20basic%20protein%22%5D%5D?strength-weight-map=%257B%2522MEDLINE_STRENGTH_AB%2522:1.0,%2522HPO%2522:100.0%257D", "Show Evidence...")</f>
        <v>Show Evidence...</v>
      </c>
    </row>
    <row r="557" spans="1:10" ht="12.75">
      <c r="A557" s="2" t="s">
        <v>50</v>
      </c>
      <c r="B557" s="2" t="s">
        <v>920</v>
      </c>
      <c r="C557" s="2" t="s">
        <v>24</v>
      </c>
      <c r="D557" s="2" t="s">
        <v>921</v>
      </c>
      <c r="E557" s="2" t="s">
        <v>293</v>
      </c>
      <c r="F557" s="11">
        <v>104888452</v>
      </c>
      <c r="G557" t="s">
        <v>36</v>
      </c>
      <c r="H557" t="s">
        <v>1179</v>
      </c>
      <c r="I557" t="s">
        <v>949</v>
      </c>
      <c r="J557" s="6" t="str">
        <f>HYPERLINK("https://www.biovista.com/db/link/%5B%5B%22Disease%7CGlutaric%20aciduria%201%22%5D,%20%5B%22Gene%7Cphytochrome%20B%22%5D%5D?strength-weight-map=%257B%2522MEDLINE_STRENGTH_AB%2522:1.0,%2522HPO%2522:100.0%257D", "Show Evidence...")</f>
        <v>Show Evidence...</v>
      </c>
    </row>
    <row r="558" spans="1:10" ht="12.75">
      <c r="A558" s="2" t="s">
        <v>50</v>
      </c>
      <c r="B558" s="2" t="s">
        <v>920</v>
      </c>
      <c r="C558" s="2" t="s">
        <v>24</v>
      </c>
      <c r="D558" s="2" t="s">
        <v>921</v>
      </c>
      <c r="E558" s="2" t="s">
        <v>1180</v>
      </c>
      <c r="F558" s="11">
        <v>17</v>
      </c>
      <c r="G558" t="s">
        <v>36</v>
      </c>
      <c r="H558" t="s">
        <v>1181</v>
      </c>
      <c r="I558" t="s">
        <v>952</v>
      </c>
      <c r="J558" s="6" t="str">
        <f>HYPERLINK("https://www.biovista.com/db/link/%5B%5B%22Disease%7CGlutaric%20aciduria%201%22%5D,%20%5B%22Gene%7CAAVS1%22%5D%5D?strength-weight-map=%257B%2522MEDLINE_STRENGTH_AB%2522:1.0,%2522HPO%2522:100.0%257D", "Show Evidence...")</f>
        <v>Show Evidence...</v>
      </c>
    </row>
    <row r="559" spans="1:10" ht="12.75">
      <c r="A559" s="2" t="s">
        <v>50</v>
      </c>
      <c r="B559" s="2" t="s">
        <v>920</v>
      </c>
      <c r="C559" s="2" t="s">
        <v>24</v>
      </c>
      <c r="D559" s="2" t="s">
        <v>921</v>
      </c>
      <c r="E559" s="2" t="s">
        <v>293</v>
      </c>
      <c r="F559" s="11">
        <v>18293</v>
      </c>
      <c r="G559" t="s">
        <v>36</v>
      </c>
      <c r="H559" t="s">
        <v>1182</v>
      </c>
      <c r="I559" t="s">
        <v>952</v>
      </c>
      <c r="J559" s="6" t="str">
        <f>HYPERLINK("https://www.biovista.com/db/link/%5B%5B%22Disease%7CGlutaric%20aciduria%201%22%5D,%20%5B%22Gene%7CAlpha-ketoglutarate%20dehydrogenase%22%5D%5D?strength-weight-map=%257B%2522MEDLINE_STRENGTH_AB%2522:1.0,%2522HPO%2522:100.0%257D", "Show Evidence...")</f>
        <v>Show Evidence...</v>
      </c>
    </row>
    <row r="560" spans="1:10" ht="12.75">
      <c r="A560" s="2" t="s">
        <v>50</v>
      </c>
      <c r="B560" s="2" t="s">
        <v>920</v>
      </c>
      <c r="C560" s="2" t="s">
        <v>24</v>
      </c>
      <c r="D560" s="2" t="s">
        <v>921</v>
      </c>
      <c r="E560" s="2" t="s">
        <v>293</v>
      </c>
      <c r="F560" s="11">
        <v>8705</v>
      </c>
      <c r="G560" t="s">
        <v>36</v>
      </c>
      <c r="H560" t="s">
        <v>1183</v>
      </c>
      <c r="I560" t="s">
        <v>952</v>
      </c>
      <c r="J560" s="6" t="str">
        <f>HYPERLINK("https://www.biovista.com/db/link/%5B%5B%22Disease%7CGlutaric%20aciduria%201%22%5D,%20%5B%22Gene%7CB3GALT4%22%5D%5D?strength-weight-map=%257B%2522MEDLINE_STRENGTH_AB%2522:1.0,%2522HPO%2522:100.0%257D", "Show Evidence...")</f>
        <v>Show Evidence...</v>
      </c>
    </row>
    <row r="561" spans="1:10" ht="12.75">
      <c r="A561" s="2" t="s">
        <v>50</v>
      </c>
      <c r="B561" s="2" t="s">
        <v>920</v>
      </c>
      <c r="C561" s="2" t="s">
        <v>24</v>
      </c>
      <c r="D561" s="2" t="s">
        <v>921</v>
      </c>
      <c r="E561" s="2" t="s">
        <v>293</v>
      </c>
      <c r="F561" s="11">
        <v>57126</v>
      </c>
      <c r="G561" t="s">
        <v>36</v>
      </c>
      <c r="H561" t="s">
        <v>1184</v>
      </c>
      <c r="I561" t="s">
        <v>952</v>
      </c>
      <c r="J561" s="6" t="str">
        <f>HYPERLINK("https://www.biovista.com/db/link/%5B%5B%22Disease%7CGlutaric%20aciduria%201%22%5D,%20%5B%22Gene%7CCD177%22%5D%5D?strength-weight-map=%257B%2522MEDLINE_STRENGTH_AB%2522:1.0,%2522HPO%2522:100.0%257D", "Show Evidence...")</f>
        <v>Show Evidence...</v>
      </c>
    </row>
    <row r="562" spans="1:10" ht="12.75">
      <c r="A562" s="2" t="s">
        <v>50</v>
      </c>
      <c r="B562" s="2" t="s">
        <v>920</v>
      </c>
      <c r="C562" s="2" t="s">
        <v>24</v>
      </c>
      <c r="D562" s="2" t="s">
        <v>921</v>
      </c>
      <c r="E562" s="2" t="s">
        <v>293</v>
      </c>
      <c r="F562" s="11">
        <v>4323864</v>
      </c>
      <c r="G562" t="s">
        <v>36</v>
      </c>
      <c r="H562" t="s">
        <v>1185</v>
      </c>
      <c r="I562" t="s">
        <v>952</v>
      </c>
      <c r="J562" s="6" t="str">
        <f>HYPERLINK("https://www.biovista.com/db/link/%5B%5B%22Disease%7CGlutaric%20aciduria%201%22%5D,%20%5B%22Gene%7CGA%203beta-hydroxylase%22%5D%5D?strength-weight-map=%257B%2522MEDLINE_STRENGTH_AB%2522:1.0,%2522HPO%2522:100.0%257D", "Show Evidence...")</f>
        <v>Show Evidence...</v>
      </c>
    </row>
    <row r="563" spans="1:10" ht="12.75">
      <c r="A563" s="2" t="s">
        <v>50</v>
      </c>
      <c r="B563" s="2" t="s">
        <v>920</v>
      </c>
      <c r="C563" s="2" t="s">
        <v>24</v>
      </c>
      <c r="D563" s="2" t="s">
        <v>921</v>
      </c>
      <c r="E563" s="2" t="s">
        <v>293</v>
      </c>
      <c r="F563" s="11">
        <v>4325145</v>
      </c>
      <c r="G563" t="s">
        <v>36</v>
      </c>
      <c r="H563" t="s">
        <v>1186</v>
      </c>
      <c r="I563" t="s">
        <v>952</v>
      </c>
      <c r="J563" s="6" t="str">
        <f>HYPERLINK("https://www.biovista.com/db/link/%5B%5B%22Disease%7CGlutaric%20aciduria%201%22%5D,%20%5B%22Gene%7Cgibberellin%202-oxidase%22%5D%5D?strength-weight-map=%257B%2522MEDLINE_STRENGTH_AB%2522:1.0,%2522HPO%2522:100.0%257D", "Show Evidence...")</f>
        <v>Show Evidence...</v>
      </c>
    </row>
    <row r="564" spans="1:10" ht="12.75">
      <c r="A564" s="2" t="s">
        <v>50</v>
      </c>
      <c r="B564" s="2" t="s">
        <v>920</v>
      </c>
      <c r="C564" s="2" t="s">
        <v>24</v>
      </c>
      <c r="D564" s="2" t="s">
        <v>921</v>
      </c>
      <c r="E564" s="2" t="s">
        <v>293</v>
      </c>
      <c r="F564" s="11">
        <v>102582924</v>
      </c>
      <c r="G564" t="s">
        <v>36</v>
      </c>
      <c r="H564" t="s">
        <v>1187</v>
      </c>
      <c r="I564" t="s">
        <v>952</v>
      </c>
      <c r="J564" s="6" t="str">
        <f>HYPERLINK("https://www.biovista.com/db/link/%5B%5B%22Disease%7CGlutaric%20aciduria%201%22%5D,%20%5B%22Gene%7Cgibberellin%203-oxidase%22%5D%5D?strength-weight-map=%257B%2522MEDLINE_STRENGTH_AB%2522:1.0,%2522HPO%2522:100.0%257D", "Show Evidence...")</f>
        <v>Show Evidence...</v>
      </c>
    </row>
    <row r="565" spans="1:10" ht="12.75">
      <c r="A565" s="2" t="s">
        <v>50</v>
      </c>
      <c r="B565" s="2" t="s">
        <v>920</v>
      </c>
      <c r="C565" s="2" t="s">
        <v>24</v>
      </c>
      <c r="D565" s="2" t="s">
        <v>921</v>
      </c>
      <c r="E565" s="2" t="s">
        <v>293</v>
      </c>
      <c r="F565" s="11">
        <v>4326236</v>
      </c>
      <c r="G565" t="s">
        <v>36</v>
      </c>
      <c r="H565" t="s">
        <v>1188</v>
      </c>
      <c r="I565" t="s">
        <v>952</v>
      </c>
      <c r="J565" s="6" t="str">
        <f>HYPERLINK("https://www.biovista.com/db/link/%5B%5B%22Disease%7CGlutaric%20aciduria%201%22%5D,%20%5B%22Gene%7CLOC4326236%22%5D%5D?strength-weight-map=%257B%2522MEDLINE_STRENGTH_AB%2522:1.0,%2522HPO%2522:100.0%257D", "Show Evidence...")</f>
        <v>Show Evidence...</v>
      </c>
    </row>
    <row r="566" spans="1:10" ht="12.75">
      <c r="A566" s="2" t="s">
        <v>50</v>
      </c>
      <c r="B566" s="2" t="s">
        <v>920</v>
      </c>
      <c r="C566" s="2" t="s">
        <v>24</v>
      </c>
      <c r="D566" s="2" t="s">
        <v>921</v>
      </c>
      <c r="E566" s="2" t="s">
        <v>293</v>
      </c>
      <c r="F566" s="11">
        <v>887303</v>
      </c>
      <c r="G566" t="s">
        <v>36</v>
      </c>
      <c r="H566" t="s">
        <v>1189</v>
      </c>
      <c r="I566" t="s">
        <v>952</v>
      </c>
      <c r="J566" s="6" t="str">
        <f>HYPERLINK("https://www.biovista.com/db/link/%5B%5B%22Disease%7CGlutaric%20aciduria%201%22%5D,%20%5B%22Gene%7ClppL%22%5D%5D?strength-weight-map=%257B%2522MEDLINE_STRENGTH_AB%2522:1.0,%2522HPO%2522:100.0%257D", "Show Evidence...")</f>
        <v>Show Evidence...</v>
      </c>
    </row>
    <row r="567" spans="1:10" ht="12.75">
      <c r="A567" s="2" t="s">
        <v>50</v>
      </c>
      <c r="B567" s="2" t="s">
        <v>920</v>
      </c>
      <c r="C567" s="2" t="s">
        <v>24</v>
      </c>
      <c r="D567" s="2" t="s">
        <v>921</v>
      </c>
      <c r="E567" s="2" t="s">
        <v>293</v>
      </c>
      <c r="F567" s="11">
        <v>4437</v>
      </c>
      <c r="G567" t="s">
        <v>36</v>
      </c>
      <c r="H567" t="s">
        <v>1190</v>
      </c>
      <c r="I567" t="s">
        <v>952</v>
      </c>
      <c r="J567" s="6" t="str">
        <f>HYPERLINK("https://www.biovista.com/db/link/%5B%5B%22Disease%7CGlutaric%20aciduria%201%22%5D,%20%5B%22Gene%7CMSH3%22%5D%5D?strength-weight-map=%257B%2522MEDLINE_STRENGTH_AB%2522:1.0,%2522HPO%2522:100.0%257D", "Show Evidence...")</f>
        <v>Show Evidence...</v>
      </c>
    </row>
    <row r="568" spans="1:10" ht="12.75">
      <c r="A568" s="2" t="s">
        <v>50</v>
      </c>
      <c r="B568" s="2" t="s">
        <v>920</v>
      </c>
      <c r="C568" s="2" t="s">
        <v>24</v>
      </c>
      <c r="D568" s="2" t="s">
        <v>921</v>
      </c>
      <c r="E568" s="2" t="s">
        <v>293</v>
      </c>
      <c r="F568" s="11">
        <v>4336986</v>
      </c>
      <c r="G568" t="s">
        <v>36</v>
      </c>
      <c r="H568" t="s">
        <v>1191</v>
      </c>
      <c r="I568" t="s">
        <v>952</v>
      </c>
      <c r="J568" s="6" t="str">
        <f>HYPERLINK("https://www.biovista.com/db/link/%5B%5B%22Disease%7CGlutaric%20aciduria%201%22%5D,%20%5B%22Gene%7CNAL1%22%5D%5D?strength-weight-map=%257B%2522MEDLINE_STRENGTH_AB%2522:1.0,%2522HPO%2522:100.0%257D", "Show Evidence...")</f>
        <v>Show Evidence...</v>
      </c>
    </row>
    <row r="569" spans="1:10" ht="12.75">
      <c r="A569" s="2" t="s">
        <v>50</v>
      </c>
      <c r="B569" s="2" t="s">
        <v>920</v>
      </c>
      <c r="C569" s="2" t="s">
        <v>24</v>
      </c>
      <c r="D569" s="2" t="s">
        <v>921</v>
      </c>
      <c r="E569" s="2" t="s">
        <v>293</v>
      </c>
      <c r="F569" s="11">
        <v>4683</v>
      </c>
      <c r="G569" t="s">
        <v>36</v>
      </c>
      <c r="H569" t="s">
        <v>1192</v>
      </c>
      <c r="I569" t="s">
        <v>952</v>
      </c>
      <c r="J569" s="6" t="str">
        <f>HYPERLINK("https://www.biovista.com/db/link/%5B%5B%22Disease%7CGlutaric%20aciduria%201%22%5D,%20%5B%22Gene%7CNBS%22%5D%5D?strength-weight-map=%257B%2522MEDLINE_STRENGTH_AB%2522:1.0,%2522HPO%2522:100.0%257D", "Show Evidence...")</f>
        <v>Show Evidence...</v>
      </c>
    </row>
    <row r="570" spans="1:10" ht="12.75">
      <c r="A570" s="2" t="s">
        <v>50</v>
      </c>
      <c r="B570" s="2" t="s">
        <v>920</v>
      </c>
      <c r="C570" s="2" t="s">
        <v>24</v>
      </c>
      <c r="D570" s="2" t="s">
        <v>921</v>
      </c>
      <c r="E570" s="2" t="s">
        <v>293</v>
      </c>
      <c r="F570" s="11">
        <v>2904</v>
      </c>
      <c r="G570" t="s">
        <v>36</v>
      </c>
      <c r="H570" t="s">
        <v>1193</v>
      </c>
      <c r="I570" t="s">
        <v>952</v>
      </c>
      <c r="J570" s="6" t="str">
        <f>HYPERLINK("https://www.biovista.com/db/link/%5B%5B%22Disease%7CGlutaric%20aciduria%201%22%5D,%20%5B%22Gene%7CNR2B%22%5D%5D?strength-weight-map=%257B%2522MEDLINE_STRENGTH_AB%2522:1.0,%2522HPO%2522:100.0%257D", "Show Evidence...")</f>
        <v>Show Evidence...</v>
      </c>
    </row>
    <row r="571" spans="1:10" ht="12.75">
      <c r="A571" s="2" t="s">
        <v>50</v>
      </c>
      <c r="B571" s="2" t="s">
        <v>920</v>
      </c>
      <c r="C571" s="2" t="s">
        <v>24</v>
      </c>
      <c r="D571" s="2" t="s">
        <v>921</v>
      </c>
      <c r="E571" s="2" t="s">
        <v>293</v>
      </c>
      <c r="F571" s="11">
        <v>5009</v>
      </c>
      <c r="G571" t="s">
        <v>36</v>
      </c>
      <c r="H571" t="s">
        <v>1194</v>
      </c>
      <c r="I571" t="s">
        <v>952</v>
      </c>
      <c r="J571" s="6" t="str">
        <f>HYPERLINK("https://www.biovista.com/db/link/%5B%5B%22Disease%7CGlutaric%20aciduria%201%22%5D,%20%5B%22Gene%7Cornithine%20transcarbamylase%22%5D%5D?strength-weight-map=%257B%2522MEDLINE_STRENGTH_AB%2522:1.0,%2522HPO%2522:100.0%257D", "Show Evidence...")</f>
        <v>Show Evidence...</v>
      </c>
    </row>
    <row r="572" spans="1:10" ht="12.75">
      <c r="A572" s="2" t="s">
        <v>50</v>
      </c>
      <c r="B572" s="2" t="s">
        <v>920</v>
      </c>
      <c r="C572" s="2" t="s">
        <v>24</v>
      </c>
      <c r="D572" s="2" t="s">
        <v>921</v>
      </c>
      <c r="E572" s="2" t="s">
        <v>293</v>
      </c>
      <c r="F572" s="11">
        <v>6285</v>
      </c>
      <c r="G572" t="s">
        <v>36</v>
      </c>
      <c r="H572" t="s">
        <v>1195</v>
      </c>
      <c r="I572" t="s">
        <v>952</v>
      </c>
      <c r="J572" s="6" t="str">
        <f>HYPERLINK("https://www.biovista.com/db/link/%5B%5B%22Disease%7CGlutaric%20aciduria%201%22%5D,%20%5B%22Gene%7CS100B%22%5D%5D?strength-weight-map=%257B%2522MEDLINE_STRENGTH_AB%2522:1.0,%2522HPO%2522:100.0%257D", "Show Evidence...")</f>
        <v>Show Evidence...</v>
      </c>
    </row>
    <row r="573" spans="1:10" ht="12.75">
      <c r="A573" s="2" t="s">
        <v>50</v>
      </c>
      <c r="B573" s="2" t="s">
        <v>920</v>
      </c>
      <c r="C573" s="2" t="s">
        <v>24</v>
      </c>
      <c r="D573" s="2" t="s">
        <v>921</v>
      </c>
      <c r="E573" s="2" t="s">
        <v>293</v>
      </c>
      <c r="F573" s="11">
        <v>66521779</v>
      </c>
      <c r="G573" t="s">
        <v>36</v>
      </c>
      <c r="H573" t="s">
        <v>1196</v>
      </c>
      <c r="I573" t="s">
        <v>952</v>
      </c>
      <c r="J573" s="6" t="str">
        <f>HYPERLINK("https://www.biovista.com/db/link/%5B%5B%22Disease%7CGlutaric%20aciduria%201%22%5D,%20%5B%22Gene%7Csialidase%22%5D%5D?strength-weight-map=%257B%2522MEDLINE_STRENGTH_AB%2522:1.0,%2522HPO%2522:100.0%257D", "Show Evidence...")</f>
        <v>Show Evidence...</v>
      </c>
    </row>
    <row r="574" spans="1:10" ht="12.75">
      <c r="A574" s="2" t="s">
        <v>50</v>
      </c>
      <c r="B574" s="2" t="s">
        <v>920</v>
      </c>
      <c r="C574" s="2" t="s">
        <v>24</v>
      </c>
      <c r="D574" s="2" t="s">
        <v>921</v>
      </c>
      <c r="E574" s="2" t="s">
        <v>293</v>
      </c>
      <c r="F574" s="11">
        <v>79783</v>
      </c>
      <c r="G574" t="s">
        <v>36</v>
      </c>
      <c r="H574" t="s">
        <v>1197</v>
      </c>
      <c r="I574" t="s">
        <v>952</v>
      </c>
      <c r="J574" s="6" t="str">
        <f>HYPERLINK("https://www.biovista.com/db/link/%5B%5B%22Disease%7CGlutaric%20aciduria%201%22%5D,%20%5B%22Gene%7CSUGCT%22%5D%5D?strength-weight-map=%257B%2522MEDLINE_STRENGTH_AB%2522:1.0,%2522HPO%2522:100.0%257D", "Show Evidence...")</f>
        <v>Show Evidence...</v>
      </c>
    </row>
    <row r="575" spans="1:10" ht="12.75">
      <c r="A575" s="2" t="s">
        <v>50</v>
      </c>
      <c r="B575" s="2" t="s">
        <v>920</v>
      </c>
      <c r="C575" s="2" t="s">
        <v>24</v>
      </c>
      <c r="D575" s="2" t="s">
        <v>921</v>
      </c>
      <c r="E575" s="2" t="s">
        <v>293</v>
      </c>
      <c r="F575" s="11">
        <v>7128</v>
      </c>
      <c r="G575" t="s">
        <v>36</v>
      </c>
      <c r="H575" t="s">
        <v>1198</v>
      </c>
      <c r="I575" t="s">
        <v>959</v>
      </c>
      <c r="J575" s="6" t="str">
        <f>HYPERLINK("https://www.biovista.com/db/link/%5B%5B%22Disease%7CGlutaric%20aciduria%201%22%5D,%20%5B%22Gene%7CA20%22%5D%5D?strength-weight-map=%257B%2522MEDLINE_STRENGTH_AB%2522:1.0,%2522HPO%2522:100.0%257D", "Show Evidence...")</f>
        <v>Show Evidence...</v>
      </c>
    </row>
    <row r="576" spans="1:10" ht="12.75">
      <c r="A576" s="2" t="s">
        <v>50</v>
      </c>
      <c r="B576" s="2" t="s">
        <v>920</v>
      </c>
      <c r="C576" s="2" t="s">
        <v>24</v>
      </c>
      <c r="D576" s="2" t="s">
        <v>921</v>
      </c>
      <c r="E576" s="2" t="s">
        <v>293</v>
      </c>
      <c r="F576" s="11">
        <v>213</v>
      </c>
      <c r="G576" t="s">
        <v>36</v>
      </c>
      <c r="H576" t="s">
        <v>1199</v>
      </c>
      <c r="I576" t="s">
        <v>959</v>
      </c>
      <c r="J576" s="6" t="str">
        <f>HYPERLINK("https://www.biovista.com/db/link/%5B%5B%22Disease%7CGlutaric%20aciduria%201%22%5D,%20%5B%22Gene%7CAlb%22%5D%5D?strength-weight-map=%257B%2522MEDLINE_STRENGTH_AB%2522:1.0,%2522HPO%2522:100.0%257D", "Show Evidence...")</f>
        <v>Show Evidence...</v>
      </c>
    </row>
    <row r="577" spans="1:10" ht="12.75">
      <c r="A577" s="2" t="s">
        <v>50</v>
      </c>
      <c r="B577" s="2" t="s">
        <v>920</v>
      </c>
      <c r="C577" s="2" t="s">
        <v>24</v>
      </c>
      <c r="D577" s="2" t="s">
        <v>921</v>
      </c>
      <c r="E577" s="2" t="s">
        <v>293</v>
      </c>
      <c r="F577" s="11">
        <v>501</v>
      </c>
      <c r="G577" t="s">
        <v>36</v>
      </c>
      <c r="H577" t="s">
        <v>1200</v>
      </c>
      <c r="I577" t="s">
        <v>959</v>
      </c>
      <c r="J577" s="6" t="str">
        <f>HYPERLINK("https://www.biovista.com/db/link/%5B%5B%22Disease%7CGlutaric%20aciduria%201%22%5D,%20%5B%22Gene%7CALDH7A1%22%5D%5D?strength-weight-map=%257B%2522MEDLINE_STRENGTH_AB%2522:1.0,%2522HPO%2522:100.0%257D", "Show Evidence...")</f>
        <v>Show Evidence...</v>
      </c>
    </row>
    <row r="578" spans="1:10" ht="12.75">
      <c r="A578" s="2" t="s">
        <v>50</v>
      </c>
      <c r="B578" s="2" t="s">
        <v>920</v>
      </c>
      <c r="C578" s="2" t="s">
        <v>24</v>
      </c>
      <c r="D578" s="2" t="s">
        <v>921</v>
      </c>
      <c r="E578" s="2" t="s">
        <v>53</v>
      </c>
      <c r="F578" s="11" t="s">
        <v>966</v>
      </c>
      <c r="G578" t="s">
        <v>36</v>
      </c>
      <c r="H578" t="s">
        <v>967</v>
      </c>
      <c r="I578" t="s">
        <v>959</v>
      </c>
      <c r="J578" s="6" t="str">
        <f>HYPERLINK("https://www.biovista.com/db/link/%5B%5B%22Disease%7CGlutaric%20aciduria%201%22%5D,%20%5B%22Gene%7CCholera%20Toxin%22%5D%5D?strength-weight-map=%257B%2522MEDLINE_STRENGTH_AB%2522:1.0,%2522HPO%2522:100.0%257D", "Show Evidence...")</f>
        <v>Show Evidence...</v>
      </c>
    </row>
    <row r="579" spans="1:10" ht="12.75">
      <c r="A579" s="2" t="s">
        <v>50</v>
      </c>
      <c r="B579" s="2" t="s">
        <v>920</v>
      </c>
      <c r="C579" s="2" t="s">
        <v>24</v>
      </c>
      <c r="D579" s="2" t="s">
        <v>921</v>
      </c>
      <c r="E579" s="2" t="s">
        <v>293</v>
      </c>
      <c r="F579" s="11">
        <v>227231</v>
      </c>
      <c r="G579" t="s">
        <v>36</v>
      </c>
      <c r="H579" t="s">
        <v>1201</v>
      </c>
      <c r="I579" t="s">
        <v>959</v>
      </c>
      <c r="J579" s="6" t="str">
        <f>HYPERLINK("https://www.biovista.com/db/link/%5B%5B%22Disease%7CGlutaric%20aciduria%201%22%5D,%20%5B%22Gene%7CCPS%22%5D%5D?strength-weight-map=%257B%2522MEDLINE_STRENGTH_AB%2522:1.0,%2522HPO%2522:100.0%257D", "Show Evidence...")</f>
        <v>Show Evidence...</v>
      </c>
    </row>
    <row r="580" spans="1:10" ht="12.75">
      <c r="A580" s="2" t="s">
        <v>50</v>
      </c>
      <c r="B580" s="2" t="s">
        <v>920</v>
      </c>
      <c r="C580" s="2" t="s">
        <v>24</v>
      </c>
      <c r="D580" s="2" t="s">
        <v>921</v>
      </c>
      <c r="E580" s="2" t="s">
        <v>293</v>
      </c>
      <c r="F580" s="11">
        <v>1491</v>
      </c>
      <c r="G580" t="s">
        <v>36</v>
      </c>
      <c r="H580" t="s">
        <v>1202</v>
      </c>
      <c r="I580" t="s">
        <v>959</v>
      </c>
      <c r="J580" s="6" t="str">
        <f>HYPERLINK("https://www.biovista.com/db/link/%5B%5B%22Disease%7CGlutaric%20aciduria%201%22%5D,%20%5B%22Gene%7CCTH%22%5D%5D?strength-weight-map=%257B%2522MEDLINE_STRENGTH_AB%2522:1.0,%2522HPO%2522:100.0%257D", "Show Evidence...")</f>
        <v>Show Evidence...</v>
      </c>
    </row>
    <row r="581" spans="1:10" ht="12.75">
      <c r="A581" s="2" t="s">
        <v>50</v>
      </c>
      <c r="B581" s="2" t="s">
        <v>920</v>
      </c>
      <c r="C581" s="2" t="s">
        <v>24</v>
      </c>
      <c r="D581" s="2" t="s">
        <v>921</v>
      </c>
      <c r="E581" s="2" t="s">
        <v>293</v>
      </c>
      <c r="F581" s="11">
        <v>100804540</v>
      </c>
      <c r="G581" t="s">
        <v>36</v>
      </c>
      <c r="H581" t="s">
        <v>1203</v>
      </c>
      <c r="I581" t="s">
        <v>959</v>
      </c>
      <c r="J581" s="6" t="str">
        <f>HYPERLINK("https://www.biovista.com/db/link/%5B%5B%22Disease%7CGlutaric%20aciduria%201%22%5D,%20%5B%22Gene%7CFLC%22%5D%5D?strength-weight-map=%257B%2522MEDLINE_STRENGTH_AB%2522:1.0,%2522HPO%2522:100.0%257D", "Show Evidence...")</f>
        <v>Show Evidence...</v>
      </c>
    </row>
    <row r="582" spans="1:10" ht="12.75">
      <c r="A582" s="2" t="s">
        <v>50</v>
      </c>
      <c r="B582" s="2" t="s">
        <v>920</v>
      </c>
      <c r="C582" s="2" t="s">
        <v>24</v>
      </c>
      <c r="D582" s="2" t="s">
        <v>921</v>
      </c>
      <c r="E582" s="2" t="s">
        <v>293</v>
      </c>
      <c r="F582" s="11">
        <v>104903940</v>
      </c>
      <c r="G582" t="s">
        <v>36</v>
      </c>
      <c r="H582" t="s">
        <v>1204</v>
      </c>
      <c r="I582" t="s">
        <v>959</v>
      </c>
      <c r="J582" s="6" t="str">
        <f>HYPERLINK("https://www.biovista.com/db/link/%5B%5B%22Disease%7CGlutaric%20aciduria%201%22%5D,%20%5B%22Gene%7Cflowering%20locus%20T%22%5D%5D?strength-weight-map=%257B%2522MEDLINE_STRENGTH_AB%2522:1.0,%2522HPO%2522:100.0%257D", "Show Evidence...")</f>
        <v>Show Evidence...</v>
      </c>
    </row>
    <row r="583" spans="1:10" ht="12.75">
      <c r="A583" s="2" t="s">
        <v>50</v>
      </c>
      <c r="B583" s="2" t="s">
        <v>920</v>
      </c>
      <c r="C583" s="2" t="s">
        <v>24</v>
      </c>
      <c r="D583" s="2" t="s">
        <v>921</v>
      </c>
      <c r="E583" s="2" t="s">
        <v>293</v>
      </c>
      <c r="F583" s="11">
        <v>645</v>
      </c>
      <c r="G583" t="s">
        <v>36</v>
      </c>
      <c r="H583" t="s">
        <v>1205</v>
      </c>
      <c r="I583" t="s">
        <v>959</v>
      </c>
      <c r="J583" s="6" t="str">
        <f>HYPERLINK("https://www.biovista.com/db/link/%5B%5B%22Disease%7CGlutaric%20aciduria%201%22%5D,%20%5B%22Gene%7CFR%22%5D%5D?strength-weight-map=%257B%2522MEDLINE_STRENGTH_AB%2522:1.0,%2522HPO%2522:100.0%257D", "Show Evidence...")</f>
        <v>Show Evidence...</v>
      </c>
    </row>
    <row r="584" spans="1:10" ht="12.75">
      <c r="A584" s="2" t="s">
        <v>50</v>
      </c>
      <c r="B584" s="2" t="s">
        <v>920</v>
      </c>
      <c r="C584" s="2" t="s">
        <v>24</v>
      </c>
      <c r="D584" s="2" t="s">
        <v>921</v>
      </c>
      <c r="E584" s="2" t="s">
        <v>293</v>
      </c>
      <c r="F584" s="11">
        <v>2523</v>
      </c>
      <c r="G584" t="s">
        <v>36</v>
      </c>
      <c r="H584" t="s">
        <v>1206</v>
      </c>
      <c r="I584" t="s">
        <v>959</v>
      </c>
      <c r="J584" s="6" t="str">
        <f>HYPERLINK("https://www.biovista.com/db/link/%5B%5B%22Disease%7CGlutaric%20aciduria%201%22%5D,%20%5B%22Gene%7CFUT1%22%5D%5D?strength-weight-map=%257B%2522MEDLINE_STRENGTH_AB%2522:1.0,%2522HPO%2522:100.0%257D", "Show Evidence...")</f>
        <v>Show Evidence...</v>
      </c>
    </row>
    <row r="585" spans="1:10" ht="12.75">
      <c r="A585" s="2" t="s">
        <v>50</v>
      </c>
      <c r="B585" s="2" t="s">
        <v>920</v>
      </c>
      <c r="C585" s="2" t="s">
        <v>24</v>
      </c>
      <c r="D585" s="2" t="s">
        <v>921</v>
      </c>
      <c r="E585" s="2" t="s">
        <v>293</v>
      </c>
      <c r="F585" s="11">
        <v>51083</v>
      </c>
      <c r="G585" t="s">
        <v>36</v>
      </c>
      <c r="H585" t="s">
        <v>1207</v>
      </c>
      <c r="I585" t="s">
        <v>959</v>
      </c>
      <c r="J585" s="6" t="str">
        <f>HYPERLINK("https://www.biovista.com/db/link/%5B%5B%22Disease%7CGlutaric%20aciduria%201%22%5D,%20%5B%22Gene%7CGAL%22%5D%5D?strength-weight-map=%257B%2522MEDLINE_STRENGTH_AB%2522:1.0,%2522HPO%2522:100.0%257D", "Show Evidence...")</f>
        <v>Show Evidence...</v>
      </c>
    </row>
    <row r="586" spans="1:10" ht="12.75">
      <c r="A586" s="2" t="s">
        <v>50</v>
      </c>
      <c r="B586" s="2" t="s">
        <v>920</v>
      </c>
      <c r="C586" s="2" t="s">
        <v>24</v>
      </c>
      <c r="D586" s="2" t="s">
        <v>921</v>
      </c>
      <c r="E586" s="2" t="s">
        <v>293</v>
      </c>
      <c r="F586" s="11">
        <v>2550</v>
      </c>
      <c r="G586" t="s">
        <v>36</v>
      </c>
      <c r="H586" t="s">
        <v>1208</v>
      </c>
      <c r="I586" t="s">
        <v>959</v>
      </c>
      <c r="J586" s="6" t="str">
        <f>HYPERLINK("https://www.biovista.com/db/link/%5B%5B%22Disease%7CGlutaric%20aciduria%201%22%5D,%20%5B%22Gene%7CGB1%22%5D%5D?strength-weight-map=%257B%2522MEDLINE_STRENGTH_AB%2522:1.0,%2522HPO%2522:100.0%257D", "Show Evidence...")</f>
        <v>Show Evidence...</v>
      </c>
    </row>
    <row r="587" spans="1:10" ht="12.75">
      <c r="A587" s="2" t="s">
        <v>50</v>
      </c>
      <c r="B587" s="2" t="s">
        <v>920</v>
      </c>
      <c r="C587" s="2" t="s">
        <v>24</v>
      </c>
      <c r="D587" s="2" t="s">
        <v>921</v>
      </c>
      <c r="E587" s="2" t="s">
        <v>293</v>
      </c>
      <c r="F587" s="11">
        <v>3634903</v>
      </c>
      <c r="G587" t="s">
        <v>36</v>
      </c>
      <c r="H587" t="s">
        <v>1209</v>
      </c>
      <c r="I587" t="s">
        <v>959</v>
      </c>
      <c r="J587" s="6" t="str">
        <f>HYPERLINK("https://www.biovista.com/db/link/%5B%5B%22Disease%7CGlutaric%20aciduria%201%22%5D,%20%5B%22Gene%7CGCA1%22%5D%5D?strength-weight-map=%257B%2522MEDLINE_STRENGTH_AB%2522:1.0,%2522HPO%2522:100.0%257D", "Show Evidence...")</f>
        <v>Show Evidence...</v>
      </c>
    </row>
    <row r="588" spans="1:10" ht="12.75">
      <c r="A588" s="2" t="s">
        <v>50</v>
      </c>
      <c r="B588" s="2" t="s">
        <v>920</v>
      </c>
      <c r="C588" s="2" t="s">
        <v>24</v>
      </c>
      <c r="D588" s="2" t="s">
        <v>921</v>
      </c>
      <c r="E588" s="2" t="s">
        <v>293</v>
      </c>
      <c r="F588" s="11">
        <v>2746</v>
      </c>
      <c r="G588" t="s">
        <v>36</v>
      </c>
      <c r="H588" t="s">
        <v>1210</v>
      </c>
      <c r="I588" t="s">
        <v>959</v>
      </c>
      <c r="J588" s="6" t="str">
        <f>HYPERLINK("https://www.biovista.com/db/link/%5B%5B%22Disease%7CGlutaric%20aciduria%201%22%5D,%20%5B%22Gene%7CGDH%22%5D%5D?strength-weight-map=%257B%2522MEDLINE_STRENGTH_AB%2522:1.0,%2522HPO%2522:100.0%257D", "Show Evidence...")</f>
        <v>Show Evidence...</v>
      </c>
    </row>
    <row r="589" spans="1:10" ht="12.75">
      <c r="A589" s="2" t="s">
        <v>50</v>
      </c>
      <c r="B589" s="2" t="s">
        <v>920</v>
      </c>
      <c r="C589" s="2" t="s">
        <v>24</v>
      </c>
      <c r="D589" s="2" t="s">
        <v>921</v>
      </c>
      <c r="E589" s="2" t="s">
        <v>293</v>
      </c>
      <c r="F589" s="11">
        <v>2752</v>
      </c>
      <c r="G589" t="s">
        <v>36</v>
      </c>
      <c r="H589" t="s">
        <v>1211</v>
      </c>
      <c r="I589" t="s">
        <v>959</v>
      </c>
      <c r="J589" s="6" t="str">
        <f>HYPERLINK("https://www.biovista.com/db/link/%5B%5B%22Disease%7CGlutaric%20aciduria%201%22%5D,%20%5B%22Gene%7Cglutamate%20decarboxylase%22%5D%5D?strength-weight-map=%257B%2522MEDLINE_STRENGTH_AB%2522:1.0,%2522HPO%2522:100.0%257D", "Show Evidence...")</f>
        <v>Show Evidence...</v>
      </c>
    </row>
    <row r="590" spans="1:10" ht="12.75">
      <c r="A590" s="2" t="s">
        <v>50</v>
      </c>
      <c r="B590" s="2" t="s">
        <v>920</v>
      </c>
      <c r="C590" s="2" t="s">
        <v>24</v>
      </c>
      <c r="D590" s="2" t="s">
        <v>921</v>
      </c>
      <c r="E590" s="2" t="s">
        <v>293</v>
      </c>
      <c r="F590" s="11">
        <v>29483</v>
      </c>
      <c r="G590" t="s">
        <v>36</v>
      </c>
      <c r="H590" t="s">
        <v>1212</v>
      </c>
      <c r="I590" t="s">
        <v>959</v>
      </c>
      <c r="J590" s="6" t="str">
        <f>HYPERLINK("https://www.biovista.com/db/link/%5B%5B%22Disease%7CGlutaric%20aciduria%201%22%5D,%20%5B%22Gene%7Cglutamate%20transporter%22%5D%5D?strength-weight-map=%257B%2522MEDLINE_STRENGTH_AB%2522:1.0,%2522HPO%2522:100.0%257D", "Show Evidence...")</f>
        <v>Show Evidence...</v>
      </c>
    </row>
    <row r="591" spans="1:10" ht="12.75">
      <c r="A591" s="2" t="s">
        <v>50</v>
      </c>
      <c r="B591" s="2" t="s">
        <v>920</v>
      </c>
      <c r="C591" s="2" t="s">
        <v>24</v>
      </c>
      <c r="D591" s="2" t="s">
        <v>921</v>
      </c>
      <c r="E591" s="2" t="s">
        <v>293</v>
      </c>
      <c r="F591" s="11">
        <v>14782</v>
      </c>
      <c r="G591" t="s">
        <v>36</v>
      </c>
      <c r="H591" t="s">
        <v>1213</v>
      </c>
      <c r="I591" t="s">
        <v>959</v>
      </c>
      <c r="J591" s="6" t="str">
        <f>HYPERLINK("https://www.biovista.com/db/link/%5B%5B%22Disease%7CGlutaric%20aciduria%201%22%5D,%20%5B%22Gene%7Cglutathione%20reductase%22%5D%5D?strength-weight-map=%257B%2522MEDLINE_STRENGTH_AB%2522:1.0,%2522HPO%2522:100.0%257D", "Show Evidence...")</f>
        <v>Show Evidence...</v>
      </c>
    </row>
    <row r="592" spans="1:10" ht="12.75">
      <c r="A592" s="2" t="s">
        <v>50</v>
      </c>
      <c r="B592" s="2" t="s">
        <v>920</v>
      </c>
      <c r="C592" s="2" t="s">
        <v>24</v>
      </c>
      <c r="D592" s="2" t="s">
        <v>921</v>
      </c>
      <c r="E592" s="2" t="s">
        <v>293</v>
      </c>
      <c r="F592" s="11">
        <v>133482</v>
      </c>
      <c r="G592" t="s">
        <v>36</v>
      </c>
      <c r="H592" t="s">
        <v>1214</v>
      </c>
      <c r="I592" t="s">
        <v>959</v>
      </c>
      <c r="J592" s="6" t="str">
        <f>HYPERLINK("https://www.biovista.com/db/link/%5B%5B%22Disease%7CGlutaric%20aciduria%201%22%5D,%20%5B%22Gene%7CGST%22%5D%5D?strength-weight-map=%257B%2522MEDLINE_STRENGTH_AB%2522:1.0,%2522HPO%2522:100.0%257D", "Show Evidence...")</f>
        <v>Show Evidence...</v>
      </c>
    </row>
    <row r="593" spans="1:10" ht="12.75">
      <c r="A593" s="2" t="s">
        <v>50</v>
      </c>
      <c r="B593" s="2" t="s">
        <v>920</v>
      </c>
      <c r="C593" s="2" t="s">
        <v>24</v>
      </c>
      <c r="D593" s="2" t="s">
        <v>921</v>
      </c>
      <c r="E593" s="2" t="s">
        <v>293</v>
      </c>
      <c r="F593" s="11">
        <v>3030</v>
      </c>
      <c r="G593" t="s">
        <v>36</v>
      </c>
      <c r="H593" t="s">
        <v>1215</v>
      </c>
      <c r="I593" t="s">
        <v>959</v>
      </c>
      <c r="J593" s="6" t="str">
        <f>HYPERLINK("https://www.biovista.com/db/link/%5B%5B%22Disease%7CGlutaric%20aciduria%201%22%5D,%20%5B%22Gene%7CHADHA%22%5D%5D?strength-weight-map=%257B%2522MEDLINE_STRENGTH_AB%2522:1.0,%2522HPO%2522:100.0%257D", "Show Evidence...")</f>
        <v>Show Evidence...</v>
      </c>
    </row>
    <row r="594" spans="1:10" ht="12.75">
      <c r="A594" s="2" t="s">
        <v>50</v>
      </c>
      <c r="B594" s="2" t="s">
        <v>920</v>
      </c>
      <c r="C594" s="2" t="s">
        <v>24</v>
      </c>
      <c r="D594" s="2" t="s">
        <v>921</v>
      </c>
      <c r="E594" s="2" t="s">
        <v>293</v>
      </c>
      <c r="F594" s="11">
        <v>3630</v>
      </c>
      <c r="G594" t="s">
        <v>36</v>
      </c>
      <c r="H594" t="s">
        <v>358</v>
      </c>
      <c r="I594" t="s">
        <v>959</v>
      </c>
      <c r="J594" s="6" t="str">
        <f>HYPERLINK("https://www.biovista.com/db/link/%5B%5B%22Disease%7CGlutaric%20aciduria%201%22%5D,%20%5B%22Gene%7CINS%22%5D%5D?strength-weight-map=%257B%2522MEDLINE_STRENGTH_AB%2522:1.0,%2522HPO%2522:100.0%257D", "Show Evidence...")</f>
        <v>Show Evidence...</v>
      </c>
    </row>
    <row r="595" spans="1:10" ht="12.75">
      <c r="A595" s="2" t="s">
        <v>50</v>
      </c>
      <c r="B595" s="2" t="s">
        <v>920</v>
      </c>
      <c r="C595" s="2" t="s">
        <v>24</v>
      </c>
      <c r="D595" s="2" t="s">
        <v>921</v>
      </c>
      <c r="E595" s="2" t="s">
        <v>293</v>
      </c>
      <c r="F595" s="11">
        <v>34</v>
      </c>
      <c r="G595" t="s">
        <v>36</v>
      </c>
      <c r="H595" t="s">
        <v>1216</v>
      </c>
      <c r="I595" t="s">
        <v>959</v>
      </c>
      <c r="J595" s="6" t="str">
        <f>HYPERLINK("https://www.biovista.com/db/link/%5B%5B%22Disease%7CGlutaric%20aciduria%201%22%5D,%20%5B%22Gene%7Cmedium-chain%20acyl-CoA%20dehydrogenase%22%5D%5D?strength-weight-map=%257B%2522MEDLINE_STRENGTH_AB%2522:1.0,%2522HPO%2522:100.0%257D", "Show Evidence...")</f>
        <v>Show Evidence...</v>
      </c>
    </row>
    <row r="596" spans="1:10" ht="12.75">
      <c r="A596" s="2" t="s">
        <v>50</v>
      </c>
      <c r="B596" s="2" t="s">
        <v>920</v>
      </c>
      <c r="C596" s="2" t="s">
        <v>24</v>
      </c>
      <c r="D596" s="2" t="s">
        <v>921</v>
      </c>
      <c r="E596" s="2" t="s">
        <v>293</v>
      </c>
      <c r="F596" s="11">
        <v>23531</v>
      </c>
      <c r="G596" t="s">
        <v>36</v>
      </c>
      <c r="H596" t="s">
        <v>1217</v>
      </c>
      <c r="I596" t="s">
        <v>959</v>
      </c>
      <c r="J596" s="6" t="str">
        <f>HYPERLINK("https://www.biovista.com/db/link/%5B%5B%22Disease%7CGlutaric%20aciduria%201%22%5D,%20%5B%22Gene%7CMMA%22%5D%5D?strength-weight-map=%257B%2522MEDLINE_STRENGTH_AB%2522:1.0,%2522HPO%2522:100.0%257D", "Show Evidence...")</f>
        <v>Show Evidence...</v>
      </c>
    </row>
    <row r="597" spans="1:10" ht="12.75">
      <c r="A597" s="2" t="s">
        <v>50</v>
      </c>
      <c r="B597" s="2" t="s">
        <v>920</v>
      </c>
      <c r="C597" s="2" t="s">
        <v>24</v>
      </c>
      <c r="D597" s="2" t="s">
        <v>921</v>
      </c>
      <c r="E597" s="2" t="s">
        <v>293</v>
      </c>
      <c r="F597" s="11">
        <v>146713</v>
      </c>
      <c r="G597" t="s">
        <v>36</v>
      </c>
      <c r="H597" t="s">
        <v>1218</v>
      </c>
      <c r="I597" t="s">
        <v>959</v>
      </c>
      <c r="J597" s="6" t="str">
        <f>HYPERLINK("https://www.biovista.com/db/link/%5B%5B%22Disease%7CGlutaric%20aciduria%201%22%5D,%20%5B%22Gene%7CNEUN%22%5D%5D?strength-weight-map=%257B%2522MEDLINE_STRENGTH_AB%2522:1.0,%2522HPO%2522:100.0%257D", "Show Evidence...")</f>
        <v>Show Evidence...</v>
      </c>
    </row>
    <row r="598" spans="1:10" ht="12.75">
      <c r="A598" s="2" t="s">
        <v>50</v>
      </c>
      <c r="B598" s="2" t="s">
        <v>920</v>
      </c>
      <c r="C598" s="2" t="s">
        <v>24</v>
      </c>
      <c r="D598" s="2" t="s">
        <v>921</v>
      </c>
      <c r="E598" s="2" t="s">
        <v>293</v>
      </c>
      <c r="F598" s="11">
        <v>4790</v>
      </c>
      <c r="G598" t="s">
        <v>36</v>
      </c>
      <c r="H598" t="s">
        <v>390</v>
      </c>
      <c r="I598" t="s">
        <v>959</v>
      </c>
      <c r="J598" s="6" t="str">
        <f>HYPERLINK("https://www.biovista.com/db/link/%5B%5B%22Disease%7CGlutaric%20aciduria%201%22%5D,%20%5B%22Gene%7CNFKB1%22%5D%5D?strength-weight-map=%257B%2522MEDLINE_STRENGTH_AB%2522:1.0,%2522HPO%2522:100.0%257D", "Show Evidence...")</f>
        <v>Show Evidence...</v>
      </c>
    </row>
    <row r="599" spans="1:10" ht="12.75">
      <c r="A599" s="2" t="s">
        <v>50</v>
      </c>
      <c r="B599" s="2" t="s">
        <v>920</v>
      </c>
      <c r="C599" s="2" t="s">
        <v>24</v>
      </c>
      <c r="D599" s="2" t="s">
        <v>921</v>
      </c>
      <c r="E599" s="2" t="s">
        <v>293</v>
      </c>
      <c r="F599" s="11">
        <v>27158</v>
      </c>
      <c r="G599" t="s">
        <v>36</v>
      </c>
      <c r="H599" t="s">
        <v>1219</v>
      </c>
      <c r="I599" t="s">
        <v>959</v>
      </c>
      <c r="J599" s="6" t="str">
        <f>HYPERLINK("https://www.biovista.com/db/link/%5B%5B%22Disease%7CGlutaric%20aciduria%201%22%5D,%20%5B%22Gene%7CNR1%22%5D%5D?strength-weight-map=%257B%2522MEDLINE_STRENGTH_AB%2522:1.0,%2522HPO%2522:100.0%257D", "Show Evidence...")</f>
        <v>Show Evidence...</v>
      </c>
    </row>
    <row r="600" spans="1:10" ht="12.75">
      <c r="A600" s="2" t="s">
        <v>50</v>
      </c>
      <c r="B600" s="2" t="s">
        <v>920</v>
      </c>
      <c r="C600" s="2" t="s">
        <v>24</v>
      </c>
      <c r="D600" s="2" t="s">
        <v>921</v>
      </c>
      <c r="E600" s="2" t="s">
        <v>293</v>
      </c>
      <c r="F600" s="11">
        <v>2551</v>
      </c>
      <c r="G600" t="s">
        <v>36</v>
      </c>
      <c r="H600" t="s">
        <v>1220</v>
      </c>
      <c r="I600" t="s">
        <v>959</v>
      </c>
      <c r="J600" s="6" t="str">
        <f>HYPERLINK("https://www.biovista.com/db/link/%5B%5B%22Disease%7CGlutaric%20aciduria%201%22%5D,%20%5B%22Gene%7CNRF2%22%5D%5D?strength-weight-map=%257B%2522MEDLINE_STRENGTH_AB%2522:1.0,%2522HPO%2522:100.0%257D", "Show Evidence...")</f>
        <v>Show Evidence...</v>
      </c>
    </row>
    <row r="601" spans="1:10" ht="12.75">
      <c r="A601" s="2" t="s">
        <v>50</v>
      </c>
      <c r="B601" s="2" t="s">
        <v>920</v>
      </c>
      <c r="C601" s="2" t="s">
        <v>24</v>
      </c>
      <c r="D601" s="2" t="s">
        <v>921</v>
      </c>
      <c r="E601" s="2" t="s">
        <v>293</v>
      </c>
      <c r="F601" s="11">
        <v>104897615</v>
      </c>
      <c r="G601" t="s">
        <v>36</v>
      </c>
      <c r="H601" t="s">
        <v>1221</v>
      </c>
      <c r="I601" t="s">
        <v>959</v>
      </c>
      <c r="J601" s="6" t="str">
        <f>HYPERLINK("https://www.biovista.com/db/link/%5B%5B%22Disease%7CGlutaric%20aciduria%201%22%5D,%20%5B%22Gene%7Curease%22%5D%5D?strength-weight-map=%257B%2522MEDLINE_STRENGTH_AB%2522:1.0,%2522HPO%2522:100.0%257D", "Show Evidence...")</f>
        <v>Show Evidence...</v>
      </c>
    </row>
    <row r="602" spans="1:10" ht="12.75">
      <c r="A602" s="2" t="s">
        <v>50</v>
      </c>
      <c r="B602" s="2" t="s">
        <v>920</v>
      </c>
      <c r="C602" s="2" t="s">
        <v>24</v>
      </c>
      <c r="D602" s="2" t="s">
        <v>921</v>
      </c>
      <c r="E602" s="2" t="s">
        <v>431</v>
      </c>
      <c r="F602" s="11" t="s">
        <v>1222</v>
      </c>
      <c r="G602" t="s">
        <v>38</v>
      </c>
      <c r="H602" t="s">
        <v>1223</v>
      </c>
      <c r="I602" t="s">
        <v>1224</v>
      </c>
      <c r="J602" s="6" t="str">
        <f>HYPERLINK("https://www.biovista.com/db/link/%5B%5B%22Disease%7CGlutaric%20aciduria%201%22%5D,%20%5B%22Human%20Phenotype%7CGlutaric%20aciduria%22%5D%5D?strength-weight-map=%257B%2522MEDLINE_STRENGTH_AB%2522:1.0,%2522HPO%2522:100.0%257D", "Show Evidence...")</f>
        <v>Show Evidence...</v>
      </c>
    </row>
    <row r="603" spans="1:10" ht="12.75">
      <c r="A603" s="2" t="s">
        <v>50</v>
      </c>
      <c r="B603" s="2" t="s">
        <v>920</v>
      </c>
      <c r="C603" s="2" t="s">
        <v>24</v>
      </c>
      <c r="D603" s="2" t="s">
        <v>921</v>
      </c>
      <c r="E603" s="2" t="s">
        <v>431</v>
      </c>
      <c r="F603" s="11" t="s">
        <v>1225</v>
      </c>
      <c r="G603" t="s">
        <v>38</v>
      </c>
      <c r="H603" t="s">
        <v>1226</v>
      </c>
      <c r="I603" t="s">
        <v>1227</v>
      </c>
      <c r="J603" s="6" t="str">
        <f>HYPERLINK("https://www.biovista.com/db/link/%5B%5B%22Disease%7CGlutaric%20aciduria%201%22%5D,%20%5B%22Human%20Phenotype%7CDystonia%22%5D%5D?strength-weight-map=%257B%2522MEDLINE_STRENGTH_AB%2522:1.0,%2522HPO%2522:100.0%257D", "Show Evidence...")</f>
        <v>Show Evidence...</v>
      </c>
    </row>
    <row r="604" spans="1:10" ht="12.75">
      <c r="A604" s="2" t="s">
        <v>50</v>
      </c>
      <c r="B604" s="2" t="s">
        <v>920</v>
      </c>
      <c r="C604" s="2" t="s">
        <v>24</v>
      </c>
      <c r="D604" s="2" t="s">
        <v>921</v>
      </c>
      <c r="E604" s="2" t="s">
        <v>431</v>
      </c>
      <c r="F604" s="11" t="s">
        <v>1228</v>
      </c>
      <c r="G604" t="s">
        <v>38</v>
      </c>
      <c r="H604" t="s">
        <v>1229</v>
      </c>
      <c r="I604" t="s">
        <v>1230</v>
      </c>
      <c r="J604" s="6" t="str">
        <f>HYPERLINK("https://www.biovista.com/db/link/%5B%5B%22Disease%7CGlutaric%20aciduria%201%22%5D,%20%5B%22Human%20Phenotype%7CSubdural%20hemorrhage%22%5D%5D?strength-weight-map=%257B%2522MEDLINE_STRENGTH_AB%2522:1.0,%2522HPO%2522:100.0%257D", "Show Evidence...")</f>
        <v>Show Evidence...</v>
      </c>
    </row>
    <row r="605" spans="1:10" ht="12.75">
      <c r="A605" s="2" t="s">
        <v>50</v>
      </c>
      <c r="B605" s="2" t="s">
        <v>920</v>
      </c>
      <c r="C605" s="2" t="s">
        <v>24</v>
      </c>
      <c r="D605" s="2" t="s">
        <v>921</v>
      </c>
      <c r="E605" s="2" t="s">
        <v>431</v>
      </c>
      <c r="F605" s="11" t="s">
        <v>1231</v>
      </c>
      <c r="G605" t="s">
        <v>38</v>
      </c>
      <c r="H605" t="s">
        <v>1232</v>
      </c>
      <c r="I605" t="s">
        <v>1233</v>
      </c>
      <c r="J605" t="s">
        <v>1234</v>
      </c>
    </row>
    <row r="606" spans="1:10" ht="12.75">
      <c r="A606" s="2" t="s">
        <v>50</v>
      </c>
      <c r="B606" s="2" t="s">
        <v>920</v>
      </c>
      <c r="C606" s="2" t="s">
        <v>24</v>
      </c>
      <c r="D606" s="2" t="s">
        <v>921</v>
      </c>
      <c r="E606" s="2" t="s">
        <v>431</v>
      </c>
      <c r="F606" s="11" t="s">
        <v>1235</v>
      </c>
      <c r="G606" t="s">
        <v>38</v>
      </c>
      <c r="H606" t="s">
        <v>1236</v>
      </c>
      <c r="I606" t="s">
        <v>1233</v>
      </c>
      <c r="J606" s="6" t="str">
        <f>HYPERLINK("https://www.biovista.com/db/link/%5B%5B%22Disease%7CGlutaric%20aciduria%201%22%5D,%20%5B%22Human%20Phenotype%7CElevated%20urine%203-hydroxyglutaric%20level%22%5D%5D?strength-weight-map=%257B%2522MEDLINE_STRENGTH_AB%2522:1.0,%2522HPO%2522:100.0%257D", "Show Evidence...")</f>
        <v>Show Evidence...</v>
      </c>
    </row>
    <row r="607" spans="1:10" ht="12.75">
      <c r="A607" s="2" t="s">
        <v>50</v>
      </c>
      <c r="B607" s="2" t="s">
        <v>920</v>
      </c>
      <c r="C607" s="2" t="s">
        <v>24</v>
      </c>
      <c r="D607" s="2" t="s">
        <v>921</v>
      </c>
      <c r="E607" s="2" t="s">
        <v>431</v>
      </c>
      <c r="F607" s="11" t="s">
        <v>1237</v>
      </c>
      <c r="G607" t="s">
        <v>38</v>
      </c>
      <c r="H607" t="s">
        <v>1238</v>
      </c>
      <c r="I607" t="s">
        <v>1233</v>
      </c>
      <c r="J607" t="s">
        <v>1239</v>
      </c>
    </row>
    <row r="608" spans="1:10" ht="12.75">
      <c r="A608" s="2" t="s">
        <v>50</v>
      </c>
      <c r="B608" s="2" t="s">
        <v>920</v>
      </c>
      <c r="C608" s="2" t="s">
        <v>24</v>
      </c>
      <c r="D608" s="2" t="s">
        <v>921</v>
      </c>
      <c r="E608" s="2" t="s">
        <v>431</v>
      </c>
      <c r="F608" s="11" t="s">
        <v>1240</v>
      </c>
      <c r="G608" t="s">
        <v>38</v>
      </c>
      <c r="H608" t="s">
        <v>1241</v>
      </c>
      <c r="I608" t="s">
        <v>1242</v>
      </c>
      <c r="J608" s="6" t="str">
        <f>HYPERLINK("https://www.biovista.com/db/link/%5B%5B%22Disease%7CGlutaric%20aciduria%201%22%5D,%20%5B%22Human%20Phenotype%7CAbnormal%20basal%20ganglia%20morphology%22%5D%5D?strength-weight-map=%257B%2522MEDLINE_STRENGTH_AB%2522:1.0,%2522HPO%2522:100.0%257D", "Show Evidence...")</f>
        <v>Show Evidence...</v>
      </c>
    </row>
    <row r="609" spans="1:10" ht="12.75">
      <c r="A609" s="2" t="s">
        <v>50</v>
      </c>
      <c r="B609" s="2" t="s">
        <v>920</v>
      </c>
      <c r="C609" s="2" t="s">
        <v>24</v>
      </c>
      <c r="D609" s="2" t="s">
        <v>921</v>
      </c>
      <c r="E609" s="2" t="s">
        <v>431</v>
      </c>
      <c r="F609" s="11" t="s">
        <v>1243</v>
      </c>
      <c r="G609" t="s">
        <v>38</v>
      </c>
      <c r="H609" t="s">
        <v>1244</v>
      </c>
      <c r="I609" t="s">
        <v>455</v>
      </c>
      <c r="J609" s="6" t="s">
        <v>1245</v>
      </c>
    </row>
    <row r="610" spans="1:10" ht="12.75">
      <c r="A610" s="2" t="s">
        <v>50</v>
      </c>
      <c r="B610" s="2" t="s">
        <v>920</v>
      </c>
      <c r="C610" s="2" t="s">
        <v>24</v>
      </c>
      <c r="D610" s="2" t="s">
        <v>921</v>
      </c>
      <c r="E610" s="2" t="s">
        <v>431</v>
      </c>
      <c r="F610" s="11" t="s">
        <v>1246</v>
      </c>
      <c r="G610" t="s">
        <v>38</v>
      </c>
      <c r="H610" t="s">
        <v>1247</v>
      </c>
      <c r="I610" t="s">
        <v>1248</v>
      </c>
      <c r="J610" s="6" t="str">
        <f>HYPERLINK("https://www.biovista.com/db/link/%5B%5B%22Disease%7CGlutaric%20aciduria%201%22%5D,%20%5B%22Human%20Phenotype%7CEnlarged%20sylvian%20cistern%22%5D%5D?strength-weight-map=%257B%2522MEDLINE_STRENGTH_AB%2522:1.0,%2522HPO%2522:100.0%257D", "Show Evidence...")</f>
        <v>Show Evidence...</v>
      </c>
    </row>
    <row r="611" spans="1:10" ht="12.75">
      <c r="A611" s="2" t="s">
        <v>50</v>
      </c>
      <c r="B611" s="2" t="s">
        <v>920</v>
      </c>
      <c r="C611" s="2" t="s">
        <v>24</v>
      </c>
      <c r="D611" s="2" t="s">
        <v>921</v>
      </c>
      <c r="E611" s="2" t="s">
        <v>431</v>
      </c>
      <c r="F611" s="11" t="s">
        <v>1249</v>
      </c>
      <c r="G611" t="s">
        <v>38</v>
      </c>
      <c r="H611" t="s">
        <v>1250</v>
      </c>
      <c r="I611" t="s">
        <v>1251</v>
      </c>
      <c r="J611" s="6" t="str">
        <f>HYPERLINK("https://www.biovista.com/db/link/%5B%5B%22Disease%7CGlutaric%20aciduria%201%22%5D,%20%5B%22Human%20Phenotype%7CInfantile%20onset%22%5D%5D?strength-weight-map=%257B%2522MEDLINE_STRENGTH_AB%2522:1.0,%2522HPO%2522:100.0%257D", "Show Evidence...")</f>
        <v>Show Evidence...</v>
      </c>
    </row>
    <row r="612" spans="1:10" ht="12.75">
      <c r="A612" s="2" t="s">
        <v>50</v>
      </c>
      <c r="B612" s="2" t="s">
        <v>920</v>
      </c>
      <c r="C612" s="2" t="s">
        <v>24</v>
      </c>
      <c r="D612" s="2" t="s">
        <v>921</v>
      </c>
      <c r="E612" s="2" t="s">
        <v>431</v>
      </c>
      <c r="F612" s="11" t="s">
        <v>1252</v>
      </c>
      <c r="G612" t="s">
        <v>38</v>
      </c>
      <c r="H612" t="s">
        <v>1253</v>
      </c>
      <c r="I612" t="s">
        <v>1254</v>
      </c>
      <c r="J612" s="6" t="str">
        <f>HYPERLINK("https://www.biovista.com/db/link/%5B%5B%22Disease%7CGlutaric%20aciduria%201%22%5D,%20%5B%22Human%20Phenotype%7CAbsent%20speech%22%5D%5D?strength-weight-map=%257B%2522MEDLINE_STRENGTH_AB%2522:1.0,%2522HPO%2522:100.0%257D", "Show Evidence...")</f>
        <v>Show Evidence...</v>
      </c>
    </row>
    <row r="613" spans="1:10" ht="12.75">
      <c r="A613" s="2" t="s">
        <v>50</v>
      </c>
      <c r="B613" s="2" t="s">
        <v>920</v>
      </c>
      <c r="C613" s="2" t="s">
        <v>24</v>
      </c>
      <c r="D613" s="2" t="s">
        <v>921</v>
      </c>
      <c r="E613" s="2" t="s">
        <v>431</v>
      </c>
      <c r="F613" s="11" t="s">
        <v>1255</v>
      </c>
      <c r="G613" t="s">
        <v>38</v>
      </c>
      <c r="H613" t="s">
        <v>1256</v>
      </c>
      <c r="I613" t="s">
        <v>1254</v>
      </c>
      <c r="J613" s="6" t="str">
        <f>HYPERLINK("https://www.biovista.com/db/link/%5B%5B%22Disease%7CGlutaric%20aciduria%201%22%5D,%20%5B%22Human%20Phenotype%7CInability%20to%20walk%22%5D%5D?strength-weight-map=%257B%2522MEDLINE_STRENGTH_AB%2522:1.0,%2522HPO%2522:100.0%257D", "Show Evidence...")</f>
        <v>Show Evidence...</v>
      </c>
    </row>
    <row r="614" spans="1:10" ht="12.75">
      <c r="A614" s="2" t="s">
        <v>50</v>
      </c>
      <c r="B614" s="2" t="s">
        <v>920</v>
      </c>
      <c r="C614" s="2" t="s">
        <v>24</v>
      </c>
      <c r="D614" s="2" t="s">
        <v>921</v>
      </c>
      <c r="E614" s="2" t="s">
        <v>431</v>
      </c>
      <c r="F614" s="11" t="s">
        <v>1257</v>
      </c>
      <c r="G614" t="s">
        <v>38</v>
      </c>
      <c r="H614" t="s">
        <v>1258</v>
      </c>
      <c r="I614" t="s">
        <v>1259</v>
      </c>
      <c r="J614" s="6" t="str">
        <f>HYPERLINK("https://www.biovista.com/db/link/%5B%5B%22Disease%7CGlutaric%20aciduria%201%22%5D,%20%5B%22Human%20Phenotype%7CMacrocephaly%22%5D%5D?strength-weight-map=%257B%2522MEDLINE_STRENGTH_AB%2522:1.0,%2522HPO%2522:100.0%257D", "Show Evidence...")</f>
        <v>Show Evidence...</v>
      </c>
    </row>
    <row r="615" spans="1:10" ht="12.75">
      <c r="A615" s="2" t="s">
        <v>50</v>
      </c>
      <c r="B615" s="2" t="s">
        <v>920</v>
      </c>
      <c r="C615" s="2" t="s">
        <v>24</v>
      </c>
      <c r="D615" s="2" t="s">
        <v>921</v>
      </c>
      <c r="E615" s="2" t="s">
        <v>431</v>
      </c>
      <c r="F615" s="11" t="s">
        <v>1260</v>
      </c>
      <c r="G615" t="s">
        <v>38</v>
      </c>
      <c r="H615" t="s">
        <v>1261</v>
      </c>
      <c r="I615" t="s">
        <v>1262</v>
      </c>
      <c r="J615" s="6" t="str">
        <f>HYPERLINK("https://www.biovista.com/db/link/%5B%5B%22Disease%7CGlutaric%20aciduria%201%22%5D,%20%5B%22Human%20Phenotype%7CEncephalopathy%22%5D%5D?strength-weight-map=%257B%2522MEDLINE_STRENGTH_AB%2522:1.0,%2522HPO%2522:100.0%257D", "Show Evidence...")</f>
        <v>Show Evidence...</v>
      </c>
    </row>
    <row r="616" spans="1:10" ht="12.75">
      <c r="A616" s="2" t="s">
        <v>50</v>
      </c>
      <c r="B616" s="2" t="s">
        <v>920</v>
      </c>
      <c r="C616" s="2" t="s">
        <v>24</v>
      </c>
      <c r="D616" s="2" t="s">
        <v>921</v>
      </c>
      <c r="E616" s="2" t="s">
        <v>431</v>
      </c>
      <c r="F616" s="11" t="s">
        <v>1263</v>
      </c>
      <c r="G616" t="s">
        <v>38</v>
      </c>
      <c r="H616" t="s">
        <v>1264</v>
      </c>
      <c r="I616" t="s">
        <v>1265</v>
      </c>
      <c r="J616" s="6" t="str">
        <f>HYPERLINK("https://www.biovista.com/db/link/%5B%5B%22Disease%7CGlutaric%20aciduria%201%22%5D,%20%5B%22Human%20Phenotype%7CProgressive%20macrocephaly%22%5D%5D?strength-weight-map=%257B%2522MEDLINE_STRENGTH_AB%2522:1.0,%2522HPO%2522:100.0%257D", "Show Evidence...")</f>
        <v>Show Evidence...</v>
      </c>
    </row>
    <row r="617" spans="1:10" ht="12.75">
      <c r="A617" s="2" t="s">
        <v>50</v>
      </c>
      <c r="B617" s="2" t="s">
        <v>920</v>
      </c>
      <c r="C617" s="2" t="s">
        <v>24</v>
      </c>
      <c r="D617" s="2" t="s">
        <v>921</v>
      </c>
      <c r="E617" s="2" t="s">
        <v>431</v>
      </c>
      <c r="F617" s="11" t="s">
        <v>1266</v>
      </c>
      <c r="G617" t="s">
        <v>38</v>
      </c>
      <c r="H617" t="s">
        <v>1267</v>
      </c>
      <c r="I617" t="s">
        <v>1268</v>
      </c>
      <c r="J617" s="6" t="str">
        <f>HYPERLINK("https://www.biovista.com/db/link/%5B%5B%22Disease%7CGlutaric%20aciduria%201%22%5D,%20%5B%22Human%20Phenotype%7CDysarthria%22%5D%5D?strength-weight-map=%257B%2522MEDLINE_STRENGTH_AB%2522:1.0,%2522HPO%2522:100.0%257D", "Show Evidence...")</f>
        <v>Show Evidence...</v>
      </c>
    </row>
    <row r="618" spans="1:10" ht="12.75">
      <c r="A618" s="2" t="s">
        <v>50</v>
      </c>
      <c r="B618" s="2" t="s">
        <v>920</v>
      </c>
      <c r="C618" s="2" t="s">
        <v>24</v>
      </c>
      <c r="D618" s="2" t="s">
        <v>921</v>
      </c>
      <c r="E618" s="2" t="s">
        <v>431</v>
      </c>
      <c r="F618" s="11" t="s">
        <v>1269</v>
      </c>
      <c r="G618" t="s">
        <v>38</v>
      </c>
      <c r="H618" t="s">
        <v>1270</v>
      </c>
      <c r="I618" t="s">
        <v>1268</v>
      </c>
      <c r="J618" s="6" t="str">
        <f>HYPERLINK("https://www.biovista.com/db/link/%5B%5B%22Disease%7CGlutaric%20aciduria%201%22%5D,%20%5B%22Human%20Phenotype%7CSubependymal%20nodules%22%5D%5D?strength-weight-map=%257B%2522MEDLINE_STRENGTH_AB%2522:1.0,%2522HPO%2522:100.0%257D", "Show Evidence...")</f>
        <v>Show Evidence...</v>
      </c>
    </row>
    <row r="619" spans="1:10" ht="12.75">
      <c r="A619" s="2" t="s">
        <v>50</v>
      </c>
      <c r="B619" s="2" t="s">
        <v>920</v>
      </c>
      <c r="C619" s="2" t="s">
        <v>24</v>
      </c>
      <c r="D619" s="2" t="s">
        <v>921</v>
      </c>
      <c r="E619" s="2" t="s">
        <v>431</v>
      </c>
      <c r="F619" s="11" t="s">
        <v>1271</v>
      </c>
      <c r="G619" t="s">
        <v>38</v>
      </c>
      <c r="H619" t="s">
        <v>1272</v>
      </c>
      <c r="I619" t="s">
        <v>1273</v>
      </c>
      <c r="J619" s="6" t="str">
        <f>HYPERLINK("https://www.biovista.com/db/link/%5B%5B%22Disease%7CGlutaric%20aciduria%201%22%5D,%20%5B%22Human%20Phenotype%7CAthetosis%22%5D%5D?strength-weight-map=%257B%2522MEDLINE_STRENGTH_AB%2522:1.0,%2522HPO%2522:100.0%257D", "Show Evidence...")</f>
        <v>Show Evidence...</v>
      </c>
    </row>
    <row r="620" spans="1:10" ht="12.75">
      <c r="A620" s="2" t="s">
        <v>50</v>
      </c>
      <c r="B620" s="2" t="s">
        <v>920</v>
      </c>
      <c r="C620" s="2" t="s">
        <v>24</v>
      </c>
      <c r="D620" s="2" t="s">
        <v>921</v>
      </c>
      <c r="E620" s="2" t="s">
        <v>431</v>
      </c>
      <c r="F620" s="11" t="s">
        <v>444</v>
      </c>
      <c r="G620" t="s">
        <v>38</v>
      </c>
      <c r="H620" t="s">
        <v>445</v>
      </c>
      <c r="I620" t="s">
        <v>1273</v>
      </c>
      <c r="J620" s="6" t="str">
        <f>HYPERLINK("https://www.biovista.com/db/link/%5B%5B%22Disease%7CGlutaric%20aciduria%201%22%5D,%20%5B%22Human%20Phenotype%7CFeeding%20difficulties%22%5D%5D?strength-weight-map=%257B%2522MEDLINE_STRENGTH_AB%2522:1.0,%2522HPO%2522:100.0%257D", "Show Evidence...")</f>
        <v>Show Evidence...</v>
      </c>
    </row>
    <row r="621" spans="1:10" ht="12.75">
      <c r="A621" s="2" t="s">
        <v>50</v>
      </c>
      <c r="B621" s="2" t="s">
        <v>920</v>
      </c>
      <c r="C621" s="2" t="s">
        <v>24</v>
      </c>
      <c r="D621" s="2" t="s">
        <v>921</v>
      </c>
      <c r="E621" s="2" t="s">
        <v>431</v>
      </c>
      <c r="F621" s="11" t="s">
        <v>1274</v>
      </c>
      <c r="G621" t="s">
        <v>38</v>
      </c>
      <c r="H621" t="s">
        <v>1275</v>
      </c>
      <c r="I621" t="s">
        <v>1273</v>
      </c>
      <c r="J621" s="6" t="str">
        <f>HYPERLINK("https://www.biovista.com/db/link/%5B%5B%22Disease%7CGlutaric%20aciduria%201%22%5D,%20%5B%22Human%20Phenotype%7CHeadache%22%5D%5D?strength-weight-map=%257B%2522MEDLINE_STRENGTH_AB%2522:1.0,%2522HPO%2522:100.0%257D", "Show Evidence...")</f>
        <v>Show Evidence...</v>
      </c>
    </row>
    <row r="622" spans="1:10" ht="12.75">
      <c r="A622" s="2" t="s">
        <v>50</v>
      </c>
      <c r="B622" s="2" t="s">
        <v>920</v>
      </c>
      <c r="C622" s="2" t="s">
        <v>24</v>
      </c>
      <c r="D622" s="2" t="s">
        <v>921</v>
      </c>
      <c r="E622" s="2" t="s">
        <v>431</v>
      </c>
      <c r="F622" s="11" t="s">
        <v>441</v>
      </c>
      <c r="G622" t="s">
        <v>38</v>
      </c>
      <c r="H622" t="s">
        <v>442</v>
      </c>
      <c r="I622" t="s">
        <v>1276</v>
      </c>
      <c r="J622" s="6" t="str">
        <f>HYPERLINK("https://www.biovista.com/db/link/%5B%5B%22Disease%7CGlutaric%20aciduria%201%22%5D,%20%5B%22Human%20Phenotype%7CDysphagia%22%5D%5D?strength-weight-map=%257B%2522MEDLINE_STRENGTH_AB%2522:1.0,%2522HPO%2522:100.0%257D", "Show Evidence...")</f>
        <v>Show Evidence...</v>
      </c>
    </row>
    <row r="623" spans="1:10" ht="12.75">
      <c r="A623" s="2" t="s">
        <v>50</v>
      </c>
      <c r="B623" s="2" t="s">
        <v>920</v>
      </c>
      <c r="C623" s="2" t="s">
        <v>24</v>
      </c>
      <c r="D623" s="2" t="s">
        <v>921</v>
      </c>
      <c r="E623" s="2" t="s">
        <v>431</v>
      </c>
      <c r="F623" s="11" t="s">
        <v>1277</v>
      </c>
      <c r="G623" t="s">
        <v>38</v>
      </c>
      <c r="H623" t="s">
        <v>1278</v>
      </c>
      <c r="I623" t="s">
        <v>1279</v>
      </c>
      <c r="J623" s="6" t="str">
        <f>HYPERLINK("https://www.biovista.com/db/link/%5B%5B%22Disease%7CGlutaric%20aciduria%201%22%5D,%20%5B%22Human%20Phenotype%7CIncreased%20head%20circumference%22%5D%5D?strength-weight-map=%257B%2522MEDLINE_STRENGTH_AB%2522:1.0,%2522HPO%2522:100.0%257D", "Show Evidence...")</f>
        <v>Show Evidence...</v>
      </c>
    </row>
    <row r="624" spans="1:10" ht="12.75">
      <c r="A624" s="2" t="s">
        <v>50</v>
      </c>
      <c r="B624" s="2" t="s">
        <v>920</v>
      </c>
      <c r="C624" s="2" t="s">
        <v>24</v>
      </c>
      <c r="D624" s="2" t="s">
        <v>921</v>
      </c>
      <c r="E624" s="2" t="s">
        <v>431</v>
      </c>
      <c r="F624" s="11" t="s">
        <v>1280</v>
      </c>
      <c r="G624" t="s">
        <v>38</v>
      </c>
      <c r="H624" t="s">
        <v>1281</v>
      </c>
      <c r="I624" t="s">
        <v>499</v>
      </c>
      <c r="J624" s="6" t="str">
        <f>HYPERLINK("https://www.biovista.com/db/link/%5B%5B%22Disease%7CGlutaric%20aciduria%201%22%5D,%20%5B%22Human%20Phenotype%7CAbnormal%20caudate%20nucleus%20morphology%22%5D%5D?strength-weight-map=%257B%2522MEDLINE_STRENGTH_AB%2522:1.0,%2522HPO%2522:100.0%257D", "Show Evidence...")</f>
        <v>Show Evidence...</v>
      </c>
    </row>
    <row r="625" spans="1:10" ht="12.75">
      <c r="A625" s="2" t="s">
        <v>50</v>
      </c>
      <c r="B625" s="2" t="s">
        <v>920</v>
      </c>
      <c r="C625" s="2" t="s">
        <v>24</v>
      </c>
      <c r="D625" s="2" t="s">
        <v>921</v>
      </c>
      <c r="E625" s="2" t="s">
        <v>431</v>
      </c>
      <c r="F625" s="11" t="s">
        <v>1282</v>
      </c>
      <c r="G625" t="s">
        <v>38</v>
      </c>
      <c r="H625" t="s">
        <v>1283</v>
      </c>
      <c r="I625" t="s">
        <v>499</v>
      </c>
      <c r="J625" s="6" t="str">
        <f>HYPERLINK("https://www.biovista.com/db/link/%5B%5B%22Disease%7CGlutaric%20aciduria%201%22%5D,%20%5B%22Human%20Phenotype%7CAbnormal%20putamen%20morphology%22%5D%5D?strength-weight-map=%257B%2522MEDLINE_STRENGTH_AB%2522:1.0,%2522HPO%2522:100.0%257D", "Show Evidence...")</f>
        <v>Show Evidence...</v>
      </c>
    </row>
    <row r="626" spans="1:10" ht="12.75">
      <c r="A626" s="2" t="s">
        <v>50</v>
      </c>
      <c r="B626" s="2" t="s">
        <v>920</v>
      </c>
      <c r="C626" s="2" t="s">
        <v>24</v>
      </c>
      <c r="D626" s="2" t="s">
        <v>921</v>
      </c>
      <c r="E626" s="2" t="s">
        <v>431</v>
      </c>
      <c r="F626" s="11" t="s">
        <v>1284</v>
      </c>
      <c r="G626" t="s">
        <v>38</v>
      </c>
      <c r="H626" t="s">
        <v>1285</v>
      </c>
      <c r="I626" t="s">
        <v>499</v>
      </c>
      <c r="J626" s="6" t="str">
        <f>HYPERLINK("https://www.biovista.com/db/link/%5B%5B%22Disease%7CGlutaric%20aciduria%201%22%5D,%20%5B%22Human%20Phenotype%7CCommunicating%20hydrocephalus%22%5D%5D?strength-weight-map=%257B%2522MEDLINE_STRENGTH_AB%2522:1.0,%2522HPO%2522:100.0%257D", "Show Evidence...")</f>
        <v>Show Evidence...</v>
      </c>
    </row>
    <row r="627" spans="1:10" ht="12.75">
      <c r="A627" s="2" t="s">
        <v>50</v>
      </c>
      <c r="B627" s="2" t="s">
        <v>920</v>
      </c>
      <c r="C627" s="2" t="s">
        <v>24</v>
      </c>
      <c r="D627" s="2" t="s">
        <v>921</v>
      </c>
      <c r="E627" s="2" t="s">
        <v>431</v>
      </c>
      <c r="F627" s="11" t="s">
        <v>1286</v>
      </c>
      <c r="G627" t="s">
        <v>38</v>
      </c>
      <c r="H627" t="s">
        <v>1287</v>
      </c>
      <c r="I627" t="s">
        <v>499</v>
      </c>
      <c r="J627" s="6" t="str">
        <f>HYPERLINK("https://www.biovista.com/db/link/%5B%5B%22Disease%7CGlutaric%20aciduria%201%22%5D,%20%5B%22Human%20Phenotype%7COpen%20operculum%22%5D%5D?strength-weight-map=%257B%2522MEDLINE_STRENGTH_AB%2522:1.0,%2522HPO%2522:100.0%257D", "Show Evidence...")</f>
        <v>Show Evidence...</v>
      </c>
    </row>
    <row r="628" spans="1:10" ht="12.75">
      <c r="A628" s="2" t="s">
        <v>50</v>
      </c>
      <c r="B628" s="2" t="s">
        <v>920</v>
      </c>
      <c r="C628" s="2" t="s">
        <v>24</v>
      </c>
      <c r="D628" s="2" t="s">
        <v>921</v>
      </c>
      <c r="E628" s="2" t="s">
        <v>431</v>
      </c>
      <c r="F628" s="11" t="s">
        <v>1288</v>
      </c>
      <c r="G628" t="s">
        <v>38</v>
      </c>
      <c r="H628" t="s">
        <v>1289</v>
      </c>
      <c r="I628" t="s">
        <v>499</v>
      </c>
      <c r="J628" s="6" t="str">
        <f>HYPERLINK("https://www.biovista.com/db/link/%5B%5B%22Disease%7CGlutaric%20aciduria%201%22%5D,%20%5B%22Human%20Phenotype%7CPallidal%20degeneration%22%5D%5D?strength-weight-map=%257B%2522MEDLINE_STRENGTH_AB%2522:1.0,%2522HPO%2522:100.0%257D", "Show Evidence...")</f>
        <v>Show Evidence...</v>
      </c>
    </row>
    <row r="629" spans="1:10" ht="12.75">
      <c r="A629" s="2" t="s">
        <v>50</v>
      </c>
      <c r="B629" s="2" t="s">
        <v>920</v>
      </c>
      <c r="C629" s="2" t="s">
        <v>24</v>
      </c>
      <c r="D629" s="2" t="s">
        <v>921</v>
      </c>
      <c r="E629" s="2" t="s">
        <v>431</v>
      </c>
      <c r="F629" s="11" t="s">
        <v>1290</v>
      </c>
      <c r="G629" t="s">
        <v>38</v>
      </c>
      <c r="H629" t="s">
        <v>1291</v>
      </c>
      <c r="I629" t="s">
        <v>499</v>
      </c>
      <c r="J629" s="6" t="str">
        <f>HYPERLINK("https://www.biovista.com/db/link/%5B%5B%22Disease%7CGlutaric%20aciduria%201%22%5D,%20%5B%22Human%20Phenotype%7CPoor%20motor%20coordination%22%5D%5D?strength-weight-map=%257B%2522MEDLINE_STRENGTH_AB%2522:1.0,%2522HPO%2522:100.0%257D", "Show Evidence...")</f>
        <v>Show Evidence...</v>
      </c>
    </row>
    <row r="630" spans="1:10" ht="12.75">
      <c r="A630" s="2" t="s">
        <v>50</v>
      </c>
      <c r="B630" s="2" t="s">
        <v>920</v>
      </c>
      <c r="C630" s="2" t="s">
        <v>24</v>
      </c>
      <c r="D630" s="2" t="s">
        <v>921</v>
      </c>
      <c r="E630" s="2" t="s">
        <v>431</v>
      </c>
      <c r="F630" s="11" t="s">
        <v>1292</v>
      </c>
      <c r="G630" t="s">
        <v>38</v>
      </c>
      <c r="H630" t="s">
        <v>1293</v>
      </c>
      <c r="I630" t="s">
        <v>499</v>
      </c>
      <c r="J630" s="6" t="str">
        <f>HYPERLINK("https://www.biovista.com/db/link/%5B%5B%22Disease%7CGlutaric%20aciduria%201%22%5D,%20%5B%22Human%20Phenotype%7CT2%20hypointense%20basal%20ganglia%22%5D%5D?strength-weight-map=%257B%2522MEDLINE_STRENGTH_AB%2522:1.0,%2522HPO%2522:100.0%257D", "Show Evidence...")</f>
        <v>Show Evidence...</v>
      </c>
    </row>
    <row r="631" spans="1:10" ht="12.75">
      <c r="A631" s="2" t="s">
        <v>50</v>
      </c>
      <c r="B631" s="2" t="s">
        <v>920</v>
      </c>
      <c r="C631" s="2" t="s">
        <v>24</v>
      </c>
      <c r="D631" s="2" t="s">
        <v>921</v>
      </c>
      <c r="E631" s="2" t="s">
        <v>431</v>
      </c>
      <c r="F631" s="11" t="s">
        <v>1294</v>
      </c>
      <c r="G631" t="s">
        <v>38</v>
      </c>
      <c r="H631" t="s">
        <v>1295</v>
      </c>
      <c r="I631" t="s">
        <v>499</v>
      </c>
      <c r="J631" s="6" t="str">
        <f>HYPERLINK("https://www.biovista.com/db/link/%5B%5B%22Disease%7CGlutaric%20aciduria%201%22%5D,%20%5B%22Human%20Phenotype%7CWidened%20subarachnoid%20space%22%5D%5D?strength-weight-map=%257B%2522MEDLINE_STRENGTH_AB%2522:1.0,%2522HPO%2522:100.0%257D", "Show Evidence...")</f>
        <v>Show Evidence...</v>
      </c>
    </row>
    <row r="632" spans="1:10" ht="12.75">
      <c r="A632" s="2" t="s">
        <v>50</v>
      </c>
      <c r="B632" s="2" t="s">
        <v>920</v>
      </c>
      <c r="C632" s="2" t="s">
        <v>24</v>
      </c>
      <c r="D632" s="2" t="s">
        <v>921</v>
      </c>
      <c r="E632" s="2" t="s">
        <v>431</v>
      </c>
      <c r="F632" s="11" t="s">
        <v>517</v>
      </c>
      <c r="G632" t="s">
        <v>38</v>
      </c>
      <c r="H632" t="s">
        <v>518</v>
      </c>
      <c r="I632" t="s">
        <v>1296</v>
      </c>
      <c r="J632" s="6" t="str">
        <f>HYPERLINK("https://www.biovista.com/db/link/%5B%5B%22Disease%7CGlutaric%20aciduria%201%22%5D,%20%5B%22Human%20Phenotype%7CSeizure%22%5D%5D?strength-weight-map=%257B%2522MEDLINE_STRENGTH_AB%2522:1.0,%2522HPO%2522:100.0%257D", "Show Evidence...")</f>
        <v>Show Evidence...</v>
      </c>
    </row>
    <row r="633" spans="1:10" ht="12.75">
      <c r="A633" s="2" t="s">
        <v>50</v>
      </c>
      <c r="B633" s="2" t="s">
        <v>920</v>
      </c>
      <c r="C633" s="2" t="s">
        <v>24</v>
      </c>
      <c r="D633" s="2" t="s">
        <v>921</v>
      </c>
      <c r="E633" s="2" t="s">
        <v>431</v>
      </c>
      <c r="F633" s="11" t="s">
        <v>1297</v>
      </c>
      <c r="G633" t="s">
        <v>38</v>
      </c>
      <c r="H633" t="s">
        <v>1298</v>
      </c>
      <c r="I633" t="s">
        <v>1299</v>
      </c>
      <c r="J633" s="6" t="str">
        <f>HYPERLINK("https://www.biovista.com/db/link/%5B%5B%22Disease%7CGlutaric%20aciduria%201%22%5D,%20%5B%22Human%20Phenotype%7CDevelopmental%20regression%22%5D%5D?strength-weight-map=%257B%2522MEDLINE_STRENGTH_AB%2522:1.0,%2522HPO%2522:100.0%257D", "Show Evidence...")</f>
        <v>Show Evidence...</v>
      </c>
    </row>
    <row r="634" spans="1:10" ht="12.75">
      <c r="A634" s="2" t="s">
        <v>50</v>
      </c>
      <c r="B634" s="2" t="s">
        <v>920</v>
      </c>
      <c r="C634" s="2" t="s">
        <v>24</v>
      </c>
      <c r="D634" s="2" t="s">
        <v>921</v>
      </c>
      <c r="E634" s="2" t="s">
        <v>431</v>
      </c>
      <c r="F634" s="11" t="s">
        <v>1300</v>
      </c>
      <c r="G634" t="s">
        <v>38</v>
      </c>
      <c r="H634" t="s">
        <v>1301</v>
      </c>
      <c r="I634" t="s">
        <v>1302</v>
      </c>
      <c r="J634" s="6" t="str">
        <f>HYPERLINK("https://www.biovista.com/db/link/%5B%5B%22Disease%7CGlutaric%20aciduria%201%22%5D,%20%5B%22Human%20Phenotype%7CAcute%20encephalopathy%22%5D%5D?strength-weight-map=%257B%2522MEDLINE_STRENGTH_AB%2522:1.0,%2522HPO%2522:100.0%257D", "Show Evidence...")</f>
        <v>Show Evidence...</v>
      </c>
    </row>
    <row r="635" spans="1:10" ht="12.75">
      <c r="A635" s="2" t="s">
        <v>50</v>
      </c>
      <c r="B635" s="2" t="s">
        <v>920</v>
      </c>
      <c r="C635" s="2" t="s">
        <v>24</v>
      </c>
      <c r="D635" s="2" t="s">
        <v>921</v>
      </c>
      <c r="E635" s="2" t="s">
        <v>431</v>
      </c>
      <c r="F635" s="11" t="s">
        <v>1303</v>
      </c>
      <c r="G635" t="s">
        <v>38</v>
      </c>
      <c r="H635" t="s">
        <v>1304</v>
      </c>
      <c r="I635" t="s">
        <v>1305</v>
      </c>
      <c r="J635" s="6" t="str">
        <f>HYPERLINK("https://www.biovista.com/db/link/%5B%5B%22Disease%7CGlutaric%20aciduria%201%22%5D,%20%5B%22Human%20Phenotype%7CIrritability%22%5D%5D?strength-weight-map=%257B%2522MEDLINE_STRENGTH_AB%2522:1.0,%2522HPO%2522:100.0%257D", "Show Evidence...")</f>
        <v>Show Evidence...</v>
      </c>
    </row>
    <row r="636" spans="1:10" ht="12.75">
      <c r="A636" s="2" t="s">
        <v>50</v>
      </c>
      <c r="B636" s="2" t="s">
        <v>920</v>
      </c>
      <c r="C636" s="2" t="s">
        <v>24</v>
      </c>
      <c r="D636" s="2" t="s">
        <v>921</v>
      </c>
      <c r="E636" s="2" t="s">
        <v>431</v>
      </c>
      <c r="F636" s="11" t="s">
        <v>1306</v>
      </c>
      <c r="G636" t="s">
        <v>38</v>
      </c>
      <c r="H636" t="s">
        <v>1307</v>
      </c>
      <c r="I636" t="s">
        <v>1308</v>
      </c>
      <c r="J636" s="6" t="str">
        <f>HYPERLINK("https://www.biovista.com/db/link/%5B%5B%22Disease%7CGlutaric%20aciduria%201%22%5D,%20%5B%22Human%20Phenotype%7CDelayed%20speech%20and%20language%20development%22%5D%5D?strength-weight-map=%257B%2522MEDLINE_STRENGTH_AB%2522:1.0,%2522HPO%2522:100.0%257D", "Show Evidence...")</f>
        <v>Show Evidence...</v>
      </c>
    </row>
    <row r="637" spans="1:10" ht="12.75">
      <c r="A637" s="2" t="s">
        <v>50</v>
      </c>
      <c r="B637" s="2" t="s">
        <v>920</v>
      </c>
      <c r="C637" s="2" t="s">
        <v>24</v>
      </c>
      <c r="D637" s="2" t="s">
        <v>921</v>
      </c>
      <c r="E637" s="2" t="s">
        <v>431</v>
      </c>
      <c r="F637" s="11" t="s">
        <v>1309</v>
      </c>
      <c r="G637" t="s">
        <v>38</v>
      </c>
      <c r="H637" t="s">
        <v>1310</v>
      </c>
      <c r="I637" t="s">
        <v>1311</v>
      </c>
      <c r="J637" s="6" t="str">
        <f>HYPERLINK("https://www.biovista.com/db/link/%5B%5B%22Disease%7CGlutaric%20aciduria%201%22%5D,%20%5B%22Human%20Phenotype%7CChildhood%20onset%22%5D%5D?strength-weight-map=%257B%2522MEDLINE_STRENGTH_AB%2522:1.0,%2522HPO%2522:100.0%257D", "Show Evidence...")</f>
        <v>Show Evidence...</v>
      </c>
    </row>
    <row r="638" spans="1:10" ht="12.75">
      <c r="A638" s="2" t="s">
        <v>50</v>
      </c>
      <c r="B638" s="2" t="s">
        <v>920</v>
      </c>
      <c r="C638" s="2" t="s">
        <v>24</v>
      </c>
      <c r="D638" s="2" t="s">
        <v>921</v>
      </c>
      <c r="E638" s="2" t="s">
        <v>431</v>
      </c>
      <c r="F638" s="11" t="s">
        <v>1312</v>
      </c>
      <c r="G638" t="s">
        <v>38</v>
      </c>
      <c r="H638" t="s">
        <v>1313</v>
      </c>
      <c r="I638" t="s">
        <v>1314</v>
      </c>
      <c r="J638" s="6" t="str">
        <f>HYPERLINK("https://www.biovista.com/db/link/%5B%5B%22Disease%7CGlutaric%20aciduria%201%22%5D,%20%5B%22Human%20Phenotype%7CAbnormal%20cerebral%20white%20matter%20morphology%22%5D%5D?strength-weight-map=%257B%2522MEDLINE_STRENGTH_AB%2522:1.0,%2522HPO%2522:100.0%257D", "Show Evidence...")</f>
        <v>Show Evidence...</v>
      </c>
    </row>
    <row r="639" spans="1:10" ht="12.75">
      <c r="A639" s="2" t="s">
        <v>50</v>
      </c>
      <c r="B639" s="2" t="s">
        <v>920</v>
      </c>
      <c r="C639" s="2" t="s">
        <v>24</v>
      </c>
      <c r="D639" s="2" t="s">
        <v>921</v>
      </c>
      <c r="E639" s="2" t="s">
        <v>431</v>
      </c>
      <c r="F639" s="11" t="s">
        <v>1315</v>
      </c>
      <c r="G639" t="s">
        <v>38</v>
      </c>
      <c r="H639" t="s">
        <v>1316</v>
      </c>
      <c r="I639" t="s">
        <v>1317</v>
      </c>
      <c r="J639" s="6" t="str">
        <f>HYPERLINK("https://www.biovista.com/db/link/%5B%5B%22Disease%7CGlutaric%20aciduria%201%22%5D,%20%5B%22Human%20Phenotype%7CRigidity%22%5D%5D?strength-weight-map=%257B%2522MEDLINE_STRENGTH_AB%2522:1.0,%2522HPO%2522:100.0%257D", "Show Evidence...")</f>
        <v>Show Evidence...</v>
      </c>
    </row>
    <row r="640" spans="1:10" ht="12.75">
      <c r="A640" s="2" t="s">
        <v>50</v>
      </c>
      <c r="B640" s="2" t="s">
        <v>920</v>
      </c>
      <c r="C640" s="2" t="s">
        <v>24</v>
      </c>
      <c r="D640" s="2" t="s">
        <v>921</v>
      </c>
      <c r="E640" s="2" t="s">
        <v>431</v>
      </c>
      <c r="F640" s="11" t="s">
        <v>464</v>
      </c>
      <c r="G640" t="s">
        <v>38</v>
      </c>
      <c r="H640" t="s">
        <v>465</v>
      </c>
      <c r="I640" t="s">
        <v>1318</v>
      </c>
      <c r="J640" s="6" t="str">
        <f>HYPERLINK("https://www.biovista.com/db/link/%5B%5B%22Disease%7CGlutaric%20aciduria%201%22%5D,%20%5B%22Human%20Phenotype%7CAtaxia%22%5D%5D?strength-weight-map=%257B%2522MEDLINE_STRENGTH_AB%2522:1.0,%2522HPO%2522:100.0%257D", "Show Evidence...")</f>
        <v>Show Evidence...</v>
      </c>
    </row>
    <row r="641" spans="1:10" ht="12.75">
      <c r="A641" s="2" t="s">
        <v>50</v>
      </c>
      <c r="B641" s="2" t="s">
        <v>920</v>
      </c>
      <c r="C641" s="2" t="s">
        <v>24</v>
      </c>
      <c r="D641" s="2" t="s">
        <v>921</v>
      </c>
      <c r="E641" s="2" t="s">
        <v>431</v>
      </c>
      <c r="F641" s="11" t="s">
        <v>1319</v>
      </c>
      <c r="G641" t="s">
        <v>38</v>
      </c>
      <c r="H641" t="s">
        <v>1320</v>
      </c>
      <c r="I641" t="s">
        <v>1318</v>
      </c>
      <c r="J641" s="6" t="str">
        <f>HYPERLINK("https://www.biovista.com/db/link/%5B%5B%22Disease%7CGlutaric%20aciduria%201%22%5D,%20%5B%22Human%20Phenotype%7CTremor%22%5D%5D?strength-weight-map=%257B%2522MEDLINE_STRENGTH_AB%2522:1.0,%2522HPO%2522:100.0%257D", "Show Evidence...")</f>
        <v>Show Evidence...</v>
      </c>
    </row>
    <row r="642" spans="1:10" ht="12.75">
      <c r="A642" s="2" t="s">
        <v>50</v>
      </c>
      <c r="B642" s="2" t="s">
        <v>920</v>
      </c>
      <c r="C642" s="2" t="s">
        <v>24</v>
      </c>
      <c r="D642" s="2" t="s">
        <v>921</v>
      </c>
      <c r="E642" s="2" t="s">
        <v>431</v>
      </c>
      <c r="F642" s="11" t="s">
        <v>694</v>
      </c>
      <c r="G642" t="s">
        <v>38</v>
      </c>
      <c r="H642" t="s">
        <v>695</v>
      </c>
      <c r="I642" t="s">
        <v>1321</v>
      </c>
      <c r="J642" s="6" t="str">
        <f>HYPERLINK("https://www.biovista.com/db/link/%5B%5B%22Disease%7CGlutaric%20aciduria%201%22%5D,%20%5B%22Human%20Phenotype%7CCognitive%20impairment%22%5D%5D?strength-weight-map=%257B%2522MEDLINE_STRENGTH_AB%2522:1.0,%2522HPO%2522:100.0%257D", "Show Evidence...")</f>
        <v>Show Evidence...</v>
      </c>
    </row>
    <row r="643" spans="1:10" ht="12.75">
      <c r="A643" s="2" t="s">
        <v>50</v>
      </c>
      <c r="B643" s="2" t="s">
        <v>920</v>
      </c>
      <c r="C643" s="2" t="s">
        <v>24</v>
      </c>
      <c r="D643" s="2" t="s">
        <v>921</v>
      </c>
      <c r="E643" s="2" t="s">
        <v>431</v>
      </c>
      <c r="F643" s="11" t="s">
        <v>1322</v>
      </c>
      <c r="G643" t="s">
        <v>38</v>
      </c>
      <c r="H643" t="s">
        <v>1323</v>
      </c>
      <c r="I643" t="s">
        <v>1321</v>
      </c>
      <c r="J643" s="6" t="str">
        <f>HYPERLINK("https://www.biovista.com/db/link/%5B%5B%22Disease%7CGlutaric%20aciduria%201%22%5D,%20%5B%22Human%20Phenotype%7CRetinal%20hemorrhage%22%5D%5D?strength-weight-map=%257B%2522MEDLINE_STRENGTH_AB%2522:1.0,%2522HPO%2522:100.0%257D", "Show Evidence...")</f>
        <v>Show Evidence...</v>
      </c>
    </row>
    <row r="644" spans="1:10" ht="12.75">
      <c r="A644" s="2" t="s">
        <v>50</v>
      </c>
      <c r="B644" s="2" t="s">
        <v>920</v>
      </c>
      <c r="C644" s="2" t="s">
        <v>24</v>
      </c>
      <c r="D644" s="2" t="s">
        <v>921</v>
      </c>
      <c r="E644" s="2" t="s">
        <v>431</v>
      </c>
      <c r="F644" s="11" t="s">
        <v>1324</v>
      </c>
      <c r="G644" t="s">
        <v>38</v>
      </c>
      <c r="H644" t="s">
        <v>1325</v>
      </c>
      <c r="I644" t="s">
        <v>1326</v>
      </c>
      <c r="J644" s="6" t="str">
        <f>HYPERLINK("https://www.biovista.com/db/link/%5B%5B%22Disease%7CGlutaric%20aciduria%201%22%5D,%20%5B%22Human%20Phenotype%7CChorea%22%5D%5D?strength-weight-map=%257B%2522MEDLINE_STRENGTH_AB%2522:1.0,%2522HPO%2522:100.0%257D", "Show Evidence...")</f>
        <v>Show Evidence...</v>
      </c>
    </row>
    <row r="645" spans="1:10" ht="12.75">
      <c r="A645" s="2" t="s">
        <v>50</v>
      </c>
      <c r="B645" s="2" t="s">
        <v>920</v>
      </c>
      <c r="C645" s="2" t="s">
        <v>24</v>
      </c>
      <c r="D645" s="2" t="s">
        <v>921</v>
      </c>
      <c r="E645" s="2" t="s">
        <v>431</v>
      </c>
      <c r="F645" s="11" t="s">
        <v>1327</v>
      </c>
      <c r="G645" t="s">
        <v>38</v>
      </c>
      <c r="H645" t="s">
        <v>1328</v>
      </c>
      <c r="I645" t="s">
        <v>1329</v>
      </c>
      <c r="J645" s="6" t="str">
        <f>HYPERLINK("https://www.biovista.com/db/link/%5B%5B%22Disease%7CGlutaric%20aciduria%201%22%5D,%20%5B%22Human%20Phenotype%7CVentriculomegaly%22%5D%5D?strength-weight-map=%257B%2522MEDLINE_STRENGTH_AB%2522:1.0,%2522HPO%2522:100.0%257D", "Show Evidence...")</f>
        <v>Show Evidence...</v>
      </c>
    </row>
    <row r="646" spans="1:10" ht="12.75">
      <c r="A646" s="2" t="s">
        <v>50</v>
      </c>
      <c r="B646" s="2" t="s">
        <v>920</v>
      </c>
      <c r="C646" s="2" t="s">
        <v>24</v>
      </c>
      <c r="D646" s="2" t="s">
        <v>921</v>
      </c>
      <c r="E646" s="2" t="s">
        <v>431</v>
      </c>
      <c r="F646" s="11" t="s">
        <v>689</v>
      </c>
      <c r="G646" t="s">
        <v>38</v>
      </c>
      <c r="H646" t="s">
        <v>690</v>
      </c>
      <c r="I646" t="s">
        <v>1330</v>
      </c>
      <c r="J646" s="6" t="str">
        <f>HYPERLINK("https://www.biovista.com/db/link/%5B%5B%22Disease%7CGlutaric%20aciduria%201%22%5D,%20%5B%22Human%20Phenotype%7CDementia%22%5D%5D?strength-weight-map=%257B%2522MEDLINE_STRENGTH_AB%2522:1.0,%2522HPO%2522:100.0%257D", "Show Evidence...")</f>
        <v>Show Evidence...</v>
      </c>
    </row>
    <row r="647" spans="1:10" ht="12.75">
      <c r="A647" s="2" t="s">
        <v>50</v>
      </c>
      <c r="B647" s="2" t="s">
        <v>920</v>
      </c>
      <c r="C647" s="2" t="s">
        <v>24</v>
      </c>
      <c r="D647" s="2" t="s">
        <v>921</v>
      </c>
      <c r="E647" s="2" t="s">
        <v>431</v>
      </c>
      <c r="F647" s="11" t="s">
        <v>1331</v>
      </c>
      <c r="G647" t="s">
        <v>38</v>
      </c>
      <c r="H647" t="s">
        <v>1332</v>
      </c>
      <c r="I647" t="s">
        <v>1330</v>
      </c>
      <c r="J647" s="6" t="str">
        <f>HYPERLINK("https://www.biovista.com/db/link/%5B%5B%22Disease%7CGlutaric%20aciduria%201%22%5D,%20%5B%22Human%20Phenotype%7CInfantile%20spasms%22%5D%5D?strength-weight-map=%257B%2522MEDLINE_STRENGTH_AB%2522:1.0,%2522HPO%2522:100.0%257D", "Show Evidence...")</f>
        <v>Show Evidence...</v>
      </c>
    </row>
    <row r="648" spans="1:10" ht="12.75">
      <c r="A648" s="2" t="s">
        <v>50</v>
      </c>
      <c r="B648" s="2" t="s">
        <v>920</v>
      </c>
      <c r="C648" s="2" t="s">
        <v>24</v>
      </c>
      <c r="D648" s="2" t="s">
        <v>921</v>
      </c>
      <c r="E648" s="2" t="s">
        <v>431</v>
      </c>
      <c r="F648" s="11" t="s">
        <v>1333</v>
      </c>
      <c r="G648" t="s">
        <v>38</v>
      </c>
      <c r="H648" t="s">
        <v>1334</v>
      </c>
      <c r="I648" t="s">
        <v>1335</v>
      </c>
      <c r="J648" s="6" t="str">
        <f>HYPERLINK("https://www.biovista.com/db/link/%5B%5B%22Disease%7CGlutaric%20aciduria%201%22%5D,%20%5B%22Human%20Phenotype%7CLoss%20of%20consciousness%22%5D%5D?strength-weight-map=%257B%2522MEDLINE_STRENGTH_AB%2522:1.0,%2522HPO%2522:100.0%257D", "Show Evidence...")</f>
        <v>Show Evidence...</v>
      </c>
    </row>
    <row r="649" spans="1:10" ht="12.75">
      <c r="A649" s="2" t="s">
        <v>50</v>
      </c>
      <c r="B649" s="2" t="s">
        <v>920</v>
      </c>
      <c r="C649" s="2" t="s">
        <v>24</v>
      </c>
      <c r="D649" s="2" t="s">
        <v>921</v>
      </c>
      <c r="E649" s="2" t="s">
        <v>431</v>
      </c>
      <c r="F649" s="11" t="s">
        <v>1336</v>
      </c>
      <c r="G649" t="s">
        <v>38</v>
      </c>
      <c r="H649" t="s">
        <v>1337</v>
      </c>
      <c r="I649" t="s">
        <v>552</v>
      </c>
      <c r="J649" s="6" t="str">
        <f>HYPERLINK("https://www.biovista.com/db/link/%5B%5B%22Disease%7CGlutaric%20aciduria%201%22%5D,%20%5B%22Human%20Phenotype%7CAbnormality%20of%20the%20respiratory%20system%22%5D%5D?strength-weight-map=%257B%2522MEDLINE_STRENGTH_AB%2522:1.0,%2522HPO%2522:100.0%257D", "Show Evidence...")</f>
        <v>Show Evidence...</v>
      </c>
    </row>
    <row r="650" spans="1:10" ht="12.75">
      <c r="A650" s="2" t="s">
        <v>50</v>
      </c>
      <c r="B650" s="2" t="s">
        <v>920</v>
      </c>
      <c r="C650" s="2" t="s">
        <v>24</v>
      </c>
      <c r="D650" s="2" t="s">
        <v>921</v>
      </c>
      <c r="E650" s="2" t="s">
        <v>431</v>
      </c>
      <c r="F650" s="11" t="s">
        <v>1338</v>
      </c>
      <c r="G650" t="s">
        <v>38</v>
      </c>
      <c r="H650" t="s">
        <v>1339</v>
      </c>
      <c r="I650" t="s">
        <v>552</v>
      </c>
      <c r="J650" s="6" t="str">
        <f>HYPERLINK("https://www.biovista.com/db/link/%5B%5B%22Disease%7CGlutaric%20aciduria%201%22%5D,%20%5B%22Human%20Phenotype%7CExercise%20intolerance%22%5D%5D?strength-weight-map=%257B%2522MEDLINE_STRENGTH_AB%2522:1.0,%2522HPO%2522:100.0%257D", "Show Evidence...")</f>
        <v>Show Evidence...</v>
      </c>
    </row>
    <row r="651" spans="1:10" ht="12.75">
      <c r="A651" s="2" t="s">
        <v>50</v>
      </c>
      <c r="B651" s="2" t="s">
        <v>920</v>
      </c>
      <c r="C651" s="2" t="s">
        <v>24</v>
      </c>
      <c r="D651" s="2" t="s">
        <v>921</v>
      </c>
      <c r="E651" s="2" t="s">
        <v>431</v>
      </c>
      <c r="F651" s="11" t="s">
        <v>1340</v>
      </c>
      <c r="G651" t="s">
        <v>38</v>
      </c>
      <c r="H651" t="s">
        <v>1341</v>
      </c>
      <c r="I651" t="s">
        <v>552</v>
      </c>
      <c r="J651" s="6" t="str">
        <f>HYPERLINK("https://www.biovista.com/db/link/%5B%5B%22Disease%7CGlutaric%20aciduria%201%22%5D,%20%5B%22Human%20Phenotype%7CFasting%20hypoglycemia%22%5D%5D?strength-weight-map=%257B%2522MEDLINE_STRENGTH_AB%2522:1.0,%2522HPO%2522:100.0%257D", "Show Evidence...")</f>
        <v>Show Evidence...</v>
      </c>
    </row>
    <row r="652" spans="1:10" ht="12.75">
      <c r="A652" s="2" t="s">
        <v>50</v>
      </c>
      <c r="B652" s="2" t="s">
        <v>920</v>
      </c>
      <c r="C652" s="2" t="s">
        <v>24</v>
      </c>
      <c r="D652" s="2" t="s">
        <v>921</v>
      </c>
      <c r="E652" s="2" t="s">
        <v>431</v>
      </c>
      <c r="F652" s="11" t="s">
        <v>1342</v>
      </c>
      <c r="G652" t="s">
        <v>38</v>
      </c>
      <c r="H652" t="s">
        <v>1343</v>
      </c>
      <c r="I652" t="s">
        <v>552</v>
      </c>
      <c r="J652" s="6" t="str">
        <f>HYPERLINK("https://www.biovista.com/db/link/%5B%5B%22Disease%7CGlutaric%20aciduria%201%22%5D,%20%5B%22Human%20Phenotype%7CJoint%20dislocation%22%5D%5D?strength-weight-map=%257B%2522MEDLINE_STRENGTH_AB%2522:1.0,%2522HPO%2522:100.0%257D", "Show Evidence...")</f>
        <v>Show Evidence...</v>
      </c>
    </row>
    <row r="653" spans="1:10" ht="12.75">
      <c r="A653" s="2" t="s">
        <v>50</v>
      </c>
      <c r="B653" s="2" t="s">
        <v>920</v>
      </c>
      <c r="C653" s="2" t="s">
        <v>24</v>
      </c>
      <c r="D653" s="2" t="s">
        <v>921</v>
      </c>
      <c r="E653" s="2" t="s">
        <v>431</v>
      </c>
      <c r="F653" s="11" t="s">
        <v>1344</v>
      </c>
      <c r="G653" t="s">
        <v>38</v>
      </c>
      <c r="H653" t="s">
        <v>1345</v>
      </c>
      <c r="I653" t="s">
        <v>552</v>
      </c>
      <c r="J653" s="6" t="str">
        <f>HYPERLINK("https://www.biovista.com/db/link/%5B%5B%22Disease%7CGlutaric%20aciduria%201%22%5D,%20%5B%22Human%20Phenotype%7CLimb%20dystonia%22%5D%5D?strength-weight-map=%257B%2522MEDLINE_STRENGTH_AB%2522:1.0,%2522HPO%2522:100.0%257D", "Show Evidence...")</f>
        <v>Show Evidence...</v>
      </c>
    </row>
    <row r="654" spans="1:10" ht="12.75">
      <c r="A654" s="2" t="s">
        <v>50</v>
      </c>
      <c r="B654" s="2" t="s">
        <v>920</v>
      </c>
      <c r="C654" s="2" t="s">
        <v>24</v>
      </c>
      <c r="D654" s="2" t="s">
        <v>921</v>
      </c>
      <c r="E654" s="2" t="s">
        <v>431</v>
      </c>
      <c r="F654" s="11" t="s">
        <v>1346</v>
      </c>
      <c r="G654" t="s">
        <v>38</v>
      </c>
      <c r="H654" t="s">
        <v>1347</v>
      </c>
      <c r="I654" t="s">
        <v>552</v>
      </c>
      <c r="J654" s="6" t="str">
        <f>HYPERLINK("https://www.biovista.com/db/link/%5B%5B%22Disease%7CGlutaric%20aciduria%201%22%5D,%20%5B%22Human%20Phenotype%7CSevere%20muscular%20hypotonia%22%5D%5D?strength-weight-map=%257B%2522MEDLINE_STRENGTH_AB%2522:1.0,%2522HPO%2522:100.0%257D", "Show Evidence...")</f>
        <v>Show Evidence...</v>
      </c>
    </row>
    <row r="655" spans="1:10" ht="12.75">
      <c r="A655" s="2" t="s">
        <v>50</v>
      </c>
      <c r="B655" s="2" t="s">
        <v>920</v>
      </c>
      <c r="C655" s="2" t="s">
        <v>24</v>
      </c>
      <c r="D655" s="2" t="s">
        <v>921</v>
      </c>
      <c r="E655" s="2" t="s">
        <v>431</v>
      </c>
      <c r="F655" s="11" t="s">
        <v>1348</v>
      </c>
      <c r="G655" t="s">
        <v>38</v>
      </c>
      <c r="H655" t="s">
        <v>1349</v>
      </c>
      <c r="I655" t="s">
        <v>552</v>
      </c>
      <c r="J655" s="6" t="str">
        <f>HYPERLINK("https://www.biovista.com/db/link/%5B%5B%22Disease%7CGlutaric%20aciduria%201%22%5D,%20%5B%22Human%20Phenotype%7CVertigo%22%5D%5D?strength-weight-map=%257B%2522MEDLINE_STRENGTH_AB%2522:1.0,%2522HPO%2522:100.0%257D", "Show Evidence...")</f>
        <v>Show Evidence...</v>
      </c>
    </row>
    <row r="656" spans="1:10" ht="12.75">
      <c r="A656" s="2" t="s">
        <v>50</v>
      </c>
      <c r="B656" s="2" t="s">
        <v>920</v>
      </c>
      <c r="C656" s="2" t="s">
        <v>24</v>
      </c>
      <c r="D656" s="2" t="s">
        <v>921</v>
      </c>
      <c r="E656" s="2" t="s">
        <v>431</v>
      </c>
      <c r="F656" s="11" t="s">
        <v>1350</v>
      </c>
      <c r="G656" t="s">
        <v>38</v>
      </c>
      <c r="H656" t="s">
        <v>1351</v>
      </c>
      <c r="I656" t="s">
        <v>1352</v>
      </c>
      <c r="J656" s="6" t="str">
        <f>HYPERLINK("https://www.biovista.com/db/link/%5B%5B%22Disease%7CGlutaric%20aciduria%201%22%5D,%20%5B%22Human%20Phenotype%7CHydrocephalus%22%5D%5D?strength-weight-map=%257B%2522MEDLINE_STRENGTH_AB%2522:1.0,%2522HPO%2522:100.0%257D", "Show Evidence...")</f>
        <v>Show Evidence...</v>
      </c>
    </row>
    <row r="657" spans="1:10" ht="12.75">
      <c r="A657" s="2" t="s">
        <v>50</v>
      </c>
      <c r="B657" s="2" t="s">
        <v>920</v>
      </c>
      <c r="C657" s="2" t="s">
        <v>24</v>
      </c>
      <c r="D657" s="2" t="s">
        <v>921</v>
      </c>
      <c r="E657" s="2" t="s">
        <v>431</v>
      </c>
      <c r="F657" s="11" t="s">
        <v>1353</v>
      </c>
      <c r="G657" t="s">
        <v>38</v>
      </c>
      <c r="H657" t="s">
        <v>1354</v>
      </c>
      <c r="I657" t="s">
        <v>1355</v>
      </c>
      <c r="J657" s="6" t="str">
        <f>HYPERLINK("https://www.biovista.com/db/link/%5B%5B%22Disease%7CGlutaric%20aciduria%201%22%5D,%20%5B%22Human%20Phenotype%7CCerebral%20atrophy%22%5D%5D?strength-weight-map=%257B%2522MEDLINE_STRENGTH_AB%2522:1.0,%2522HPO%2522:100.0%257D", "Show Evidence...")</f>
        <v>Show Evidence...</v>
      </c>
    </row>
    <row r="658" spans="1:10" ht="12.75">
      <c r="A658" s="2" t="s">
        <v>50</v>
      </c>
      <c r="B658" s="2" t="s">
        <v>920</v>
      </c>
      <c r="C658" s="2" t="s">
        <v>24</v>
      </c>
      <c r="D658" s="2" t="s">
        <v>921</v>
      </c>
      <c r="E658" s="2" t="s">
        <v>431</v>
      </c>
      <c r="F658" s="11" t="s">
        <v>1356</v>
      </c>
      <c r="G658" t="s">
        <v>38</v>
      </c>
      <c r="H658" t="s">
        <v>1357</v>
      </c>
      <c r="I658" t="s">
        <v>1358</v>
      </c>
      <c r="J658" s="6" t="str">
        <f>HYPERLINK("https://www.biovista.com/db/link/%5B%5B%22Disease%7CGlutaric%20aciduria%201%22%5D,%20%5B%22Human%20Phenotype%7CJuvenile%20onset%22%5D%5D?strength-weight-map=%257B%2522MEDLINE_STRENGTH_AB%2522:1.0,%2522HPO%2522:100.0%257D", "Show Evidence...")</f>
        <v>Show Evidence...</v>
      </c>
    </row>
    <row r="659" spans="1:10" ht="12.75">
      <c r="A659" s="2" t="s">
        <v>50</v>
      </c>
      <c r="B659" s="2" t="s">
        <v>920</v>
      </c>
      <c r="C659" s="2" t="s">
        <v>24</v>
      </c>
      <c r="D659" s="2" t="s">
        <v>921</v>
      </c>
      <c r="E659" s="2" t="s">
        <v>431</v>
      </c>
      <c r="F659" s="11" t="s">
        <v>1359</v>
      </c>
      <c r="G659" t="s">
        <v>38</v>
      </c>
      <c r="H659" t="s">
        <v>1360</v>
      </c>
      <c r="I659" t="s">
        <v>1361</v>
      </c>
      <c r="J659" s="6" t="str">
        <f>HYPERLINK("https://www.biovista.com/db/link/%5B%5B%22Disease%7CGlutaric%20aciduria%201%22%5D,%20%5B%22Human%20Phenotype%7CPeripheral%20neuropathy%22%5D%5D?strength-weight-map=%257B%2522MEDLINE_STRENGTH_AB%2522:1.0,%2522HPO%2522:100.0%257D", "Show Evidence...")</f>
        <v>Show Evidence...</v>
      </c>
    </row>
    <row r="660" spans="1:10" ht="12.75">
      <c r="A660" s="2" t="s">
        <v>50</v>
      </c>
      <c r="B660" s="2" t="s">
        <v>920</v>
      </c>
      <c r="C660" s="2" t="s">
        <v>24</v>
      </c>
      <c r="D660" s="2" t="s">
        <v>921</v>
      </c>
      <c r="E660" s="2" t="s">
        <v>431</v>
      </c>
      <c r="F660" s="11" t="s">
        <v>1362</v>
      </c>
      <c r="G660" t="s">
        <v>38</v>
      </c>
      <c r="H660" t="s">
        <v>1363</v>
      </c>
      <c r="I660" t="s">
        <v>1364</v>
      </c>
      <c r="J660" s="6" t="str">
        <f>HYPERLINK("https://www.biovista.com/db/link/%5B%5B%22Disease%7CGlutaric%20aciduria%201%22%5D,%20%5B%22Human%20Phenotype%7CNeonatal%20onset%22%5D%5D?strength-weight-map=%257B%2522MEDLINE_STRENGTH_AB%2522:1.0,%2522HPO%2522:100.0%257D", "Show Evidence...")</f>
        <v>Show Evidence...</v>
      </c>
    </row>
    <row r="661" spans="1:10" ht="12.75">
      <c r="A661" s="2" t="s">
        <v>50</v>
      </c>
      <c r="B661" s="2" t="s">
        <v>920</v>
      </c>
      <c r="C661" s="2" t="s">
        <v>24</v>
      </c>
      <c r="D661" s="2" t="s">
        <v>921</v>
      </c>
      <c r="E661" s="2" t="s">
        <v>431</v>
      </c>
      <c r="F661" s="11" t="s">
        <v>1365</v>
      </c>
      <c r="G661" t="s">
        <v>38</v>
      </c>
      <c r="H661" t="s">
        <v>1366</v>
      </c>
      <c r="I661" t="s">
        <v>1367</v>
      </c>
      <c r="J661" s="6" t="str">
        <f>HYPERLINK("https://www.biovista.com/db/link/%5B%5B%22Disease%7CGlutaric%20aciduria%201%22%5D,%20%5B%22Human%20Phenotype%7CChronic%20kidney%20disease%22%5D%5D?strength-weight-map=%257B%2522MEDLINE_STRENGTH_AB%2522:1.0,%2522HPO%2522:100.0%257D", "Show Evidence...")</f>
        <v>Show Evidence...</v>
      </c>
    </row>
    <row r="662" spans="1:10" ht="12.75">
      <c r="A662" s="2" t="s">
        <v>50</v>
      </c>
      <c r="B662" s="2" t="s">
        <v>920</v>
      </c>
      <c r="C662" s="2" t="s">
        <v>24</v>
      </c>
      <c r="D662" s="2" t="s">
        <v>921</v>
      </c>
      <c r="E662" s="2" t="s">
        <v>431</v>
      </c>
      <c r="F662" s="11" t="s">
        <v>1368</v>
      </c>
      <c r="G662" t="s">
        <v>38</v>
      </c>
      <c r="H662" t="s">
        <v>1369</v>
      </c>
      <c r="I662" t="s">
        <v>1128</v>
      </c>
      <c r="J662" s="6" t="str">
        <f>HYPERLINK("https://www.biovista.com/db/link/%5B%5B%22Disease%7CGlutaric%20aciduria%201%22%5D,%20%5B%22Human%20Phenotype%7CAbnormality%20of%20movement%22%5D%5D?strength-weight-map=%257B%2522MEDLINE_STRENGTH_AB%2522:1.0,%2522HPO%2522:100.0%257D", "Show Evidence...")</f>
        <v>Show Evidence...</v>
      </c>
    </row>
    <row r="663" spans="1:10" ht="12.75">
      <c r="A663" s="2" t="s">
        <v>50</v>
      </c>
      <c r="B663" s="2" t="s">
        <v>920</v>
      </c>
      <c r="C663" s="2" t="s">
        <v>24</v>
      </c>
      <c r="D663" s="2" t="s">
        <v>921</v>
      </c>
      <c r="E663" s="2" t="s">
        <v>431</v>
      </c>
      <c r="F663" s="11" t="s">
        <v>643</v>
      </c>
      <c r="G663" t="s">
        <v>38</v>
      </c>
      <c r="H663" t="s">
        <v>644</v>
      </c>
      <c r="I663" t="s">
        <v>1370</v>
      </c>
      <c r="J663" s="6" t="s">
        <v>1371</v>
      </c>
    </row>
    <row r="664" spans="1:10" ht="12.75">
      <c r="A664" s="2" t="s">
        <v>50</v>
      </c>
      <c r="B664" s="2" t="s">
        <v>920</v>
      </c>
      <c r="C664" s="2" t="s">
        <v>24</v>
      </c>
      <c r="D664" s="2" t="s">
        <v>921</v>
      </c>
      <c r="E664" s="2" t="s">
        <v>431</v>
      </c>
      <c r="F664" s="11" t="s">
        <v>1372</v>
      </c>
      <c r="G664" t="s">
        <v>38</v>
      </c>
      <c r="H664" t="s">
        <v>1373</v>
      </c>
      <c r="I664" t="s">
        <v>1374</v>
      </c>
      <c r="J664" s="6" t="str">
        <f>HYPERLINK("https://www.biovista.com/db/link/%5B%5B%22Disease%7CGlutaric%20aciduria%201%22%5D,%20%5B%22Human%20Phenotype%7CGlobal%20developmental%20delay%22%5D%5D?strength-weight-map=%257B%2522MEDLINE_STRENGTH_AB%2522:1.0,%2522HPO%2522:100.0%257D", "Show Evidence...")</f>
        <v>Show Evidence...</v>
      </c>
    </row>
    <row r="665" spans="1:10" ht="12.75">
      <c r="A665" s="2" t="s">
        <v>50</v>
      </c>
      <c r="B665" s="2" t="s">
        <v>920</v>
      </c>
      <c r="C665" s="2" t="s">
        <v>24</v>
      </c>
      <c r="D665" s="2" t="s">
        <v>921</v>
      </c>
      <c r="E665" s="2" t="s">
        <v>431</v>
      </c>
      <c r="F665" s="11" t="s">
        <v>617</v>
      </c>
      <c r="G665" t="s">
        <v>38</v>
      </c>
      <c r="H665" t="s">
        <v>618</v>
      </c>
      <c r="I665" t="s">
        <v>1375</v>
      </c>
      <c r="J665" s="6" t="str">
        <f>HYPERLINK("https://www.biovista.com/db/link/%5B%5B%22Disease%7CGlutaric%20aciduria%201%22%5D,%20%5B%22Human%20Phenotype%7CHealthy%22%5D%5D?strength-weight-map=%257B%2522MEDLINE_STRENGTH_AB%2522:1.0,%2522HPO%2522:100.0%257D", "Show Evidence...")</f>
        <v>Show Evidence...</v>
      </c>
    </row>
    <row r="666" spans="1:10" ht="12.75">
      <c r="A666" s="2" t="s">
        <v>50</v>
      </c>
      <c r="B666" s="2" t="s">
        <v>920</v>
      </c>
      <c r="C666" s="2" t="s">
        <v>24</v>
      </c>
      <c r="D666" s="2" t="s">
        <v>921</v>
      </c>
      <c r="E666" s="2" t="s">
        <v>431</v>
      </c>
      <c r="F666" s="11" t="s">
        <v>1376</v>
      </c>
      <c r="G666" t="s">
        <v>38</v>
      </c>
      <c r="H666" t="s">
        <v>1377</v>
      </c>
      <c r="I666" t="s">
        <v>1375</v>
      </c>
      <c r="J666" s="6" t="str">
        <f>HYPERLINK("https://www.biovista.com/db/link/%5B%5B%22Disease%7CGlutaric%20aciduria%201%22%5D,%20%5B%22Human%20Phenotype%7CNeurodegeneration%22%5D%5D?strength-weight-map=%257B%2522MEDLINE_STRENGTH_AB%2522:1.0,%2522HPO%2522:100.0%257D", "Show Evidence...")</f>
        <v>Show Evidence...</v>
      </c>
    </row>
    <row r="667" spans="1:10" ht="12.75">
      <c r="A667" s="2" t="s">
        <v>50</v>
      </c>
      <c r="B667" s="2" t="s">
        <v>920</v>
      </c>
      <c r="C667" s="2" t="s">
        <v>24</v>
      </c>
      <c r="D667" s="2" t="s">
        <v>921</v>
      </c>
      <c r="E667" s="2" t="s">
        <v>431</v>
      </c>
      <c r="F667" s="11" t="s">
        <v>514</v>
      </c>
      <c r="G667" t="s">
        <v>38</v>
      </c>
      <c r="H667" t="s">
        <v>515</v>
      </c>
      <c r="I667" t="s">
        <v>1378</v>
      </c>
      <c r="J667" s="6" t="str">
        <f>HYPERLINK("https://www.biovista.com/db/link/%5B%5B%22Disease%7CGlutaric%20aciduria%201%22%5D,%20%5B%22Human%20Phenotype%7CHypotonia%22%5D%5D?strength-weight-map=%257B%2522MEDLINE_STRENGTH_AB%2522:1.0,%2522HPO%2522:100.0%257D", "Show Evidence...")</f>
        <v>Show Evidence...</v>
      </c>
    </row>
    <row r="668" spans="1:10" ht="12.75">
      <c r="A668" s="2" t="s">
        <v>50</v>
      </c>
      <c r="B668" s="2" t="s">
        <v>920</v>
      </c>
      <c r="C668" s="2" t="s">
        <v>24</v>
      </c>
      <c r="D668" s="2" t="s">
        <v>921</v>
      </c>
      <c r="E668" s="2" t="s">
        <v>431</v>
      </c>
      <c r="F668" s="11" t="s">
        <v>1379</v>
      </c>
      <c r="G668" t="s">
        <v>38</v>
      </c>
      <c r="H668" t="s">
        <v>1380</v>
      </c>
      <c r="I668" t="s">
        <v>1381</v>
      </c>
      <c r="J668" s="6" t="str">
        <f>HYPERLINK("https://www.biovista.com/db/link/%5B%5B%22Disease%7CGlutaric%20aciduria%201%22%5D,%20%5B%22Human%20Phenotype%7CApical%22%5D%5D?strength-weight-map=%257B%2522MEDLINE_STRENGTH_AB%2522:1.0,%2522HPO%2522:100.0%257D", "Show Evidence...")</f>
        <v>Show Evidence...</v>
      </c>
    </row>
    <row r="669" spans="1:10" ht="12.75">
      <c r="A669" s="2" t="s">
        <v>50</v>
      </c>
      <c r="B669" s="2" t="s">
        <v>920</v>
      </c>
      <c r="C669" s="2" t="s">
        <v>24</v>
      </c>
      <c r="D669" s="2" t="s">
        <v>921</v>
      </c>
      <c r="E669" s="2" t="s">
        <v>431</v>
      </c>
      <c r="F669" s="11" t="s">
        <v>1382</v>
      </c>
      <c r="G669" t="s">
        <v>38</v>
      </c>
      <c r="H669" t="s">
        <v>1383</v>
      </c>
      <c r="I669" t="s">
        <v>1384</v>
      </c>
      <c r="J669" s="6" t="str">
        <f>HYPERLINK("https://www.biovista.com/db/link/%5B%5B%22Disease%7CGlutaric%20aciduria%201%22%5D,%20%5B%22Human%20Phenotype%7CHomocystinuria%22%5D%5D?strength-weight-map=%257B%2522MEDLINE_STRENGTH_AB%2522:1.0,%2522HPO%2522:100.0%257D", "Show Evidence...")</f>
        <v>Show Evidence...</v>
      </c>
    </row>
    <row r="670" spans="1:10" ht="12.75">
      <c r="A670" s="2" t="s">
        <v>50</v>
      </c>
      <c r="B670" s="2" t="s">
        <v>920</v>
      </c>
      <c r="C670" s="2" t="s">
        <v>24</v>
      </c>
      <c r="D670" s="2" t="s">
        <v>921</v>
      </c>
      <c r="E670" s="2" t="s">
        <v>431</v>
      </c>
      <c r="F670" s="11" t="s">
        <v>1385</v>
      </c>
      <c r="G670" t="s">
        <v>38</v>
      </c>
      <c r="H670" t="s">
        <v>1386</v>
      </c>
      <c r="I670" t="s">
        <v>1387</v>
      </c>
      <c r="J670" s="6" t="str">
        <f>HYPERLINK("https://www.biovista.com/db/link/%5B%5B%22Disease%7CGlutaric%20aciduria%201%22%5D,%20%5B%22Human%20Phenotype%7CAcidemia%22%5D%5D?strength-weight-map=%257B%2522MEDLINE_STRENGTH_AB%2522:1.0,%2522HPO%2522:100.0%257D", "Show Evidence...")</f>
        <v>Show Evidence...</v>
      </c>
    </row>
    <row r="671" spans="1:10" ht="12.75">
      <c r="A671" s="2" t="s">
        <v>50</v>
      </c>
      <c r="B671" s="2" t="s">
        <v>920</v>
      </c>
      <c r="C671" s="2" t="s">
        <v>24</v>
      </c>
      <c r="D671" s="2" t="s">
        <v>921</v>
      </c>
      <c r="E671" s="2" t="s">
        <v>431</v>
      </c>
      <c r="F671" s="11" t="s">
        <v>1388</v>
      </c>
      <c r="G671" t="s">
        <v>38</v>
      </c>
      <c r="H671" t="s">
        <v>1389</v>
      </c>
      <c r="I671" t="s">
        <v>1387</v>
      </c>
      <c r="J671" s="6" t="str">
        <f>HYPERLINK("https://www.biovista.com/db/link/%5B%5B%22Disease%7CGlutaric%20aciduria%201%22%5D,%20%5B%22Human%20Phenotype%7CAciduria%22%5D%5D?strength-weight-map=%257B%2522MEDLINE_STRENGTH_AB%2522:1.0,%2522HPO%2522:100.0%257D", "Show Evidence...")</f>
        <v>Show Evidence...</v>
      </c>
    </row>
    <row r="672" spans="1:10" ht="12.75">
      <c r="A672" s="2" t="s">
        <v>50</v>
      </c>
      <c r="B672" s="2" t="s">
        <v>920</v>
      </c>
      <c r="C672" s="2" t="s">
        <v>24</v>
      </c>
      <c r="D672" s="2" t="s">
        <v>921</v>
      </c>
      <c r="E672" s="2" t="s">
        <v>431</v>
      </c>
      <c r="F672" s="11" t="s">
        <v>1390</v>
      </c>
      <c r="G672" t="s">
        <v>38</v>
      </c>
      <c r="H672" t="s">
        <v>1391</v>
      </c>
      <c r="I672" t="s">
        <v>1387</v>
      </c>
      <c r="J672" s="6" t="str">
        <f>HYPERLINK("https://www.biovista.com/db/link/%5B%5B%22Disease%7CGlutaric%20aciduria%201%22%5D,%20%5B%22Human%20Phenotype%7CMethylmalonic%20acidemia%22%5D%5D?strength-weight-map=%257B%2522MEDLINE_STRENGTH_AB%2522:1.0,%2522HPO%2522:100.0%257D", "Show Evidence...")</f>
        <v>Show Evidence...</v>
      </c>
    </row>
    <row r="673" spans="1:10" ht="12.75">
      <c r="A673" s="2" t="s">
        <v>50</v>
      </c>
      <c r="B673" s="2" t="s">
        <v>920</v>
      </c>
      <c r="C673" s="2" t="s">
        <v>24</v>
      </c>
      <c r="D673" s="2" t="s">
        <v>921</v>
      </c>
      <c r="E673" s="2" t="s">
        <v>431</v>
      </c>
      <c r="F673" s="11" t="s">
        <v>1392</v>
      </c>
      <c r="G673" t="s">
        <v>38</v>
      </c>
      <c r="H673" t="s">
        <v>1393</v>
      </c>
      <c r="I673" t="s">
        <v>1387</v>
      </c>
      <c r="J673" s="6" t="str">
        <f>HYPERLINK("https://www.biovista.com/db/link/%5B%5B%22Disease%7CGlutaric%20aciduria%201%22%5D,%20%5B%22Human%20Phenotype%7CPropionic%20acidemia%22%5D%5D?strength-weight-map=%257B%2522MEDLINE_STRENGTH_AB%2522:1.0,%2522HPO%2522:100.0%257D", "Show Evidence...")</f>
        <v>Show Evidence...</v>
      </c>
    </row>
    <row r="674" spans="1:10" ht="12.75">
      <c r="A674" s="2" t="s">
        <v>50</v>
      </c>
      <c r="B674" s="2" t="s">
        <v>920</v>
      </c>
      <c r="C674" s="2" t="s">
        <v>24</v>
      </c>
      <c r="D674" s="2" t="s">
        <v>921</v>
      </c>
      <c r="E674" s="2" t="s">
        <v>431</v>
      </c>
      <c r="F674" s="11" t="s">
        <v>1394</v>
      </c>
      <c r="G674" t="s">
        <v>38</v>
      </c>
      <c r="H674" t="s">
        <v>1395</v>
      </c>
      <c r="I674" t="s">
        <v>1396</v>
      </c>
      <c r="J674" s="6" t="str">
        <f>HYPERLINK("https://www.biovista.com/db/link/%5B%5B%22Disease%7CGlutaric%20aciduria%201%22%5D,%20%5B%22Human%20Phenotype%7CMethylmalonic%20aciduria%22%5D%5D?strength-weight-map=%257B%2522MEDLINE_STRENGTH_AB%2522:1.0,%2522HPO%2522:100.0%257D", "Show Evidence...")</f>
        <v>Show Evidence...</v>
      </c>
    </row>
    <row r="675" spans="1:10" ht="12.75">
      <c r="A675" s="2" t="s">
        <v>50</v>
      </c>
      <c r="B675" s="2" t="s">
        <v>920</v>
      </c>
      <c r="C675" s="2" t="s">
        <v>24</v>
      </c>
      <c r="D675" s="2" t="s">
        <v>921</v>
      </c>
      <c r="E675" s="2" t="s">
        <v>431</v>
      </c>
      <c r="F675" s="11" t="s">
        <v>1397</v>
      </c>
      <c r="G675" t="s">
        <v>38</v>
      </c>
      <c r="H675" t="s">
        <v>1398</v>
      </c>
      <c r="I675" t="s">
        <v>1399</v>
      </c>
      <c r="J675" s="6" t="s">
        <v>1400</v>
      </c>
    </row>
    <row r="676" spans="1:10" ht="12.75">
      <c r="A676" s="2" t="s">
        <v>50</v>
      </c>
      <c r="B676" s="2" t="s">
        <v>920</v>
      </c>
      <c r="C676" s="2" t="s">
        <v>24</v>
      </c>
      <c r="D676" s="2" t="s">
        <v>921</v>
      </c>
      <c r="E676" s="2" t="s">
        <v>431</v>
      </c>
      <c r="F676" s="11" t="s">
        <v>1401</v>
      </c>
      <c r="G676" t="s">
        <v>38</v>
      </c>
      <c r="H676" t="s">
        <v>1402</v>
      </c>
      <c r="I676" t="s">
        <v>1130</v>
      </c>
      <c r="J676" s="6" t="str">
        <f>HYPERLINK("https://www.biovista.com/db/link/%5B%5B%22Disease%7CGlutaric%20aciduria%201%22%5D,%20%5B%22Human%20Phenotype%7COrganic%20aciduria%22%5D%5D?strength-weight-map=%257B%2522MEDLINE_STRENGTH_AB%2522:1.0,%2522HPO%2522:100.0%257D", "Show Evidence...")</f>
        <v>Show Evidence...</v>
      </c>
    </row>
    <row r="677" spans="1:10" ht="12.75">
      <c r="A677" s="2" t="s">
        <v>50</v>
      </c>
      <c r="B677" s="2" t="s">
        <v>920</v>
      </c>
      <c r="C677" s="2" t="s">
        <v>24</v>
      </c>
      <c r="D677" s="2" t="s">
        <v>921</v>
      </c>
      <c r="E677" s="2" t="s">
        <v>431</v>
      </c>
      <c r="F677" s="11" t="s">
        <v>1403</v>
      </c>
      <c r="G677" t="s">
        <v>38</v>
      </c>
      <c r="H677" t="s">
        <v>1404</v>
      </c>
      <c r="I677" t="s">
        <v>1405</v>
      </c>
      <c r="J677" s="6" t="str">
        <f>HYPERLINK("https://www.biovista.com/db/link/%5B%5B%22Disease%7CGlutaric%20aciduria%201%22%5D,%20%5B%22Human%20Phenotype%7CCerebral%20palsy%22%5D%5D?strength-weight-map=%257B%2522MEDLINE_STRENGTH_AB%2522:1.0,%2522HPO%2522:100.0%257D", "Show Evidence...")</f>
        <v>Show Evidence...</v>
      </c>
    </row>
    <row r="678" spans="1:10" ht="12.75">
      <c r="A678" s="2" t="s">
        <v>50</v>
      </c>
      <c r="B678" s="2" t="s">
        <v>920</v>
      </c>
      <c r="C678" s="2" t="s">
        <v>24</v>
      </c>
      <c r="D678" s="2" t="s">
        <v>921</v>
      </c>
      <c r="E678" s="2" t="s">
        <v>431</v>
      </c>
      <c r="F678" s="11" t="s">
        <v>1406</v>
      </c>
      <c r="G678" t="s">
        <v>38</v>
      </c>
      <c r="H678" t="s">
        <v>1407</v>
      </c>
      <c r="I678" t="s">
        <v>1405</v>
      </c>
      <c r="J678" s="6" t="str">
        <f>HYPERLINK("https://www.biovista.com/db/link/%5B%5B%22Disease%7CGlutaric%20aciduria%201%22%5D,%20%5B%22Human%20Phenotype%7CDyskinesia%22%5D%5D?strength-weight-map=%257B%2522MEDLINE_STRENGTH_AB%2522:1.0,%2522HPO%2522:100.0%257D", "Show Evidence...")</f>
        <v>Show Evidence...</v>
      </c>
    </row>
    <row r="679" spans="1:10" ht="12.75">
      <c r="A679" s="2" t="s">
        <v>50</v>
      </c>
      <c r="B679" s="2" t="s">
        <v>920</v>
      </c>
      <c r="C679" s="2" t="s">
        <v>24</v>
      </c>
      <c r="D679" s="2" t="s">
        <v>921</v>
      </c>
      <c r="E679" s="2" t="s">
        <v>431</v>
      </c>
      <c r="F679" s="11" t="s">
        <v>1408</v>
      </c>
      <c r="G679" t="s">
        <v>38</v>
      </c>
      <c r="H679" t="s">
        <v>1409</v>
      </c>
      <c r="I679" t="s">
        <v>931</v>
      </c>
      <c r="J679" s="6" t="str">
        <f>HYPERLINK("https://www.biovista.com/db/link/%5B%5B%22Disease%7CGlutaric%20aciduria%201%22%5D,%20%5B%22Human%20Phenotype%7CClinical%20course%22%5D%5D?strength-weight-map=%257B%2522MEDLINE_STRENGTH_AB%2522:1.0,%2522HPO%2522:100.0%257D", "Show Evidence...")</f>
        <v>Show Evidence...</v>
      </c>
    </row>
    <row r="680" spans="1:10" ht="12.75">
      <c r="A680" s="2" t="s">
        <v>50</v>
      </c>
      <c r="B680" s="2" t="s">
        <v>920</v>
      </c>
      <c r="C680" s="2" t="s">
        <v>24</v>
      </c>
      <c r="D680" s="2" t="s">
        <v>921</v>
      </c>
      <c r="E680" s="2" t="s">
        <v>431</v>
      </c>
      <c r="F680" s="11" t="s">
        <v>640</v>
      </c>
      <c r="G680" t="s">
        <v>38</v>
      </c>
      <c r="H680" t="s">
        <v>641</v>
      </c>
      <c r="I680" t="s">
        <v>931</v>
      </c>
      <c r="J680" s="6" t="str">
        <f>HYPERLINK("https://www.biovista.com/db/link/%5B%5B%22Disease%7CGlutaric%20aciduria%201%22%5D,%20%5B%22Human%20Phenotype%7CRecurrent%22%5D%5D?strength-weight-map=%257B%2522MEDLINE_STRENGTH_AB%2522:1.0,%2522HPO%2522:100.0%257D", "Show Evidence...")</f>
        <v>Show Evidence...</v>
      </c>
    </row>
    <row r="681" spans="1:10" ht="12.75">
      <c r="A681" s="2" t="s">
        <v>50</v>
      </c>
      <c r="B681" s="2" t="s">
        <v>920</v>
      </c>
      <c r="C681" s="2" t="s">
        <v>24</v>
      </c>
      <c r="D681" s="2" t="s">
        <v>921</v>
      </c>
      <c r="E681" s="2" t="s">
        <v>431</v>
      </c>
      <c r="F681" s="11" t="s">
        <v>1410</v>
      </c>
      <c r="G681" t="s">
        <v>38</v>
      </c>
      <c r="H681" t="s">
        <v>1411</v>
      </c>
      <c r="I681" t="s">
        <v>1412</v>
      </c>
      <c r="J681" s="6" t="str">
        <f>HYPERLINK("https://www.biovista.com/db/link/%5B%5B%22Disease%7CGlutaric%20aciduria%201%22%5D,%20%5B%22Human%20Phenotype%7CChoreoathetosis%22%5D%5D?strength-weight-map=%257B%2522MEDLINE_STRENGTH_AB%2522:1.0,%2522HPO%2522:100.0%257D", "Show Evidence...")</f>
        <v>Show Evidence...</v>
      </c>
    </row>
    <row r="682" spans="1:10" ht="12.75">
      <c r="A682" s="2" t="s">
        <v>50</v>
      </c>
      <c r="B682" s="2" t="s">
        <v>920</v>
      </c>
      <c r="C682" s="2" t="s">
        <v>24</v>
      </c>
      <c r="D682" s="2" t="s">
        <v>921</v>
      </c>
      <c r="E682" s="2" t="s">
        <v>431</v>
      </c>
      <c r="F682" s="11" t="s">
        <v>1413</v>
      </c>
      <c r="G682" t="s">
        <v>38</v>
      </c>
      <c r="H682" t="s">
        <v>1414</v>
      </c>
      <c r="I682" t="s">
        <v>932</v>
      </c>
      <c r="J682" s="6" t="str">
        <f>HYPERLINK("https://www.biovista.com/db/link/%5B%5B%22Disease%7CGlutaric%20aciduria%201%22%5D,%20%5B%22Human%20Phenotype%7CFever%22%5D%5D?strength-weight-map=%257B%2522MEDLINE_STRENGTH_AB%2522:1.0,%2522HPO%2522:100.0%257D", "Show Evidence...")</f>
        <v>Show Evidence...</v>
      </c>
    </row>
    <row r="683" spans="1:10" ht="12.75">
      <c r="A683" s="2" t="s">
        <v>50</v>
      </c>
      <c r="B683" s="2" t="s">
        <v>920</v>
      </c>
      <c r="C683" s="2" t="s">
        <v>24</v>
      </c>
      <c r="D683" s="2" t="s">
        <v>921</v>
      </c>
      <c r="E683" s="2" t="s">
        <v>431</v>
      </c>
      <c r="F683" s="11" t="s">
        <v>1415</v>
      </c>
      <c r="G683" t="s">
        <v>38</v>
      </c>
      <c r="H683" t="s">
        <v>1416</v>
      </c>
      <c r="I683" t="s">
        <v>932</v>
      </c>
      <c r="J683" s="6" t="str">
        <f>HYPERLINK("https://www.biovista.com/db/link/%5B%5B%22Disease%7CGlutaric%20aciduria%201%22%5D,%20%5B%22Human%20Phenotype%7CTriggered%20by%22%5D%5D?strength-weight-map=%257B%2522MEDLINE_STRENGTH_AB%2522:1.0,%2522HPO%2522:100.0%257D", "Show Evidence...")</f>
        <v>Show Evidence...</v>
      </c>
    </row>
    <row r="684" spans="1:10" ht="12.75">
      <c r="A684" s="2" t="s">
        <v>50</v>
      </c>
      <c r="B684" s="2" t="s">
        <v>920</v>
      </c>
      <c r="C684" s="2" t="s">
        <v>24</v>
      </c>
      <c r="D684" s="2" t="s">
        <v>921</v>
      </c>
      <c r="E684" s="2" t="s">
        <v>431</v>
      </c>
      <c r="F684" s="11" t="s">
        <v>614</v>
      </c>
      <c r="G684" t="s">
        <v>38</v>
      </c>
      <c r="H684" t="s">
        <v>615</v>
      </c>
      <c r="I684" t="s">
        <v>1417</v>
      </c>
      <c r="J684" s="6" t="str">
        <f>HYPERLINK("https://www.biovista.com/db/link/%5B%5B%22Disease%7CGlutaric%20aciduria%201%22%5D,%20%5B%22Human%20Phenotype%7CNeoplasm%22%5D%5D?strength-weight-map=%257B%2522MEDLINE_STRENGTH_AB%2522:1.0,%2522HPO%2522:100.0%257D", "Show Evidence...")</f>
        <v>Show Evidence...</v>
      </c>
    </row>
    <row r="685" spans="1:10" ht="12.75">
      <c r="A685" s="2" t="s">
        <v>50</v>
      </c>
      <c r="B685" s="2" t="s">
        <v>920</v>
      </c>
      <c r="C685" s="2" t="s">
        <v>24</v>
      </c>
      <c r="D685" s="2" t="s">
        <v>921</v>
      </c>
      <c r="E685" s="2" t="s">
        <v>431</v>
      </c>
      <c r="F685" s="11" t="s">
        <v>1418</v>
      </c>
      <c r="G685" t="s">
        <v>38</v>
      </c>
      <c r="H685" t="s">
        <v>1419</v>
      </c>
      <c r="I685" t="s">
        <v>1417</v>
      </c>
      <c r="J685" s="6" t="str">
        <f>HYPERLINK("https://www.biovista.com/db/link/%5B%5B%22Disease%7CGlutaric%20aciduria%201%22%5D,%20%5B%22Human%20Phenotype%7CPurpura%22%5D%5D?strength-weight-map=%257B%2522MEDLINE_STRENGTH_AB%2522:1.0,%2522HPO%2522:100.0%257D", "Show Evidence...")</f>
        <v>Show Evidence...</v>
      </c>
    </row>
    <row r="686" spans="1:10" ht="12.75">
      <c r="A686" s="2" t="s">
        <v>50</v>
      </c>
      <c r="B686" s="2" t="s">
        <v>920</v>
      </c>
      <c r="C686" s="2" t="s">
        <v>24</v>
      </c>
      <c r="D686" s="2" t="s">
        <v>921</v>
      </c>
      <c r="E686" s="2" t="s">
        <v>431</v>
      </c>
      <c r="F686" s="11" t="s">
        <v>1420</v>
      </c>
      <c r="G686" t="s">
        <v>38</v>
      </c>
      <c r="H686" t="s">
        <v>1421</v>
      </c>
      <c r="I686" t="s">
        <v>1417</v>
      </c>
      <c r="J686" s="6" t="str">
        <f>HYPERLINK("https://www.biovista.com/db/link/%5B%5B%22Disease%7CGlutaric%20aciduria%201%22%5D,%20%5B%22Human%20Phenotype%7CSevere%20short%20stature%22%5D%5D?strength-weight-map=%257B%2522MEDLINE_STRENGTH_AB%2522:1.0,%2522HPO%2522:100.0%257D", "Show Evidence...")</f>
        <v>Show Evidence...</v>
      </c>
    </row>
    <row r="687" spans="1:10" ht="12.75">
      <c r="A687" s="2" t="s">
        <v>50</v>
      </c>
      <c r="B687" s="2" t="s">
        <v>920</v>
      </c>
      <c r="C687" s="2" t="s">
        <v>24</v>
      </c>
      <c r="D687" s="2" t="s">
        <v>921</v>
      </c>
      <c r="E687" s="2" t="s">
        <v>431</v>
      </c>
      <c r="F687" s="11" t="s">
        <v>1422</v>
      </c>
      <c r="G687" t="s">
        <v>38</v>
      </c>
      <c r="H687" t="s">
        <v>1423</v>
      </c>
      <c r="I687" t="s">
        <v>935</v>
      </c>
      <c r="J687" s="6" t="str">
        <f>HYPERLINK("https://www.biovista.com/db/link/%5B%5B%22Disease%7CGlutaric%20aciduria%201%22%5D,%20%5B%22Human%20Phenotype%7CBrain%20atrophy%22%5D%5D?strength-weight-map=%257B%2522MEDLINE_STRENGTH_AB%2522:1.0,%2522HPO%2522:100.0%257D", "Show Evidence...")</f>
        <v>Show Evidence...</v>
      </c>
    </row>
    <row r="688" spans="1:10" ht="12.75">
      <c r="A688" s="2" t="s">
        <v>50</v>
      </c>
      <c r="B688" s="2" t="s">
        <v>920</v>
      </c>
      <c r="C688" s="2" t="s">
        <v>24</v>
      </c>
      <c r="D688" s="2" t="s">
        <v>921</v>
      </c>
      <c r="E688" s="2" t="s">
        <v>431</v>
      </c>
      <c r="F688" s="11" t="s">
        <v>1424</v>
      </c>
      <c r="G688" t="s">
        <v>38</v>
      </c>
      <c r="H688" t="s">
        <v>1425</v>
      </c>
      <c r="I688" t="s">
        <v>1426</v>
      </c>
      <c r="J688" s="6" t="str">
        <f>HYPERLINK("https://www.biovista.com/db/link/%5B%5B%22Disease%7CGlutaric%20aciduria%201%22%5D,%20%5B%22Human%20Phenotype%7CHypoglycemia%22%5D%5D?strength-weight-map=%257B%2522MEDLINE_STRENGTH_AB%2522:1.0,%2522HPO%2522:100.0%257D", "Show Evidence...")</f>
        <v>Show Evidence...</v>
      </c>
    </row>
    <row r="689" spans="1:10" ht="12.75">
      <c r="A689" s="2" t="s">
        <v>50</v>
      </c>
      <c r="B689" s="2" t="s">
        <v>920</v>
      </c>
      <c r="C689" s="2" t="s">
        <v>24</v>
      </c>
      <c r="D689" s="2" t="s">
        <v>921</v>
      </c>
      <c r="E689" s="2" t="s">
        <v>431</v>
      </c>
      <c r="F689" s="11" t="s">
        <v>1427</v>
      </c>
      <c r="G689" t="s">
        <v>38</v>
      </c>
      <c r="H689" t="s">
        <v>1428</v>
      </c>
      <c r="I689" t="s">
        <v>938</v>
      </c>
      <c r="J689" s="6" t="str">
        <f>HYPERLINK("https://www.biovista.com/db/link/%5B%5B%22Disease%7CGlutaric%20aciduria%201%22%5D,%20%5B%22Human%20Phenotype%7CSpasticity%22%5D%5D?strength-weight-map=%257B%2522MEDLINE_STRENGTH_AB%2522:1.0,%2522HPO%2522:100.0%257D", "Show Evidence...")</f>
        <v>Show Evidence...</v>
      </c>
    </row>
    <row r="690" spans="1:10" ht="12.75">
      <c r="A690" s="2" t="s">
        <v>50</v>
      </c>
      <c r="B690" s="2" t="s">
        <v>920</v>
      </c>
      <c r="C690" s="2" t="s">
        <v>24</v>
      </c>
      <c r="D690" s="2" t="s">
        <v>921</v>
      </c>
      <c r="E690" s="2" t="s">
        <v>431</v>
      </c>
      <c r="F690" s="11" t="s">
        <v>1429</v>
      </c>
      <c r="G690" t="s">
        <v>38</v>
      </c>
      <c r="H690" t="s">
        <v>1430</v>
      </c>
      <c r="I690" t="s">
        <v>1141</v>
      </c>
      <c r="J690" s="6" t="str">
        <f>HYPERLINK("https://www.biovista.com/db/link/%5B%5B%22Disease%7CGlutaric%20aciduria%201%22%5D,%20%5B%22Human%20Phenotype%7CAcidosis%22%5D%5D?strength-weight-map=%257B%2522MEDLINE_STRENGTH_AB%2522:1.0,%2522HPO%2522:100.0%257D", "Show Evidence...")</f>
        <v>Show Evidence...</v>
      </c>
    </row>
    <row r="691" spans="1:10" ht="12.75">
      <c r="A691" s="2" t="s">
        <v>50</v>
      </c>
      <c r="B691" s="2" t="s">
        <v>920</v>
      </c>
      <c r="C691" s="2" t="s">
        <v>24</v>
      </c>
      <c r="D691" s="2" t="s">
        <v>921</v>
      </c>
      <c r="E691" s="2" t="s">
        <v>431</v>
      </c>
      <c r="F691" s="11" t="s">
        <v>1431</v>
      </c>
      <c r="G691" t="s">
        <v>38</v>
      </c>
      <c r="H691" t="s">
        <v>1432</v>
      </c>
      <c r="I691" t="s">
        <v>1141</v>
      </c>
      <c r="J691" s="6" t="str">
        <f>HYPERLINK("https://www.biovista.com/db/link/%5B%5B%22Disease%7CGlutaric%20aciduria%201%22%5D,%20%5B%22Human%20Phenotype%7CPostural%20instability%22%5D%5D?strength-weight-map=%257B%2522MEDLINE_STRENGTH_AB%2522:1.0,%2522HPO%2522:100.0%257D", "Show Evidence...")</f>
        <v>Show Evidence...</v>
      </c>
    </row>
    <row r="692" spans="1:10" ht="12.75">
      <c r="A692" s="2" t="s">
        <v>50</v>
      </c>
      <c r="B692" s="2" t="s">
        <v>920</v>
      </c>
      <c r="C692" s="2" t="s">
        <v>24</v>
      </c>
      <c r="D692" s="2" t="s">
        <v>921</v>
      </c>
      <c r="E692" s="2" t="s">
        <v>431</v>
      </c>
      <c r="F692" s="11" t="s">
        <v>1433</v>
      </c>
      <c r="G692" t="s">
        <v>38</v>
      </c>
      <c r="H692" t="s">
        <v>1434</v>
      </c>
      <c r="I692" t="s">
        <v>1145</v>
      </c>
      <c r="J692" s="6" t="str">
        <f>HYPERLINK("https://www.biovista.com/db/link/%5B%5B%22Disease%7CGlutaric%20aciduria%201%22%5D,%20%5B%22Human%20Phenotype%7CAbnormality%20of%20mitochondrial%20metabolism%22%5D%5D?strength-weight-map=%257B%2522MEDLINE_STRENGTH_AB%2522:1.0,%2522HPO%2522:100.0%257D", "Show Evidence...")</f>
        <v>Show Evidence...</v>
      </c>
    </row>
    <row r="693" spans="1:10" ht="12.75">
      <c r="A693" s="2" t="s">
        <v>50</v>
      </c>
      <c r="B693" s="2" t="s">
        <v>920</v>
      </c>
      <c r="C693" s="2" t="s">
        <v>24</v>
      </c>
      <c r="D693" s="2" t="s">
        <v>921</v>
      </c>
      <c r="E693" s="2" t="s">
        <v>431</v>
      </c>
      <c r="F693" s="11" t="s">
        <v>1435</v>
      </c>
      <c r="G693" t="s">
        <v>38</v>
      </c>
      <c r="H693" t="s">
        <v>1436</v>
      </c>
      <c r="I693" t="s">
        <v>1437</v>
      </c>
      <c r="J693" s="6" t="str">
        <f>HYPERLINK("https://www.biovista.com/db/link/%5B%5B%22Disease%7CGlutaric%20aciduria%201%22%5D,%20%5B%22Human%20Phenotype%7CMetabolic%20acidosis%22%5D%5D?strength-weight-map=%257B%2522MEDLINE_STRENGTH_AB%2522:1.0,%2522HPO%2522:100.0%257D", "Show Evidence...")</f>
        <v>Show Evidence...</v>
      </c>
    </row>
    <row r="694" spans="1:10" ht="12.75">
      <c r="A694" s="2" t="s">
        <v>50</v>
      </c>
      <c r="B694" s="2" t="s">
        <v>920</v>
      </c>
      <c r="C694" s="2" t="s">
        <v>24</v>
      </c>
      <c r="D694" s="2" t="s">
        <v>921</v>
      </c>
      <c r="E694" s="2" t="s">
        <v>431</v>
      </c>
      <c r="F694" s="11" t="s">
        <v>1438</v>
      </c>
      <c r="G694" t="s">
        <v>38</v>
      </c>
      <c r="H694" t="s">
        <v>1439</v>
      </c>
      <c r="I694" t="s">
        <v>1440</v>
      </c>
      <c r="J694" s="6" t="str">
        <f>HYPERLINK("https://www.biovista.com/db/link/%5B%5B%22Disease%7CGlutaric%20aciduria%201%22%5D,%20%5B%22Human%20Phenotype%7CArachnoid%20cyst%22%5D%5D?strength-weight-map=%257B%2522MEDLINE_STRENGTH_AB%2522:1.0,%2522HPO%2522:100.0%257D", "Show Evidence...")</f>
        <v>Show Evidence...</v>
      </c>
    </row>
    <row r="695" spans="1:10" ht="12.75">
      <c r="A695" s="2" t="s">
        <v>50</v>
      </c>
      <c r="B695" s="2" t="s">
        <v>920</v>
      </c>
      <c r="C695" s="2" t="s">
        <v>24</v>
      </c>
      <c r="D695" s="2" t="s">
        <v>921</v>
      </c>
      <c r="E695" s="2" t="s">
        <v>431</v>
      </c>
      <c r="F695" s="11" t="s">
        <v>1441</v>
      </c>
      <c r="G695" t="s">
        <v>38</v>
      </c>
      <c r="H695" t="s">
        <v>1442</v>
      </c>
      <c r="I695" t="s">
        <v>1440</v>
      </c>
      <c r="J695" s="6" t="str">
        <f>HYPERLINK("https://www.biovista.com/db/link/%5B%5B%22Disease%7CGlutaric%20aciduria%201%22%5D,%20%5B%22Human%20Phenotype%7CInsidious%20onset%22%5D%5D?strength-weight-map=%257B%2522MEDLINE_STRENGTH_AB%2522:1.0,%2522HPO%2522:100.0%257D", "Show Evidence...")</f>
        <v>Show Evidence...</v>
      </c>
    </row>
    <row r="696" spans="1:10" ht="12.75">
      <c r="A696" s="2" t="s">
        <v>50</v>
      </c>
      <c r="B696" s="2" t="s">
        <v>920</v>
      </c>
      <c r="C696" s="2" t="s">
        <v>24</v>
      </c>
      <c r="D696" s="2" t="s">
        <v>921</v>
      </c>
      <c r="E696" s="2" t="s">
        <v>431</v>
      </c>
      <c r="F696" s="11" t="s">
        <v>1443</v>
      </c>
      <c r="G696" t="s">
        <v>38</v>
      </c>
      <c r="H696" t="s">
        <v>1444</v>
      </c>
      <c r="I696" t="s">
        <v>1440</v>
      </c>
      <c r="J696" s="6" t="str">
        <f>HYPERLINK("https://www.biovista.com/db/link/%5B%5B%22Disease%7CGlutaric%20aciduria%201%22%5D,%20%5B%22Human%20Phenotype%7CNeuronal%20loss%20in%20central%20nervous%20system%22%5D%5D?strength-weight-map=%257B%2522MEDLINE_STRENGTH_AB%2522:1.0,%2522HPO%2522:100.0%257D", "Show Evidence...")</f>
        <v>Show Evidence...</v>
      </c>
    </row>
    <row r="697" spans="1:10" ht="12.75">
      <c r="A697" s="2" t="s">
        <v>50</v>
      </c>
      <c r="B697" s="2" t="s">
        <v>920</v>
      </c>
      <c r="C697" s="2" t="s">
        <v>24</v>
      </c>
      <c r="D697" s="2" t="s">
        <v>921</v>
      </c>
      <c r="E697" s="2" t="s">
        <v>431</v>
      </c>
      <c r="F697" s="11" t="s">
        <v>470</v>
      </c>
      <c r="G697" t="s">
        <v>38</v>
      </c>
      <c r="H697" t="s">
        <v>471</v>
      </c>
      <c r="I697" t="s">
        <v>939</v>
      </c>
      <c r="J697" s="6" t="str">
        <f>HYPERLINK("https://www.biovista.com/db/link/%5B%5B%22Disease%7CGlutaric%20aciduria%201%22%5D,%20%5B%22Human%20Phenotype%7CIntellectual%20disability%22%5D%5D?strength-weight-map=%257B%2522MEDLINE_STRENGTH_AB%2522:1.0,%2522HPO%2522:100.0%257D", "Show Evidence...")</f>
        <v>Show Evidence...</v>
      </c>
    </row>
    <row r="698" spans="1:10" ht="12.75">
      <c r="A698" s="2" t="s">
        <v>50</v>
      </c>
      <c r="B698" s="2" t="s">
        <v>920</v>
      </c>
      <c r="C698" s="2" t="s">
        <v>24</v>
      </c>
      <c r="D698" s="2" t="s">
        <v>921</v>
      </c>
      <c r="E698" s="2" t="s">
        <v>431</v>
      </c>
      <c r="F698" s="11" t="s">
        <v>1445</v>
      </c>
      <c r="G698" t="s">
        <v>38</v>
      </c>
      <c r="H698" t="s">
        <v>1446</v>
      </c>
      <c r="I698" t="s">
        <v>940</v>
      </c>
      <c r="J698" s="6" t="s">
        <v>1447</v>
      </c>
    </row>
    <row r="699" spans="1:10" ht="12.75">
      <c r="A699" s="2" t="s">
        <v>50</v>
      </c>
      <c r="B699" s="2" t="s">
        <v>920</v>
      </c>
      <c r="C699" s="2" t="s">
        <v>24</v>
      </c>
      <c r="D699" s="2" t="s">
        <v>921</v>
      </c>
      <c r="E699" s="2" t="s">
        <v>431</v>
      </c>
      <c r="F699" s="11" t="s">
        <v>1448</v>
      </c>
      <c r="G699" t="s">
        <v>38</v>
      </c>
      <c r="H699" t="s">
        <v>1449</v>
      </c>
      <c r="I699" t="s">
        <v>940</v>
      </c>
      <c r="J699" s="6" t="str">
        <f>HYPERLINK("https://www.biovista.com/db/link/%5B%5B%22Disease%7CGlutaric%20aciduria%201%22%5D,%20%5B%22Human%20Phenotype%7CGliosis%22%5D%5D?strength-weight-map=%257B%2522MEDLINE_STRENGTH_AB%2522:1.0,%2522HPO%2522:100.0%257D", "Show Evidence...")</f>
        <v>Show Evidence...</v>
      </c>
    </row>
    <row r="700" spans="1:10" ht="12.75">
      <c r="A700" s="2" t="s">
        <v>50</v>
      </c>
      <c r="B700" s="2" t="s">
        <v>920</v>
      </c>
      <c r="C700" s="2" t="s">
        <v>24</v>
      </c>
      <c r="D700" s="2" t="s">
        <v>921</v>
      </c>
      <c r="E700" s="2" t="s">
        <v>431</v>
      </c>
      <c r="F700" s="11" t="s">
        <v>1450</v>
      </c>
      <c r="G700" t="s">
        <v>38</v>
      </c>
      <c r="H700" t="s">
        <v>1451</v>
      </c>
      <c r="I700" t="s">
        <v>940</v>
      </c>
      <c r="J700" s="6" t="str">
        <f>HYPERLINK("https://www.biovista.com/db/link/%5B%5B%22Disease%7CGlutaric%20aciduria%201%22%5D,%20%5B%22Human%20Phenotype%7CLeukodystrophy%22%5D%5D?strength-weight-map=%257B%2522MEDLINE_STRENGTH_AB%2522:1.0,%2522HPO%2522:100.0%257D", "Show Evidence...")</f>
        <v>Show Evidence...</v>
      </c>
    </row>
    <row r="701" spans="1:10" ht="12.75">
      <c r="A701" s="2" t="s">
        <v>50</v>
      </c>
      <c r="B701" s="2" t="s">
        <v>920</v>
      </c>
      <c r="C701" s="2" t="s">
        <v>24</v>
      </c>
      <c r="D701" s="2" t="s">
        <v>921</v>
      </c>
      <c r="E701" s="2" t="s">
        <v>431</v>
      </c>
      <c r="F701" s="11" t="s">
        <v>1452</v>
      </c>
      <c r="G701" t="s">
        <v>38</v>
      </c>
      <c r="H701" t="s">
        <v>1453</v>
      </c>
      <c r="I701" t="s">
        <v>943</v>
      </c>
      <c r="J701" s="6" t="str">
        <f>HYPERLINK("https://www.biovista.com/db/link/%5B%5B%22Disease%7CGlutaric%20aciduria%201%22%5D,%20%5B%22Human%20Phenotype%7CDehydration%22%5D%5D?strength-weight-map=%257B%2522MEDLINE_STRENGTH_AB%2522:1.0,%2522HPO%2522:100.0%257D", "Show Evidence...")</f>
        <v>Show Evidence...</v>
      </c>
    </row>
    <row r="702" spans="1:10" ht="12.75">
      <c r="A702" s="2" t="s">
        <v>50</v>
      </c>
      <c r="B702" s="2" t="s">
        <v>920</v>
      </c>
      <c r="C702" s="2" t="s">
        <v>24</v>
      </c>
      <c r="D702" s="2" t="s">
        <v>921</v>
      </c>
      <c r="E702" s="2" t="s">
        <v>704</v>
      </c>
      <c r="F702" s="11" t="s">
        <v>1454</v>
      </c>
      <c r="G702" t="s">
        <v>37</v>
      </c>
      <c r="H702" t="s">
        <v>1455</v>
      </c>
      <c r="I702" t="s">
        <v>1456</v>
      </c>
      <c r="J702" s="6" t="str">
        <f>HYPERLINK("https://www.biovista.com/db/link/%5B%5B%22Disease%7CGlutaric%20aciduria%201%22%5D,%20%5B%22Pathway%7Cexcretion%22%5D%5D?strength-weight-map=%257B%2522MEDLINE_STRENGTH_AB%2522:1.0,%2522HPO%2522:100.0%257D", "Show Evidence...")</f>
        <v>Show Evidence...</v>
      </c>
    </row>
    <row r="703" spans="1:10" ht="12.75">
      <c r="A703" s="2" t="s">
        <v>50</v>
      </c>
      <c r="B703" s="2" t="s">
        <v>920</v>
      </c>
      <c r="C703" s="2" t="s">
        <v>24</v>
      </c>
      <c r="D703" s="2" t="s">
        <v>921</v>
      </c>
      <c r="E703" s="2" t="s">
        <v>704</v>
      </c>
      <c r="F703" s="11" t="s">
        <v>747</v>
      </c>
      <c r="G703" t="s">
        <v>37</v>
      </c>
      <c r="H703" t="s">
        <v>748</v>
      </c>
      <c r="I703" t="s">
        <v>1457</v>
      </c>
      <c r="J703" s="6" t="s">
        <v>1458</v>
      </c>
    </row>
    <row r="704" spans="1:10" ht="12.75">
      <c r="A704" s="2" t="s">
        <v>50</v>
      </c>
      <c r="B704" s="2" t="s">
        <v>920</v>
      </c>
      <c r="C704" s="2" t="s">
        <v>24</v>
      </c>
      <c r="D704" s="2" t="s">
        <v>921</v>
      </c>
      <c r="E704" s="2" t="s">
        <v>717</v>
      </c>
      <c r="F704" s="11" t="s">
        <v>856</v>
      </c>
      <c r="G704" t="s">
        <v>37</v>
      </c>
      <c r="H704" t="s">
        <v>857</v>
      </c>
      <c r="I704" t="s">
        <v>1459</v>
      </c>
      <c r="J704" s="6" t="str">
        <f>HYPERLINK("https://www.biovista.com/db/link/%5B%5B%22Disease%7CGlutaric%20aciduria%201%22%5D,%20%5B%22Pathway%7Cgermination%22%5D%5D?strength-weight-map=%257B%2522MEDLINE_STRENGTH_AB%2522:1.0,%2522HPO%2522:100.0%257D", "Show Evidence...")</f>
        <v>Show Evidence...</v>
      </c>
    </row>
    <row r="705" spans="1:10" ht="12.75">
      <c r="A705" s="2" t="s">
        <v>50</v>
      </c>
      <c r="B705" s="2" t="s">
        <v>920</v>
      </c>
      <c r="C705" s="2" t="s">
        <v>24</v>
      </c>
      <c r="D705" s="2" t="s">
        <v>921</v>
      </c>
      <c r="E705" s="2" t="s">
        <v>704</v>
      </c>
      <c r="F705" s="11" t="s">
        <v>1460</v>
      </c>
      <c r="G705" t="s">
        <v>37</v>
      </c>
      <c r="H705" t="s">
        <v>1461</v>
      </c>
      <c r="I705" t="s">
        <v>1462</v>
      </c>
      <c r="J705" s="6" t="str">
        <f>HYPERLINK("https://www.biovista.com/db/link/%5B%5B%22Disease%7CGlutaric%20aciduria%201%22%5D,%20%5B%22Pathway%7Ccatabolic%20process%22%5D%5D?strength-weight-map=%257B%2522MEDLINE_STRENGTH_AB%2522:1.0,%2522HPO%2522:100.0%257D", "Show Evidence...")</f>
        <v>Show Evidence...</v>
      </c>
    </row>
    <row r="706" spans="1:10" ht="12.75">
      <c r="A706" s="2" t="s">
        <v>50</v>
      </c>
      <c r="B706" s="2" t="s">
        <v>920</v>
      </c>
      <c r="C706" s="2" t="s">
        <v>24</v>
      </c>
      <c r="D706" s="2" t="s">
        <v>921</v>
      </c>
      <c r="E706" s="2" t="s">
        <v>704</v>
      </c>
      <c r="F706" s="11" t="s">
        <v>1463</v>
      </c>
      <c r="G706" t="s">
        <v>37</v>
      </c>
      <c r="H706" t="s">
        <v>1464</v>
      </c>
      <c r="I706" t="s">
        <v>1465</v>
      </c>
      <c r="J706" s="6" t="str">
        <f>HYPERLINK("https://www.biovista.com/db/link/%5B%5B%22Disease%7CGlutaric%20aciduria%201%22%5D,%20%5B%22Pathway%7Cgibberellin%20biosynthetic%20process%22%5D%5D?strength-weight-map=%257B%2522MEDLINE_STRENGTH_AB%2522:1.0,%2522HPO%2522:100.0%257D", "Show Evidence...")</f>
        <v>Show Evidence...</v>
      </c>
    </row>
    <row r="707" spans="1:10" ht="12.75">
      <c r="A707" s="2" t="s">
        <v>50</v>
      </c>
      <c r="B707" s="2" t="s">
        <v>920</v>
      </c>
      <c r="C707" s="2" t="s">
        <v>24</v>
      </c>
      <c r="D707" s="2" t="s">
        <v>921</v>
      </c>
      <c r="E707" s="2" t="s">
        <v>704</v>
      </c>
      <c r="F707" s="11" t="s">
        <v>760</v>
      </c>
      <c r="G707" t="s">
        <v>37</v>
      </c>
      <c r="H707" t="s">
        <v>761</v>
      </c>
      <c r="I707" t="s">
        <v>1387</v>
      </c>
      <c r="J707" s="6" t="str">
        <f>HYPERLINK("https://www.biovista.com/db/link/%5B%5B%22Disease%7CGlutaric%20aciduria%201%22%5D,%20%5B%22Pathway%7Chomeostatic%20process%22%5D%5D?strength-weight-map=%257B%2522MEDLINE_STRENGTH_AB%2522:1.0,%2522HPO%2522:100.0%257D", "Show Evidence...")</f>
        <v>Show Evidence...</v>
      </c>
    </row>
    <row r="708" spans="1:10" ht="12.75">
      <c r="A708" s="2" t="s">
        <v>50</v>
      </c>
      <c r="B708" s="2" t="s">
        <v>920</v>
      </c>
      <c r="C708" s="2" t="s">
        <v>24</v>
      </c>
      <c r="D708" s="2" t="s">
        <v>921</v>
      </c>
      <c r="E708" s="2" t="s">
        <v>704</v>
      </c>
      <c r="F708" s="11" t="s">
        <v>1466</v>
      </c>
      <c r="G708" t="s">
        <v>37</v>
      </c>
      <c r="H708" t="s">
        <v>1467</v>
      </c>
      <c r="I708" t="s">
        <v>1396</v>
      </c>
      <c r="J708" s="6" t="str">
        <f>HYPERLINK("https://www.biovista.com/db/link/%5B%5B%22Disease%7CGlutaric%20aciduria%201%22%5D,%20%5B%22Pathway%7Cseed%20germination%22%5D%5D?strength-weight-map=%257B%2522MEDLINE_STRENGTH_AB%2522:1.0,%2522HPO%2522:100.0%257D", "Show Evidence...")</f>
        <v>Show Evidence...</v>
      </c>
    </row>
    <row r="709" spans="1:10" ht="12.75">
      <c r="A709" s="2" t="s">
        <v>50</v>
      </c>
      <c r="B709" s="2" t="s">
        <v>920</v>
      </c>
      <c r="C709" s="2" t="s">
        <v>24</v>
      </c>
      <c r="D709" s="2" t="s">
        <v>921</v>
      </c>
      <c r="E709" s="2" t="s">
        <v>704</v>
      </c>
      <c r="F709" s="11" t="s">
        <v>1468</v>
      </c>
      <c r="G709" t="s">
        <v>37</v>
      </c>
      <c r="H709" t="s">
        <v>1469</v>
      </c>
      <c r="I709" t="s">
        <v>931</v>
      </c>
      <c r="J709" s="6" t="str">
        <f>HYPERLINK("https://www.biovista.com/db/link/%5B%5B%22Disease%7CGlutaric%20aciduria%201%22%5D,%20%5B%22Pathway%7Csleep%22%5D%5D?strength-weight-map=%257B%2522MEDLINE_STRENGTH_AB%2522:1.0,%2522HPO%2522:100.0%257D", "Show Evidence...")</f>
        <v>Show Evidence...</v>
      </c>
    </row>
    <row r="710" spans="1:10" ht="12.75">
      <c r="A710" s="2" t="s">
        <v>50</v>
      </c>
      <c r="B710" s="2" t="s">
        <v>920</v>
      </c>
      <c r="C710" s="2" t="s">
        <v>24</v>
      </c>
      <c r="D710" s="2" t="s">
        <v>921</v>
      </c>
      <c r="E710" s="2" t="s">
        <v>704</v>
      </c>
      <c r="F710" s="11" t="s">
        <v>1470</v>
      </c>
      <c r="G710" t="s">
        <v>37</v>
      </c>
      <c r="H710" t="s">
        <v>1471</v>
      </c>
      <c r="I710" t="s">
        <v>1417</v>
      </c>
      <c r="J710" s="6" t="str">
        <f>HYPERLINK("https://www.biovista.com/db/link/%5B%5B%22Disease%7CGlutaric%20aciduria%201%22%5D,%20%5B%22Pathway%7Cbrain%20development%22%5D%5D?strength-weight-map=%257B%2522MEDLINE_STRENGTH_AB%2522:1.0,%2522HPO%2522:100.0%257D", "Show Evidence...")</f>
        <v>Show Evidence...</v>
      </c>
    </row>
    <row r="711" spans="1:10" ht="12.75">
      <c r="A711" s="2" t="s">
        <v>50</v>
      </c>
      <c r="B711" s="2" t="s">
        <v>920</v>
      </c>
      <c r="C711" s="2" t="s">
        <v>24</v>
      </c>
      <c r="D711" s="2" t="s">
        <v>921</v>
      </c>
      <c r="E711" s="2" t="s">
        <v>704</v>
      </c>
      <c r="F711" s="11" t="s">
        <v>708</v>
      </c>
      <c r="G711" t="s">
        <v>37</v>
      </c>
      <c r="H711" t="s">
        <v>709</v>
      </c>
      <c r="I711" t="s">
        <v>1417</v>
      </c>
      <c r="J711" s="6" t="str">
        <f>HYPERLINK("https://www.biovista.com/db/link/%5B%5B%22Disease%7CGlutaric%20aciduria%201%22%5D,%20%5B%22Pathway%7Cchemical%20synaptic%20transmission%22%5D%5D?strength-weight-map=%257B%2522MEDLINE_STRENGTH_AB%2522:1.0,%2522HPO%2522:100.0%257D", "Show Evidence...")</f>
        <v>Show Evidence...</v>
      </c>
    </row>
    <row r="712" spans="1:10" ht="12.75">
      <c r="A712" s="2" t="s">
        <v>50</v>
      </c>
      <c r="B712" s="2" t="s">
        <v>920</v>
      </c>
      <c r="C712" s="2" t="s">
        <v>24</v>
      </c>
      <c r="D712" s="2" t="s">
        <v>921</v>
      </c>
      <c r="E712" s="2" t="s">
        <v>704</v>
      </c>
      <c r="F712" s="11" t="s">
        <v>1472</v>
      </c>
      <c r="G712" t="s">
        <v>37</v>
      </c>
      <c r="H712" t="s">
        <v>1473</v>
      </c>
      <c r="I712" t="s">
        <v>1417</v>
      </c>
      <c r="J712" s="6" t="str">
        <f>HYPERLINK("https://www.biovista.com/db/link/%5B%5B%22Disease%7CGlutaric%20aciduria%201%22%5D,%20%5B%22Pathway%7Cmyelination%22%5D%5D?strength-weight-map=%257B%2522MEDLINE_STRENGTH_AB%2522:1.0,%2522HPO%2522:100.0%257D", "Show Evidence...")</f>
        <v>Show Evidence...</v>
      </c>
    </row>
    <row r="713" spans="1:10" ht="12.75">
      <c r="A713" s="2" t="s">
        <v>50</v>
      </c>
      <c r="B713" s="2" t="s">
        <v>920</v>
      </c>
      <c r="C713" s="2" t="s">
        <v>24</v>
      </c>
      <c r="D713" s="2" t="s">
        <v>921</v>
      </c>
      <c r="E713" s="2" t="s">
        <v>717</v>
      </c>
      <c r="F713" s="11" t="s">
        <v>718</v>
      </c>
      <c r="G713" t="s">
        <v>37</v>
      </c>
      <c r="H713" t="s">
        <v>719</v>
      </c>
      <c r="I713" t="s">
        <v>935</v>
      </c>
      <c r="J713" s="6" t="str">
        <f>HYPERLINK("https://www.biovista.com/db/link/%5B%5B%22Disease%7CGlutaric%20aciduria%201%22%5D,%20%5B%22Pathway%7Caging%22%5D%5D?strength-weight-map=%257B%2522MEDLINE_STRENGTH_AB%2522:1.0,%2522HPO%2522:100.0%257D", "Show Evidence...")</f>
        <v>Show Evidence...</v>
      </c>
    </row>
    <row r="714" spans="1:10" ht="12.75">
      <c r="A714" s="2" t="s">
        <v>50</v>
      </c>
      <c r="B714" s="2" t="s">
        <v>920</v>
      </c>
      <c r="C714" s="2" t="s">
        <v>24</v>
      </c>
      <c r="D714" s="2" t="s">
        <v>921</v>
      </c>
      <c r="E714" s="2" t="s">
        <v>704</v>
      </c>
      <c r="F714" s="11" t="s">
        <v>711</v>
      </c>
      <c r="G714" t="s">
        <v>37</v>
      </c>
      <c r="H714" t="s">
        <v>712</v>
      </c>
      <c r="I714" t="s">
        <v>935</v>
      </c>
      <c r="J714" s="6" t="str">
        <f>HYPERLINK("https://www.biovista.com/db/link/%5B%5B%22Disease%7CGlutaric%20aciduria%201%22%5D,%20%5B%22Pathway%7Cinflammatory%20response%22%5D%5D?strength-weight-map=%257B%2522MEDLINE_STRENGTH_AB%2522:1.0,%2522HPO%2522:100.0%257D", "Show Evidence...")</f>
        <v>Show Evidence...</v>
      </c>
    </row>
    <row r="715" spans="1:10" ht="12.75">
      <c r="A715" s="2" t="s">
        <v>50</v>
      </c>
      <c r="B715" s="2" t="s">
        <v>920</v>
      </c>
      <c r="C715" s="2" t="s">
        <v>24</v>
      </c>
      <c r="D715" s="2" t="s">
        <v>921</v>
      </c>
      <c r="E715" s="2" t="s">
        <v>704</v>
      </c>
      <c r="F715" s="11" t="s">
        <v>1474</v>
      </c>
      <c r="G715" t="s">
        <v>37</v>
      </c>
      <c r="H715" t="s">
        <v>1475</v>
      </c>
      <c r="I715" t="s">
        <v>935</v>
      </c>
      <c r="J715" s="6" t="str">
        <f>HYPERLINK("https://www.biovista.com/db/link/%5B%5B%22Disease%7CGlutaric%20aciduria%201%22%5D,%20%5B%22Pathway%7Ctryptophan%20metabolic%20process%22%5D%5D?strength-weight-map=%257B%2522MEDLINE_STRENGTH_AB%2522:1.0,%2522HPO%2522:100.0%257D", "Show Evidence...")</f>
        <v>Show Evidence...</v>
      </c>
    </row>
    <row r="716" spans="1:10" ht="12.75">
      <c r="A716" s="2" t="s">
        <v>50</v>
      </c>
      <c r="B716" s="2" t="s">
        <v>920</v>
      </c>
      <c r="C716" s="2" t="s">
        <v>24</v>
      </c>
      <c r="D716" s="2" t="s">
        <v>921</v>
      </c>
      <c r="E716" s="2" t="s">
        <v>704</v>
      </c>
      <c r="F716" s="11" t="s">
        <v>720</v>
      </c>
      <c r="G716" t="s">
        <v>37</v>
      </c>
      <c r="H716" t="s">
        <v>721</v>
      </c>
      <c r="I716" t="s">
        <v>938</v>
      </c>
      <c r="J716" s="6" t="str">
        <f>HYPERLINK("https://www.biovista.com/db/link/%5B%5B%22Disease%7CGlutaric%20aciduria%201%22%5D,%20%5B%22Pathway%7Capoptotic%20process%22%5D%5D?strength-weight-map=%257B%2522MEDLINE_STRENGTH_AB%2522:1.0,%2522HPO%2522:100.0%257D", "Show Evidence...")</f>
        <v>Show Evidence...</v>
      </c>
    </row>
    <row r="717" spans="1:10" ht="12.75">
      <c r="A717" s="2" t="s">
        <v>50</v>
      </c>
      <c r="B717" s="2" t="s">
        <v>920</v>
      </c>
      <c r="C717" s="2" t="s">
        <v>24</v>
      </c>
      <c r="D717" s="2" t="s">
        <v>921</v>
      </c>
      <c r="E717" s="2" t="s">
        <v>704</v>
      </c>
      <c r="F717" s="11" t="s">
        <v>1476</v>
      </c>
      <c r="G717" t="s">
        <v>37</v>
      </c>
      <c r="H717" t="s">
        <v>1477</v>
      </c>
      <c r="I717" t="s">
        <v>938</v>
      </c>
      <c r="J717" s="6" t="str">
        <f>HYPERLINK("https://www.biovista.com/db/link/%5B%5B%22Disease%7CGlutaric%20aciduria%201%22%5D,%20%5B%22Pathway%7Cgibberellin%20metabolic%20process%22%5D%5D?strength-weight-map=%257B%2522MEDLINE_STRENGTH_AB%2522:1.0,%2522HPO%2522:100.0%257D", "Show Evidence...")</f>
        <v>Show Evidence...</v>
      </c>
    </row>
    <row r="718" spans="1:10" ht="12.75">
      <c r="A718" s="2" t="s">
        <v>50</v>
      </c>
      <c r="B718" s="2" t="s">
        <v>920</v>
      </c>
      <c r="C718" s="2" t="s">
        <v>24</v>
      </c>
      <c r="D718" s="2" t="s">
        <v>921</v>
      </c>
      <c r="E718" s="2" t="s">
        <v>704</v>
      </c>
      <c r="F718" s="11" t="s">
        <v>845</v>
      </c>
      <c r="G718" t="s">
        <v>37</v>
      </c>
      <c r="H718" t="s">
        <v>846</v>
      </c>
      <c r="I718" t="s">
        <v>938</v>
      </c>
      <c r="J718" s="6" t="str">
        <f>HYPERLINK("https://www.biovista.com/db/link/%5B%5B%22Disease%7CGlutaric%20aciduria%201%22%5D,%20%5B%22Pathway%7Cplant%20gross%20anatomical%20part%20developmental%20process%22%5D%5D?strength-weight-map=%257B%2522MEDLINE_STRENGTH_AB%2522:1.0,%2522HPO%2522:100.0%257D", "Show Evidence...")</f>
        <v>Show Evidence...</v>
      </c>
    </row>
    <row r="719" spans="1:10" ht="12.75">
      <c r="A719" s="2" t="s">
        <v>50</v>
      </c>
      <c r="B719" s="2" t="s">
        <v>920</v>
      </c>
      <c r="C719" s="2" t="s">
        <v>24</v>
      </c>
      <c r="D719" s="2" t="s">
        <v>921</v>
      </c>
      <c r="E719" s="2" t="s">
        <v>704</v>
      </c>
      <c r="F719" s="11" t="s">
        <v>1478</v>
      </c>
      <c r="G719" t="s">
        <v>37</v>
      </c>
      <c r="H719" t="s">
        <v>1479</v>
      </c>
      <c r="I719" t="s">
        <v>1141</v>
      </c>
      <c r="J719" s="6" t="str">
        <f>HYPERLINK("https://www.biovista.com/db/link/%5B%5B%22Disease%7CGlutaric%20aciduria%201%22%5D,%20%5B%22Pathway%7Cfatty%20acid%20oxidation%22%5D%5D?strength-weight-map=%257B%2522MEDLINE_STRENGTH_AB%2522:1.0,%2522HPO%2522:100.0%257D", "Show Evidence...")</f>
        <v>Show Evidence...</v>
      </c>
    </row>
    <row r="720" spans="1:10" ht="12.75">
      <c r="A720" s="2" t="s">
        <v>50</v>
      </c>
      <c r="B720" s="2" t="s">
        <v>920</v>
      </c>
      <c r="C720" s="2" t="s">
        <v>24</v>
      </c>
      <c r="D720" s="2" t="s">
        <v>921</v>
      </c>
      <c r="E720" s="2" t="s">
        <v>704</v>
      </c>
      <c r="F720" s="11" t="s">
        <v>791</v>
      </c>
      <c r="G720" t="s">
        <v>37</v>
      </c>
      <c r="H720" t="s">
        <v>792</v>
      </c>
      <c r="I720" t="s">
        <v>1145</v>
      </c>
      <c r="J720" s="6" t="str">
        <f>HYPERLINK("https://www.biovista.com/db/link/%5B%5B%22Disease%7CGlutaric%20aciduria%201%22%5D,%20%5B%22Pathway%7Celectron%20transport%20chain%22%5D%5D?strength-weight-map=%257B%2522MEDLINE_STRENGTH_AB%2522:1.0,%2522HPO%2522:100.0%257D", "Show Evidence...")</f>
        <v>Show Evidence...</v>
      </c>
    </row>
    <row r="721" spans="1:10" ht="12.75">
      <c r="A721" s="2" t="s">
        <v>50</v>
      </c>
      <c r="B721" s="2" t="s">
        <v>920</v>
      </c>
      <c r="C721" s="2" t="s">
        <v>24</v>
      </c>
      <c r="D721" s="2" t="s">
        <v>921</v>
      </c>
      <c r="E721" s="2" t="s">
        <v>704</v>
      </c>
      <c r="F721" s="11" t="s">
        <v>1480</v>
      </c>
      <c r="G721" t="s">
        <v>37</v>
      </c>
      <c r="H721" t="s">
        <v>1481</v>
      </c>
      <c r="I721" t="s">
        <v>1145</v>
      </c>
      <c r="J721" s="6" t="str">
        <f>HYPERLINK("https://www.biovista.com/db/link/%5B%5B%22Disease%7CGlutaric%20aciduria%201%22%5D,%20%5B%22Pathway%7Clysine%20catabolic%20process%22%5D%5D?strength-weight-map=%257B%2522MEDLINE_STRENGTH_AB%2522:1.0,%2522HPO%2522:100.0%257D", "Show Evidence...")</f>
        <v>Show Evidence...</v>
      </c>
    </row>
    <row r="722" spans="1:10" ht="12.75">
      <c r="A722" s="2" t="s">
        <v>50</v>
      </c>
      <c r="B722" s="2" t="s">
        <v>920</v>
      </c>
      <c r="C722" s="2" t="s">
        <v>24</v>
      </c>
      <c r="D722" s="2" t="s">
        <v>921</v>
      </c>
      <c r="E722" s="2" t="s">
        <v>704</v>
      </c>
      <c r="F722" s="11" t="s">
        <v>1482</v>
      </c>
      <c r="G722" t="s">
        <v>37</v>
      </c>
      <c r="H722" t="s">
        <v>1483</v>
      </c>
      <c r="I722" t="s">
        <v>1145</v>
      </c>
      <c r="J722" s="6" t="str">
        <f>HYPERLINK("https://www.biovista.com/db/link/%5B%5B%22Disease%7CGlutaric%20aciduria%201%22%5D,%20%5B%22Pathway%7Corganic%20acid%20metabolic%20process%22%5D%5D?strength-weight-map=%257B%2522MEDLINE_STRENGTH_AB%2522:1.0,%2522HPO%2522:100.0%257D", "Show Evidence...")</f>
        <v>Show Evidence...</v>
      </c>
    </row>
    <row r="723" spans="1:10" ht="12.75">
      <c r="A723" s="2" t="s">
        <v>50</v>
      </c>
      <c r="B723" s="2" t="s">
        <v>920</v>
      </c>
      <c r="C723" s="2" t="s">
        <v>24</v>
      </c>
      <c r="D723" s="2" t="s">
        <v>921</v>
      </c>
      <c r="E723" s="2" t="s">
        <v>704</v>
      </c>
      <c r="F723" s="11" t="s">
        <v>801</v>
      </c>
      <c r="G723" t="s">
        <v>37</v>
      </c>
      <c r="H723" t="s">
        <v>802</v>
      </c>
      <c r="I723" t="s">
        <v>1145</v>
      </c>
      <c r="J723" s="6" t="str">
        <f>HYPERLINK("https://www.biovista.com/db/link/%5B%5B%22Disease%7CGlutaric%20aciduria%201%22%5D,%20%5B%22Pathway%7Csecretion%22%5D%5D?strength-weight-map=%257B%2522MEDLINE_STRENGTH_AB%2522:1.0,%2522HPO%2522:100.0%257D", "Show Evidence...")</f>
        <v>Show Evidence...</v>
      </c>
    </row>
    <row r="724" spans="1:10" ht="12.75">
      <c r="A724" s="2" t="s">
        <v>50</v>
      </c>
      <c r="B724" s="2" t="s">
        <v>920</v>
      </c>
      <c r="C724" s="2" t="s">
        <v>24</v>
      </c>
      <c r="D724" s="2" t="s">
        <v>921</v>
      </c>
      <c r="E724" s="2" t="s">
        <v>704</v>
      </c>
      <c r="F724" s="11" t="s">
        <v>750</v>
      </c>
      <c r="G724" t="s">
        <v>37</v>
      </c>
      <c r="H724" t="s">
        <v>751</v>
      </c>
      <c r="I724" t="s">
        <v>1440</v>
      </c>
      <c r="J724" s="6" t="str">
        <f>HYPERLINK("https://www.biovista.com/db/link/%5B%5B%22Disease%7CGlutaric%20aciduria%201%22%5D,%20%5B%22Pathway%7Ccell%20death%22%5D%5D?strength-weight-map=%257B%2522MEDLINE_STRENGTH_AB%2522:1.0,%2522HPO%2522:100.0%257D", "Show Evidence...")</f>
        <v>Show Evidence...</v>
      </c>
    </row>
    <row r="725" spans="1:10" ht="12.75">
      <c r="A725" s="2" t="s">
        <v>50</v>
      </c>
      <c r="B725" s="2" t="s">
        <v>920</v>
      </c>
      <c r="C725" s="2" t="s">
        <v>24</v>
      </c>
      <c r="D725" s="2" t="s">
        <v>921</v>
      </c>
      <c r="E725" s="2" t="s">
        <v>704</v>
      </c>
      <c r="F725" s="11" t="s">
        <v>813</v>
      </c>
      <c r="G725" t="s">
        <v>37</v>
      </c>
      <c r="H725" t="s">
        <v>814</v>
      </c>
      <c r="I725" t="s">
        <v>1440</v>
      </c>
      <c r="J725" s="6" t="str">
        <f>HYPERLINK("https://www.biovista.com/db/link/%5B%5B%22Disease%7CGlutaric%20aciduria%201%22%5D,%20%5B%22Pathway%7Ccell%20division%22%5D%5D?strength-weight-map=%257B%2522MEDLINE_STRENGTH_AB%2522:1.0,%2522HPO%2522:100.0%257D", "Show Evidence...")</f>
        <v>Show Evidence...</v>
      </c>
    </row>
    <row r="726" spans="1:10" ht="12.75">
      <c r="A726" s="2" t="s">
        <v>50</v>
      </c>
      <c r="B726" s="2" t="s">
        <v>920</v>
      </c>
      <c r="C726" s="2" t="s">
        <v>24</v>
      </c>
      <c r="D726" s="2" t="s">
        <v>921</v>
      </c>
      <c r="E726" s="2" t="s">
        <v>704</v>
      </c>
      <c r="F726" s="11" t="s">
        <v>1484</v>
      </c>
      <c r="G726" t="s">
        <v>37</v>
      </c>
      <c r="H726" t="s">
        <v>1485</v>
      </c>
      <c r="I726" t="s">
        <v>1440</v>
      </c>
      <c r="J726" s="6" t="str">
        <f>HYPERLINK("https://www.biovista.com/db/link/%5B%5B%22Disease%7CGlutaric%20aciduria%201%22%5D,%20%5B%22Pathway%7Cfruit%20development%22%5D%5D?strength-weight-map=%257B%2522MEDLINE_STRENGTH_AB%2522:1.0,%2522HPO%2522:100.0%257D", "Show Evidence...")</f>
        <v>Show Evidence...</v>
      </c>
    </row>
    <row r="727" spans="1:10" ht="12.75">
      <c r="A727" s="2" t="s">
        <v>50</v>
      </c>
      <c r="B727" s="2" t="s">
        <v>920</v>
      </c>
      <c r="C727" s="2" t="s">
        <v>24</v>
      </c>
      <c r="D727" s="2" t="s">
        <v>921</v>
      </c>
      <c r="E727" s="2" t="s">
        <v>704</v>
      </c>
      <c r="F727" s="11" t="s">
        <v>1486</v>
      </c>
      <c r="G727" t="s">
        <v>37</v>
      </c>
      <c r="H727" t="s">
        <v>1487</v>
      </c>
      <c r="I727" t="s">
        <v>1440</v>
      </c>
      <c r="J727" s="6" t="str">
        <f>HYPERLINK("https://www.biovista.com/db/link/%5B%5B%22Disease%7CGlutaric%20aciduria%201%22%5D,%20%5B%22Pathway%7Cseed%20dormancy%20process%22%5D%5D?strength-weight-map=%257B%2522MEDLINE_STRENGTH_AB%2522:1.0,%2522HPO%2522:100.0%257D", "Show Evidence...")</f>
        <v>Show Evidence...</v>
      </c>
    </row>
    <row r="728" spans="1:10" ht="12.75">
      <c r="A728" s="2" t="s">
        <v>50</v>
      </c>
      <c r="B728" s="2" t="s">
        <v>920</v>
      </c>
      <c r="C728" s="2" t="s">
        <v>24</v>
      </c>
      <c r="D728" s="2" t="s">
        <v>921</v>
      </c>
      <c r="E728" s="2" t="s">
        <v>704</v>
      </c>
      <c r="F728" s="11" t="s">
        <v>1488</v>
      </c>
      <c r="G728" t="s">
        <v>37</v>
      </c>
      <c r="H728" t="s">
        <v>1489</v>
      </c>
      <c r="I728" t="s">
        <v>939</v>
      </c>
      <c r="J728" s="6" t="s">
        <v>1490</v>
      </c>
    </row>
    <row r="729" spans="1:10" ht="12.75">
      <c r="A729" s="2" t="s">
        <v>50</v>
      </c>
      <c r="B729" s="2" t="s">
        <v>920</v>
      </c>
      <c r="C729" s="2" t="s">
        <v>24</v>
      </c>
      <c r="D729" s="2" t="s">
        <v>921</v>
      </c>
      <c r="E729" s="2" t="s">
        <v>704</v>
      </c>
      <c r="F729" s="11" t="s">
        <v>841</v>
      </c>
      <c r="G729" t="s">
        <v>37</v>
      </c>
      <c r="H729" t="s">
        <v>842</v>
      </c>
      <c r="I729" t="s">
        <v>940</v>
      </c>
      <c r="J729" s="6" t="str">
        <f>HYPERLINK("https://www.biovista.com/db/link/%5B%5B%22Disease%7CGlutaric%20aciduria%201%22%5D,%20%5B%22Pathway%7Ccarbohydrate%20metabolic%20process%22%5D%5D?strength-weight-map=%257B%2522MEDLINE_STRENGTH_AB%2522:1.0,%2522HPO%2522:100.0%257D", "Show Evidence...")</f>
        <v>Show Evidence...</v>
      </c>
    </row>
    <row r="730" spans="1:10" ht="12.75">
      <c r="A730" s="2" t="s">
        <v>50</v>
      </c>
      <c r="B730" s="2" t="s">
        <v>920</v>
      </c>
      <c r="C730" s="2" t="s">
        <v>24</v>
      </c>
      <c r="D730" s="2" t="s">
        <v>921</v>
      </c>
      <c r="E730" s="2" t="s">
        <v>704</v>
      </c>
      <c r="F730" s="11" t="s">
        <v>1491</v>
      </c>
      <c r="G730" t="s">
        <v>37</v>
      </c>
      <c r="H730" t="s">
        <v>1492</v>
      </c>
      <c r="I730" t="s">
        <v>940</v>
      </c>
      <c r="J730" s="6" t="str">
        <f>HYPERLINK("https://www.biovista.com/db/link/%5B%5B%22Disease%7CGlutaric%20aciduria%201%22%5D,%20%5B%22Pathway%7Creactive%20gliosis%22%5D%5D?strength-weight-map=%257B%2522MEDLINE_STRENGTH_AB%2522:1.0,%2522HPO%2522:100.0%257D", "Show Evidence...")</f>
        <v>Show Evidence...</v>
      </c>
    </row>
    <row r="731" spans="1:10" ht="12.75">
      <c r="A731" s="2" t="s">
        <v>50</v>
      </c>
      <c r="B731" s="2" t="s">
        <v>920</v>
      </c>
      <c r="C731" s="2" t="s">
        <v>24</v>
      </c>
      <c r="D731" s="2" t="s">
        <v>921</v>
      </c>
      <c r="E731" s="2" t="s">
        <v>704</v>
      </c>
      <c r="F731" s="11" t="s">
        <v>735</v>
      </c>
      <c r="G731" t="s">
        <v>37</v>
      </c>
      <c r="H731" t="s">
        <v>736</v>
      </c>
      <c r="I731" t="s">
        <v>940</v>
      </c>
      <c r="J731" s="6" t="str">
        <f>HYPERLINK("https://www.biovista.com/db/link/%5B%5B%22Disease%7CGlutaric%20aciduria%201%22%5D,%20%5B%22Pathway%7Csignal%20transduction%22%5D%5D?strength-weight-map=%257B%2522MEDLINE_STRENGTH_AB%2522:1.0,%2522HPO%2522:100.0%257D", "Show Evidence...")</f>
        <v>Show Evidence...</v>
      </c>
    </row>
    <row r="732" spans="1:10" ht="12.75">
      <c r="A732" s="2" t="s">
        <v>50</v>
      </c>
      <c r="B732" s="2" t="s">
        <v>920</v>
      </c>
      <c r="C732" s="2" t="s">
        <v>24</v>
      </c>
      <c r="D732" s="2" t="s">
        <v>921</v>
      </c>
      <c r="E732" s="2" t="s">
        <v>704</v>
      </c>
      <c r="F732" s="11" t="s">
        <v>803</v>
      </c>
      <c r="G732" t="s">
        <v>37</v>
      </c>
      <c r="H732" t="s">
        <v>804</v>
      </c>
      <c r="I732" t="s">
        <v>943</v>
      </c>
      <c r="J732" s="6" t="str">
        <f>HYPERLINK("https://www.biovista.com/db/link/%5B%5B%22Disease%7CGlutaric%20aciduria%201%22%5D,%20%5B%22Pathway%7Ccell%20cycle%22%5D%5D?strength-weight-map=%257B%2522MEDLINE_STRENGTH_AB%2522:1.0,%2522HPO%2522:100.0%257D", "Show Evidence...")</f>
        <v>Show Evidence...</v>
      </c>
    </row>
    <row r="733" spans="1:10" ht="12.75">
      <c r="A733" s="2" t="s">
        <v>50</v>
      </c>
      <c r="B733" s="2" t="s">
        <v>920</v>
      </c>
      <c r="C733" s="2" t="s">
        <v>24</v>
      </c>
      <c r="D733" s="2" t="s">
        <v>921</v>
      </c>
      <c r="E733" s="2" t="s">
        <v>704</v>
      </c>
      <c r="F733" s="11" t="s">
        <v>811</v>
      </c>
      <c r="G733" t="s">
        <v>37</v>
      </c>
      <c r="H733" t="s">
        <v>812</v>
      </c>
      <c r="I733" t="s">
        <v>943</v>
      </c>
      <c r="J733" s="6" t="str">
        <f>HYPERLINK("https://www.biovista.com/db/link/%5B%5B%22Disease%7CGlutaric%20aciduria%201%22%5D,%20%5B%22Pathway%7Ctricarboxylic%20acid%20cycle%22%5D%5D?strength-weight-map=%257B%2522MEDLINE_STRENGTH_AB%2522:1.0,%2522HPO%2522:100.0%257D", "Show Evidence...")</f>
        <v>Show Evidence...</v>
      </c>
    </row>
    <row r="734" spans="1:10" ht="12.75">
      <c r="A734" s="2" t="s">
        <v>50</v>
      </c>
      <c r="B734" s="2" t="s">
        <v>920</v>
      </c>
      <c r="C734" s="2" t="s">
        <v>24</v>
      </c>
      <c r="D734" s="2" t="s">
        <v>921</v>
      </c>
      <c r="E734" s="2" t="s">
        <v>704</v>
      </c>
      <c r="F734" s="11" t="s">
        <v>1493</v>
      </c>
      <c r="G734" t="s">
        <v>37</v>
      </c>
      <c r="H734" t="s">
        <v>1494</v>
      </c>
      <c r="I734" t="s">
        <v>943</v>
      </c>
      <c r="J734" s="6" t="str">
        <f>HYPERLINK("https://www.biovista.com/db/link/%5B%5B%22Disease%7CGlutaric%20aciduria%201%22%5D,%20%5B%22Pathway%7Ctryptophan%20catabolic%20process%22%5D%5D?strength-weight-map=%257B%2522MEDLINE_STRENGTH_AB%2522:1.0,%2522HPO%2522:100.0%257D", "Show Evidence...")</f>
        <v>Show Evidence...</v>
      </c>
    </row>
    <row r="735" spans="1:10" ht="12.75">
      <c r="A735" s="2" t="s">
        <v>50</v>
      </c>
      <c r="B735" s="2" t="s">
        <v>920</v>
      </c>
      <c r="C735" s="2" t="s">
        <v>24</v>
      </c>
      <c r="D735" s="2" t="s">
        <v>921</v>
      </c>
      <c r="E735" s="2" t="s">
        <v>704</v>
      </c>
      <c r="F735" s="11" t="s">
        <v>733</v>
      </c>
      <c r="G735" t="s">
        <v>37</v>
      </c>
      <c r="H735" t="s">
        <v>734</v>
      </c>
      <c r="I735" t="s">
        <v>946</v>
      </c>
      <c r="J735" s="6" t="str">
        <f>HYPERLINK("https://www.biovista.com/db/link/%5B%5B%22Disease%7CGlutaric%20aciduria%201%22%5D,%20%5B%22Pathway%7Ccellular%20respiration%22%5D%5D?strength-weight-map=%257B%2522MEDLINE_STRENGTH_AB%2522:1.0,%2522HPO%2522:100.0%257D", "Show Evidence...")</f>
        <v>Show Evidence...</v>
      </c>
    </row>
    <row r="736" spans="1:10" ht="12.75">
      <c r="A736" s="2" t="s">
        <v>50</v>
      </c>
      <c r="B736" s="2" t="s">
        <v>920</v>
      </c>
      <c r="C736" s="2" t="s">
        <v>24</v>
      </c>
      <c r="D736" s="2" t="s">
        <v>921</v>
      </c>
      <c r="E736" s="2" t="s">
        <v>704</v>
      </c>
      <c r="F736" s="11" t="s">
        <v>890</v>
      </c>
      <c r="G736" t="s">
        <v>37</v>
      </c>
      <c r="H736" t="s">
        <v>891</v>
      </c>
      <c r="I736" t="s">
        <v>946</v>
      </c>
      <c r="J736" s="6" t="str">
        <f>HYPERLINK("https://www.biovista.com/db/link/%5B%5B%22Disease%7CGlutaric%20aciduria%201%22%5D,%20%5B%22Pathway%7Cembryo%20development%22%5D%5D?strength-weight-map=%257B%2522MEDLINE_STRENGTH_AB%2522:1.0,%2522HPO%2522:100.0%257D", "Show Evidence...")</f>
        <v>Show Evidence...</v>
      </c>
    </row>
    <row r="737" spans="1:10" ht="12.75">
      <c r="A737" s="2" t="s">
        <v>50</v>
      </c>
      <c r="B737" s="2" t="s">
        <v>920</v>
      </c>
      <c r="C737" s="2" t="s">
        <v>24</v>
      </c>
      <c r="D737" s="2" t="s">
        <v>921</v>
      </c>
      <c r="E737" s="2" t="s">
        <v>704</v>
      </c>
      <c r="F737" s="11" t="s">
        <v>854</v>
      </c>
      <c r="G737" t="s">
        <v>37</v>
      </c>
      <c r="H737" t="s">
        <v>855</v>
      </c>
      <c r="I737" t="s">
        <v>946</v>
      </c>
      <c r="J737" s="6" t="str">
        <f>HYPERLINK("https://www.biovista.com/db/link/%5B%5B%22Disease%7CGlutaric%20aciduria%201%22%5D,%20%5B%22Pathway%7Cfermentation%22%5D%5D?strength-weight-map=%257B%2522MEDLINE_STRENGTH_AB%2522:1.0,%2522HPO%2522:100.0%257D", "Show Evidence...")</f>
        <v>Show Evidence...</v>
      </c>
    </row>
    <row r="738" spans="1:10" ht="12.75">
      <c r="A738" s="2" t="s">
        <v>50</v>
      </c>
      <c r="B738" s="2" t="s">
        <v>920</v>
      </c>
      <c r="C738" s="2" t="s">
        <v>24</v>
      </c>
      <c r="D738" s="2" t="s">
        <v>921</v>
      </c>
      <c r="E738" s="2" t="s">
        <v>704</v>
      </c>
      <c r="F738" s="11" t="s">
        <v>799</v>
      </c>
      <c r="G738" t="s">
        <v>37</v>
      </c>
      <c r="H738" t="s">
        <v>800</v>
      </c>
      <c r="I738" t="s">
        <v>946</v>
      </c>
      <c r="J738" s="6" t="str">
        <f>HYPERLINK("https://www.biovista.com/db/link/%5B%5B%22Disease%7CGlutaric%20aciduria%201%22%5D,%20%5B%22Pathway%7Clipid%20metabolic%20process%22%5D%5D?strength-weight-map=%257B%2522MEDLINE_STRENGTH_AB%2522:1.0,%2522HPO%2522:100.0%257D", "Show Evidence...")</f>
        <v>Show Evidence...</v>
      </c>
    </row>
    <row r="739" spans="1:10" ht="12.75">
      <c r="A739" s="2" t="s">
        <v>50</v>
      </c>
      <c r="B739" s="2" t="s">
        <v>920</v>
      </c>
      <c r="C739" s="2" t="s">
        <v>24</v>
      </c>
      <c r="D739" s="2" t="s">
        <v>921</v>
      </c>
      <c r="E739" s="2" t="s">
        <v>704</v>
      </c>
      <c r="F739" s="11" t="s">
        <v>1495</v>
      </c>
      <c r="G739" t="s">
        <v>37</v>
      </c>
      <c r="H739" t="s">
        <v>1496</v>
      </c>
      <c r="I739" t="s">
        <v>946</v>
      </c>
      <c r="J739" s="6" t="str">
        <f>HYPERLINK("https://www.biovista.com/db/link/%5B%5B%22Disease%7CGlutaric%20aciduria%201%22%5D,%20%5B%22Pathway%7Clysine%20metabolic%20process%22%5D%5D?strength-weight-map=%257B%2522MEDLINE_STRENGTH_AB%2522:1.0,%2522HPO%2522:100.0%257D", "Show Evidence...")</f>
        <v>Show Evidence...</v>
      </c>
    </row>
    <row r="740" spans="1:10" ht="12.75">
      <c r="A740" s="2" t="s">
        <v>50</v>
      </c>
      <c r="B740" s="2" t="s">
        <v>920</v>
      </c>
      <c r="C740" s="2" t="s">
        <v>24</v>
      </c>
      <c r="D740" s="2" t="s">
        <v>921</v>
      </c>
      <c r="E740" s="2" t="s">
        <v>704</v>
      </c>
      <c r="F740" s="11" t="s">
        <v>870</v>
      </c>
      <c r="G740" t="s">
        <v>37</v>
      </c>
      <c r="H740" t="s">
        <v>871</v>
      </c>
      <c r="I740" t="s">
        <v>946</v>
      </c>
      <c r="J740" s="6" t="str">
        <f>HYPERLINK("https://www.biovista.com/db/link/%5B%5B%22Disease%7CGlutaric%20aciduria%201%22%5D,%20%5B%22Pathway%7Cphotosynthesis%22%5D%5D?strength-weight-map=%257B%2522MEDLINE_STRENGTH_AB%2522:1.0,%2522HPO%2522:100.0%257D", "Show Evidence...")</f>
        <v>Show Evidence...</v>
      </c>
    </row>
    <row r="741" spans="1:10" ht="12.75">
      <c r="A741" s="2" t="s">
        <v>50</v>
      </c>
      <c r="B741" s="2" t="s">
        <v>920</v>
      </c>
      <c r="C741" s="2" t="s">
        <v>24</v>
      </c>
      <c r="D741" s="2" t="s">
        <v>921</v>
      </c>
      <c r="E741" s="2" t="s">
        <v>704</v>
      </c>
      <c r="F741" s="11" t="s">
        <v>723</v>
      </c>
      <c r="G741" t="s">
        <v>37</v>
      </c>
      <c r="H741" t="s">
        <v>724</v>
      </c>
      <c r="I741" t="s">
        <v>946</v>
      </c>
      <c r="J741" s="6" t="str">
        <f>HYPERLINK("https://www.biovista.com/db/link/%5B%5B%22Disease%7CGlutaric%20aciduria%201%22%5D,%20%5B%22Pathway%7Ctranslation%22%5D%5D?strength-weight-map=%257B%2522MEDLINE_STRENGTH_AB%2522:1.0,%2522HPO%2522:100.0%257D", "Show Evidence...")</f>
        <v>Show Evidence...</v>
      </c>
    </row>
    <row r="742" spans="1:10" ht="12.75">
      <c r="A742" s="2" t="s">
        <v>50</v>
      </c>
      <c r="B742" s="2" t="s">
        <v>920</v>
      </c>
      <c r="C742" s="2" t="s">
        <v>24</v>
      </c>
      <c r="D742" s="2" t="s">
        <v>921</v>
      </c>
      <c r="E742" s="2" t="s">
        <v>704</v>
      </c>
      <c r="F742" s="11" t="s">
        <v>777</v>
      </c>
      <c r="G742" t="s">
        <v>37</v>
      </c>
      <c r="H742" t="s">
        <v>778</v>
      </c>
      <c r="I742" t="s">
        <v>949</v>
      </c>
      <c r="J742" s="6" t="str">
        <f>HYPERLINK("https://www.biovista.com/db/link/%5B%5B%22Disease%7CGlutaric%20aciduria%201%22%5D,%20%5B%22Pathway%7Cimmune%20response%22%5D%5D?strength-weight-map=%257B%2522MEDLINE_STRENGTH_AB%2522:1.0,%2522HPO%2522:100.0%257D", "Show Evidence...")</f>
        <v>Show Evidence...</v>
      </c>
    </row>
    <row r="743" spans="1:10" ht="12.75">
      <c r="A743" s="2" t="s">
        <v>50</v>
      </c>
      <c r="B743" s="2" t="s">
        <v>920</v>
      </c>
      <c r="C743" s="2" t="s">
        <v>24</v>
      </c>
      <c r="D743" s="2" t="s">
        <v>921</v>
      </c>
      <c r="E743" s="2" t="s">
        <v>704</v>
      </c>
      <c r="F743" s="11" t="s">
        <v>771</v>
      </c>
      <c r="G743" t="s">
        <v>37</v>
      </c>
      <c r="H743" t="s">
        <v>772</v>
      </c>
      <c r="I743" t="s">
        <v>949</v>
      </c>
      <c r="J743" s="6" t="str">
        <f>HYPERLINK("https://www.biovista.com/db/link/%5B%5B%22Disease%7CGlutaric%20aciduria%201%22%5D,%20%5B%22Pathway%7Cpollination%22%5D%5D?strength-weight-map=%257B%2522MEDLINE_STRENGTH_AB%2522:1.0,%2522HPO%2522:100.0%257D", "Show Evidence...")</f>
        <v>Show Evidence...</v>
      </c>
    </row>
    <row r="744" spans="1:10" ht="12.75">
      <c r="A744" s="2" t="s">
        <v>50</v>
      </c>
      <c r="B744" s="2" t="s">
        <v>920</v>
      </c>
      <c r="C744" s="2" t="s">
        <v>24</v>
      </c>
      <c r="D744" s="2" t="s">
        <v>921</v>
      </c>
      <c r="E744" s="2" t="s">
        <v>704</v>
      </c>
      <c r="F744" s="11" t="s">
        <v>827</v>
      </c>
      <c r="G744" t="s">
        <v>37</v>
      </c>
      <c r="H744" t="s">
        <v>828</v>
      </c>
      <c r="I744" t="s">
        <v>949</v>
      </c>
      <c r="J744" s="6" t="s">
        <v>1497</v>
      </c>
    </row>
    <row r="745" spans="1:10" ht="12.75">
      <c r="A745" s="2" t="s">
        <v>50</v>
      </c>
      <c r="B745" s="2" t="s">
        <v>920</v>
      </c>
      <c r="C745" s="2" t="s">
        <v>24</v>
      </c>
      <c r="D745" s="2" t="s">
        <v>921</v>
      </c>
      <c r="E745" s="2" t="s">
        <v>704</v>
      </c>
      <c r="F745" s="11" t="s">
        <v>1498</v>
      </c>
      <c r="G745" t="s">
        <v>37</v>
      </c>
      <c r="H745" t="s">
        <v>1499</v>
      </c>
      <c r="I745" t="s">
        <v>949</v>
      </c>
      <c r="J745" s="6" t="str">
        <f>HYPERLINK("https://www.biovista.com/db/link/%5B%5B%22Disease%7CGlutaric%20aciduria%201%22%5D,%20%5B%22Pathway%7Cunidimensional%20cell%20growth%22%5D%5D?strength-weight-map=%257B%2522MEDLINE_STRENGTH_AB%2522:1.0,%2522HPO%2522:100.0%257D", "Show Evidence...")</f>
        <v>Show Evidence...</v>
      </c>
    </row>
    <row r="746" spans="1:10" ht="12.75">
      <c r="A746" s="2" t="s">
        <v>50</v>
      </c>
      <c r="B746" s="2" t="s">
        <v>920</v>
      </c>
      <c r="C746" s="2" t="s">
        <v>24</v>
      </c>
      <c r="D746" s="2" t="s">
        <v>921</v>
      </c>
      <c r="E746" s="2" t="s">
        <v>704</v>
      </c>
      <c r="F746" s="11" t="s">
        <v>1500</v>
      </c>
      <c r="G746" t="s">
        <v>37</v>
      </c>
      <c r="H746" t="s">
        <v>1501</v>
      </c>
      <c r="I746" t="s">
        <v>952</v>
      </c>
      <c r="J746" s="6" t="str">
        <f>HYPERLINK("https://www.biovista.com/db/link/%5B%5B%22Disease%7CGlutaric%20aciduria%201%22%5D,%20%5B%22Pathway%7Cbud%20dormancy%20process%22%5D%5D?strength-weight-map=%257B%2522MEDLINE_STRENGTH_AB%2522:1.0,%2522HPO%2522:100.0%257D", "Show Evidence...")</f>
        <v>Show Evidence...</v>
      </c>
    </row>
    <row r="747" spans="1:10" ht="12.75">
      <c r="A747" s="2" t="s">
        <v>50</v>
      </c>
      <c r="B747" s="2" t="s">
        <v>920</v>
      </c>
      <c r="C747" s="2" t="s">
        <v>24</v>
      </c>
      <c r="D747" s="2" t="s">
        <v>921</v>
      </c>
      <c r="E747" s="2" t="s">
        <v>704</v>
      </c>
      <c r="F747" s="11" t="s">
        <v>753</v>
      </c>
      <c r="G747" t="s">
        <v>37</v>
      </c>
      <c r="H747" t="s">
        <v>754</v>
      </c>
      <c r="I747" t="s">
        <v>952</v>
      </c>
      <c r="J747" s="6" t="str">
        <f>HYPERLINK("https://www.biovista.com/db/link/%5B%5B%22Disease%7CGlutaric%20aciduria%201%22%5D,%20%5B%22Pathway%7Ccell%20differentiation%22%5D%5D?strength-weight-map=%257B%2522MEDLINE_STRENGTH_AB%2522:1.0,%2522HPO%2522:100.0%257D", "Show Evidence...")</f>
        <v>Show Evidence...</v>
      </c>
    </row>
    <row r="748" spans="1:10" ht="12.75">
      <c r="A748" s="2" t="s">
        <v>50</v>
      </c>
      <c r="B748" s="2" t="s">
        <v>920</v>
      </c>
      <c r="C748" s="2" t="s">
        <v>24</v>
      </c>
      <c r="D748" s="2" t="s">
        <v>921</v>
      </c>
      <c r="E748" s="2" t="s">
        <v>704</v>
      </c>
      <c r="F748" s="11" t="s">
        <v>1502</v>
      </c>
      <c r="G748" t="s">
        <v>37</v>
      </c>
      <c r="H748" t="s">
        <v>1503</v>
      </c>
      <c r="I748" t="s">
        <v>952</v>
      </c>
      <c r="J748" s="6" t="str">
        <f>HYPERLINK("https://www.biovista.com/db/link/%5B%5B%22Disease%7CGlutaric%20aciduria%201%22%5D,%20%5B%22Pathway%7Cdetoxification%22%5D%5D?strength-weight-map=%257B%2522MEDLINE_STRENGTH_AB%2522:1.0,%2522HPO%2522:100.0%257D", "Show Evidence...")</f>
        <v>Show Evidence...</v>
      </c>
    </row>
    <row r="749" spans="1:10" ht="12.75">
      <c r="A749" s="2" t="s">
        <v>50</v>
      </c>
      <c r="B749" s="2" t="s">
        <v>920</v>
      </c>
      <c r="C749" s="2" t="s">
        <v>24</v>
      </c>
      <c r="D749" s="2" t="s">
        <v>921</v>
      </c>
      <c r="E749" s="2" t="s">
        <v>704</v>
      </c>
      <c r="F749" s="11" t="s">
        <v>1504</v>
      </c>
      <c r="G749" t="s">
        <v>37</v>
      </c>
      <c r="H749" t="s">
        <v>1505</v>
      </c>
      <c r="I749" t="s">
        <v>952</v>
      </c>
      <c r="J749" s="6" t="str">
        <f>HYPERLINK("https://www.biovista.com/db/link/%5B%5B%22Disease%7CGlutaric%20aciduria%201%22%5D,%20%5B%22Pathway%7Cfucosylation%22%5D%5D?strength-weight-map=%257B%2522MEDLINE_STRENGTH_AB%2522:1.0,%2522HPO%2522:100.0%257D", "Show Evidence...")</f>
        <v>Show Evidence...</v>
      </c>
    </row>
    <row r="750" spans="1:10" ht="12.75">
      <c r="A750" s="2" t="s">
        <v>50</v>
      </c>
      <c r="B750" s="2" t="s">
        <v>920</v>
      </c>
      <c r="C750" s="2" t="s">
        <v>24</v>
      </c>
      <c r="D750" s="2" t="s">
        <v>921</v>
      </c>
      <c r="E750" s="2" t="s">
        <v>704</v>
      </c>
      <c r="F750" s="11" t="s">
        <v>1506</v>
      </c>
      <c r="G750" t="s">
        <v>37</v>
      </c>
      <c r="H750" t="s">
        <v>1507</v>
      </c>
      <c r="I750" t="s">
        <v>952</v>
      </c>
      <c r="J750" s="6" t="str">
        <f>HYPERLINK("https://www.biovista.com/db/link/%5B%5B%22Disease%7CGlutaric%20aciduria%201%22%5D,%20%5B%22Pathway%7Cganglioside%20biosynthetic%20process%22%5D%5D?strength-weight-map=%257B%2522MEDLINE_STRENGTH_AB%2522:1.0,%2522HPO%2522:100.0%257D", "Show Evidence...")</f>
        <v>Show Evidence...</v>
      </c>
    </row>
    <row r="751" spans="1:10" ht="12.75">
      <c r="A751" s="2" t="s">
        <v>50</v>
      </c>
      <c r="B751" s="2" t="s">
        <v>920</v>
      </c>
      <c r="C751" s="2" t="s">
        <v>24</v>
      </c>
      <c r="D751" s="2" t="s">
        <v>921</v>
      </c>
      <c r="E751" s="2" t="s">
        <v>704</v>
      </c>
      <c r="F751" s="11" t="s">
        <v>1508</v>
      </c>
      <c r="G751" t="s">
        <v>37</v>
      </c>
      <c r="H751" t="s">
        <v>1509</v>
      </c>
      <c r="I751" t="s">
        <v>952</v>
      </c>
      <c r="J751" s="6" t="str">
        <f>HYPERLINK("https://www.biovista.com/db/link/%5B%5B%22Disease%7CGlutaric%20aciduria%201%22%5D,%20%5B%22Pathway%7Chormone%20metabolic%20process%22%5D%5D?strength-weight-map=%257B%2522MEDLINE_STRENGTH_AB%2522:1.0,%2522HPO%2522:100.0%257D", "Show Evidence...")</f>
        <v>Show Evidence...</v>
      </c>
    </row>
    <row r="752" spans="1:10" ht="12.75">
      <c r="A752" s="2" t="s">
        <v>50</v>
      </c>
      <c r="B752" s="2" t="s">
        <v>920</v>
      </c>
      <c r="C752" s="2" t="s">
        <v>24</v>
      </c>
      <c r="D752" s="2" t="s">
        <v>921</v>
      </c>
      <c r="E752" s="2" t="s">
        <v>717</v>
      </c>
      <c r="F752" s="11" t="s">
        <v>1510</v>
      </c>
      <c r="G752" t="s">
        <v>37</v>
      </c>
      <c r="H752" t="s">
        <v>1511</v>
      </c>
      <c r="I752" t="s">
        <v>952</v>
      </c>
      <c r="J752" s="6" t="str">
        <f>HYPERLINK("https://www.biovista.com/db/link/%5B%5B%22Disease%7CGlutaric%20aciduria%201%22%5D,%20%5B%22Pathway%7Cneuroprotection%22%5D%5D?strength-weight-map=%257B%2522MEDLINE_STRENGTH_AB%2522:1.0,%2522HPO%2522:100.0%257D", "Show Evidence...")</f>
        <v>Show Evidence...</v>
      </c>
    </row>
    <row r="753" spans="1:10" ht="12.75">
      <c r="A753" s="2" t="s">
        <v>50</v>
      </c>
      <c r="B753" s="2" t="s">
        <v>920</v>
      </c>
      <c r="C753" s="2" t="s">
        <v>24</v>
      </c>
      <c r="D753" s="2" t="s">
        <v>921</v>
      </c>
      <c r="E753" s="2" t="s">
        <v>704</v>
      </c>
      <c r="F753" s="11" t="s">
        <v>775</v>
      </c>
      <c r="G753" t="s">
        <v>37</v>
      </c>
      <c r="H753" t="s">
        <v>776</v>
      </c>
      <c r="I753" t="s">
        <v>952</v>
      </c>
      <c r="J753" s="6" t="str">
        <f>HYPERLINK("https://www.biovista.com/db/link/%5B%5B%22Disease%7CGlutaric%20aciduria%201%22%5D,%20%5B%22Pathway%7Coxidative%20phosphorylation%22%5D%5D?strength-weight-map=%257B%2522MEDLINE_STRENGTH_AB%2522:1.0,%2522HPO%2522:100.0%257D", "Show Evidence...")</f>
        <v>Show Evidence...</v>
      </c>
    </row>
    <row r="754" spans="1:10" ht="12.75">
      <c r="A754" s="2" t="s">
        <v>50</v>
      </c>
      <c r="B754" s="2" t="s">
        <v>920</v>
      </c>
      <c r="C754" s="2" t="s">
        <v>24</v>
      </c>
      <c r="D754" s="2" t="s">
        <v>921</v>
      </c>
      <c r="E754" s="2" t="s">
        <v>704</v>
      </c>
      <c r="F754" s="11" t="s">
        <v>1512</v>
      </c>
      <c r="G754" t="s">
        <v>37</v>
      </c>
      <c r="H754" t="s">
        <v>1513</v>
      </c>
      <c r="I754" t="s">
        <v>952</v>
      </c>
      <c r="J754" s="6" t="str">
        <f>HYPERLINK("https://www.biovista.com/db/link/%5B%5B%22Disease%7CGlutaric%20aciduria%201%22%5D,%20%5B%22Pathway%7Cseed%20development%22%5D%5D?strength-weight-map=%257B%2522MEDLINE_STRENGTH_AB%2522:1.0,%2522HPO%2522:100.0%257D", "Show Evidence...")</f>
        <v>Show Evidence...</v>
      </c>
    </row>
    <row r="755" spans="1:10" ht="12.75">
      <c r="A755" s="2" t="s">
        <v>50</v>
      </c>
      <c r="B755" s="2" t="s">
        <v>920</v>
      </c>
      <c r="C755" s="2" t="s">
        <v>24</v>
      </c>
      <c r="D755" s="2" t="s">
        <v>921</v>
      </c>
      <c r="E755" s="2" t="s">
        <v>704</v>
      </c>
      <c r="F755" s="11" t="s">
        <v>1514</v>
      </c>
      <c r="G755" t="s">
        <v>37</v>
      </c>
      <c r="H755" t="s">
        <v>1515</v>
      </c>
      <c r="I755" t="s">
        <v>952</v>
      </c>
      <c r="J755" s="6" t="str">
        <f>HYPERLINK("https://www.biovista.com/db/link/%5B%5B%22Disease%7CGlutaric%20aciduria%201%22%5D,%20%5B%22Pathway%7Cseed%20maturation%22%5D%5D?strength-weight-map=%257B%2522MEDLINE_STRENGTH_AB%2522:1.0,%2522HPO%2522:100.0%257D", "Show Evidence...")</f>
        <v>Show Evidence...</v>
      </c>
    </row>
    <row r="756" spans="1:10" ht="12.75">
      <c r="A756" s="2" t="s">
        <v>50</v>
      </c>
      <c r="B756" s="2" t="s">
        <v>920</v>
      </c>
      <c r="C756" s="2" t="s">
        <v>24</v>
      </c>
      <c r="D756" s="2" t="s">
        <v>921</v>
      </c>
      <c r="E756" s="2" t="s">
        <v>717</v>
      </c>
      <c r="F756" s="11" t="s">
        <v>1516</v>
      </c>
      <c r="G756" t="s">
        <v>37</v>
      </c>
      <c r="H756" t="s">
        <v>1517</v>
      </c>
      <c r="I756" t="s">
        <v>952</v>
      </c>
      <c r="J756" s="6" t="str">
        <f>HYPERLINK("https://www.biovista.com/db/link/%5B%5B%22Disease%7CGlutaric%20aciduria%201%22%5D,%20%5B%22Pathway%7Csenescence%22%5D%5D?strength-weight-map=%257B%2522MEDLINE_STRENGTH_AB%2522:1.0,%2522HPO%2522:100.0%257D", "Show Evidence...")</f>
        <v>Show Evidence...</v>
      </c>
    </row>
    <row r="757" spans="1:10" ht="12.75">
      <c r="A757" s="2" t="s">
        <v>50</v>
      </c>
      <c r="B757" s="2" t="s">
        <v>920</v>
      </c>
      <c r="C757" s="2" t="s">
        <v>24</v>
      </c>
      <c r="D757" s="2" t="s">
        <v>921</v>
      </c>
      <c r="E757" s="2" t="s">
        <v>704</v>
      </c>
      <c r="F757" s="11" t="s">
        <v>1518</v>
      </c>
      <c r="G757" t="s">
        <v>37</v>
      </c>
      <c r="H757" t="s">
        <v>1519</v>
      </c>
      <c r="I757" t="s">
        <v>952</v>
      </c>
      <c r="J757" s="6" t="str">
        <f>HYPERLINK("https://www.biovista.com/db/link/%5B%5B%22Disease%7CGlutaric%20aciduria%201%22%5D,%20%5B%22Pathway%7Curea%20cycle%22%5D%5D?strength-weight-map=%257B%2522MEDLINE_STRENGTH_AB%2522:1.0,%2522HPO%2522:100.0%257D", "Show Evidence...")</f>
        <v>Show Evidence...</v>
      </c>
    </row>
    <row r="758" spans="1:10" ht="12.75">
      <c r="A758" s="2" t="s">
        <v>50</v>
      </c>
      <c r="B758" s="2" t="s">
        <v>920</v>
      </c>
      <c r="C758" s="2" t="s">
        <v>24</v>
      </c>
      <c r="D758" s="2" t="s">
        <v>921</v>
      </c>
      <c r="E758" s="2" t="s">
        <v>704</v>
      </c>
      <c r="F758" s="11" t="s">
        <v>908</v>
      </c>
      <c r="G758" t="s">
        <v>37</v>
      </c>
      <c r="H758" t="s">
        <v>909</v>
      </c>
      <c r="I758" t="s">
        <v>959</v>
      </c>
      <c r="J758" s="6" t="str">
        <f>HYPERLINK("https://www.biovista.com/db/link/%5B%5B%22Disease%7CGlutaric%20aciduria%201%22%5D,%20%5B%22Pathway%7Ccell%20growth%22%5D%5D?strength-weight-map=%257B%2522MEDLINE_STRENGTH_AB%2522:1.0,%2522HPO%2522:100.0%257D", "Show Evidence...")</f>
        <v>Show Evidence...</v>
      </c>
    </row>
    <row r="759" spans="1:10" ht="12.75">
      <c r="A759" s="2" t="s">
        <v>50</v>
      </c>
      <c r="B759" s="2" t="s">
        <v>920</v>
      </c>
      <c r="C759" s="2" t="s">
        <v>24</v>
      </c>
      <c r="D759" s="2" t="s">
        <v>921</v>
      </c>
      <c r="E759" s="2" t="s">
        <v>704</v>
      </c>
      <c r="F759" s="11" t="s">
        <v>839</v>
      </c>
      <c r="G759" t="s">
        <v>37</v>
      </c>
      <c r="H759" t="s">
        <v>840</v>
      </c>
      <c r="I759" t="s">
        <v>959</v>
      </c>
      <c r="J759" s="6" t="str">
        <f>HYPERLINK("https://www.biovista.com/db/link/%5B%5B%22Disease%7CGlutaric%20aciduria%201%22%5D,%20%5B%22Pathway%7Ccell%20motility%22%5D%5D?strength-weight-map=%257B%2522MEDLINE_STRENGTH_AB%2522:1.0,%2522HPO%2522:100.0%257D", "Show Evidence...")</f>
        <v>Show Evidence...</v>
      </c>
    </row>
    <row r="760" spans="1:10" ht="12.75">
      <c r="A760" s="2" t="s">
        <v>50</v>
      </c>
      <c r="B760" s="2" t="s">
        <v>920</v>
      </c>
      <c r="C760" s="2" t="s">
        <v>24</v>
      </c>
      <c r="D760" s="2" t="s">
        <v>921</v>
      </c>
      <c r="E760" s="2" t="s">
        <v>704</v>
      </c>
      <c r="F760" s="11" t="s">
        <v>1520</v>
      </c>
      <c r="G760" t="s">
        <v>37</v>
      </c>
      <c r="H760" t="s">
        <v>1521</v>
      </c>
      <c r="I760" t="s">
        <v>959</v>
      </c>
      <c r="J760" s="6" t="str">
        <f>HYPERLINK("https://www.biovista.com/db/link/%5B%5B%22Disease%7CGlutaric%20aciduria%201%22%5D,%20%5B%22Pathway%7Cexport%20across%20plasma%20membrane%22%5D%5D?strength-weight-map=%257B%2522MEDLINE_STRENGTH_AB%2522:1.0,%2522HPO%2522:100.0%257D", "Show Evidence...")</f>
        <v>Show Evidence...</v>
      </c>
    </row>
    <row r="761" spans="1:10" ht="12.75">
      <c r="A761" s="2" t="s">
        <v>50</v>
      </c>
      <c r="B761" s="2" t="s">
        <v>920</v>
      </c>
      <c r="C761" s="2" t="s">
        <v>24</v>
      </c>
      <c r="D761" s="2" t="s">
        <v>921</v>
      </c>
      <c r="E761" s="2" t="s">
        <v>704</v>
      </c>
      <c r="F761" s="11" t="s">
        <v>1522</v>
      </c>
      <c r="G761" t="s">
        <v>37</v>
      </c>
      <c r="H761" t="s">
        <v>1523</v>
      </c>
      <c r="I761" t="s">
        <v>959</v>
      </c>
      <c r="J761" s="6" t="str">
        <f>HYPERLINK("https://www.biovista.com/db/link/%5B%5B%22Disease%7CGlutaric%20aciduria%201%22%5D,%20%5B%22Pathway%7Cfatty%20acid%20metabolic%20process%22%5D%5D?strength-weight-map=%257B%2522MEDLINE_STRENGTH_AB%2522:1.0,%2522HPO%2522:100.0%257D", "Show Evidence...")</f>
        <v>Show Evidence...</v>
      </c>
    </row>
    <row r="762" spans="1:10" ht="12.75">
      <c r="A762" s="2" t="s">
        <v>50</v>
      </c>
      <c r="B762" s="2" t="s">
        <v>920</v>
      </c>
      <c r="C762" s="2" t="s">
        <v>24</v>
      </c>
      <c r="D762" s="2" t="s">
        <v>921</v>
      </c>
      <c r="E762" s="2" t="s">
        <v>704</v>
      </c>
      <c r="F762" s="11" t="s">
        <v>821</v>
      </c>
      <c r="G762" t="s">
        <v>37</v>
      </c>
      <c r="H762" t="s">
        <v>822</v>
      </c>
      <c r="I762" t="s">
        <v>959</v>
      </c>
      <c r="J762" s="6" t="str">
        <f>HYPERLINK("https://www.biovista.com/db/link/%5B%5B%22Disease%7CGlutaric%20aciduria%201%22%5D,%20%5B%22Pathway%7Cfemale%20pregnancy%22%5D%5D?strength-weight-map=%257B%2522MEDLINE_STRENGTH_AB%2522:1.0,%2522HPO%2522:100.0%257D", "Show Evidence...")</f>
        <v>Show Evidence...</v>
      </c>
    </row>
    <row r="763" spans="1:10" ht="12.75">
      <c r="A763" s="2" t="s">
        <v>50</v>
      </c>
      <c r="B763" s="2" t="s">
        <v>920</v>
      </c>
      <c r="C763" s="2" t="s">
        <v>24</v>
      </c>
      <c r="D763" s="2" t="s">
        <v>921</v>
      </c>
      <c r="E763" s="2" t="s">
        <v>704</v>
      </c>
      <c r="F763" s="11" t="s">
        <v>843</v>
      </c>
      <c r="G763" t="s">
        <v>37</v>
      </c>
      <c r="H763" t="s">
        <v>844</v>
      </c>
      <c r="I763" t="s">
        <v>959</v>
      </c>
      <c r="J763" s="6" t="str">
        <f>HYPERLINK("https://www.biovista.com/db/link/%5B%5B%22Disease%7CGlutaric%20aciduria%201%22%5D,%20%5B%22Pathway%7Cflower%20development%22%5D%5D?strength-weight-map=%257B%2522MEDLINE_STRENGTH_AB%2522:1.0,%2522HPO%2522:100.0%257D", "Show Evidence...")</f>
        <v>Show Evidence...</v>
      </c>
    </row>
    <row r="764" spans="1:10" ht="12.75">
      <c r="A764" s="2" t="s">
        <v>50</v>
      </c>
      <c r="B764" s="2" t="s">
        <v>920</v>
      </c>
      <c r="C764" s="2" t="s">
        <v>24</v>
      </c>
      <c r="D764" s="2" t="s">
        <v>921</v>
      </c>
      <c r="E764" s="2" t="s">
        <v>704</v>
      </c>
      <c r="F764" s="11" t="s">
        <v>1524</v>
      </c>
      <c r="G764" t="s">
        <v>37</v>
      </c>
      <c r="H764" t="s">
        <v>1525</v>
      </c>
      <c r="I764" t="s">
        <v>959</v>
      </c>
      <c r="J764" s="6" t="str">
        <f>HYPERLINK("https://www.biovista.com/db/link/%5B%5B%22Disease%7CGlutaric%20aciduria%201%22%5D,%20%5B%22Pathway%7Cfruit%20ripening%22%5D%5D?strength-weight-map=%257B%2522MEDLINE_STRENGTH_AB%2522:1.0,%2522HPO%2522:100.0%257D", "Show Evidence...")</f>
        <v>Show Evidence...</v>
      </c>
    </row>
    <row r="765" spans="1:10" ht="12.75">
      <c r="A765" s="2" t="s">
        <v>50</v>
      </c>
      <c r="B765" s="2" t="s">
        <v>920</v>
      </c>
      <c r="C765" s="2" t="s">
        <v>24</v>
      </c>
      <c r="D765" s="2" t="s">
        <v>921</v>
      </c>
      <c r="E765" s="2" t="s">
        <v>704</v>
      </c>
      <c r="F765" s="11" t="s">
        <v>1526</v>
      </c>
      <c r="G765" t="s">
        <v>37</v>
      </c>
      <c r="H765" t="s">
        <v>1527</v>
      </c>
      <c r="I765" t="s">
        <v>959</v>
      </c>
      <c r="J765" s="6" t="str">
        <f>HYPERLINK("https://www.biovista.com/db/link/%5B%5B%22Disease%7CGlutaric%20aciduria%201%22%5D,%20%5B%22Pathway%7Cglycolipid%20biosynthetic%20process%22%5D%5D?strength-weight-map=%257B%2522MEDLINE_STRENGTH_AB%2522:1.0,%2522HPO%2522:100.0%257D", "Show Evidence...")</f>
        <v>Show Evidence...</v>
      </c>
    </row>
    <row r="766" spans="1:10" ht="12.75">
      <c r="A766" s="2" t="s">
        <v>50</v>
      </c>
      <c r="B766" s="2" t="s">
        <v>920</v>
      </c>
      <c r="C766" s="2" t="s">
        <v>24</v>
      </c>
      <c r="D766" s="2" t="s">
        <v>921</v>
      </c>
      <c r="E766" s="2" t="s">
        <v>704</v>
      </c>
      <c r="F766" s="11" t="s">
        <v>1528</v>
      </c>
      <c r="G766" t="s">
        <v>37</v>
      </c>
      <c r="H766" t="s">
        <v>1529</v>
      </c>
      <c r="I766" t="s">
        <v>959</v>
      </c>
      <c r="J766" s="6" t="str">
        <f>HYPERLINK("https://www.biovista.com/db/link/%5B%5B%22Disease%7CGlutaric%20aciduria%201%22%5D,%20%5B%22Pathway%7Chormone%20biosynthetic%20process%22%5D%5D?strength-weight-map=%257B%2522MEDLINE_STRENGTH_AB%2522:1.0,%2522HPO%2522:100.0%257D", "Show Evidence...")</f>
        <v>Show Evidence...</v>
      </c>
    </row>
    <row r="767" spans="1:10" ht="12.75">
      <c r="A767" s="2" t="s">
        <v>50</v>
      </c>
      <c r="B767" s="2" t="s">
        <v>920</v>
      </c>
      <c r="C767" s="2" t="s">
        <v>24</v>
      </c>
      <c r="D767" s="2" t="s">
        <v>921</v>
      </c>
      <c r="E767" s="2" t="s">
        <v>704</v>
      </c>
      <c r="F767" s="11" t="s">
        <v>1530</v>
      </c>
      <c r="G767" t="s">
        <v>37</v>
      </c>
      <c r="H767" t="s">
        <v>1531</v>
      </c>
      <c r="I767" t="s">
        <v>959</v>
      </c>
      <c r="J767" s="6" t="str">
        <f>HYPERLINK("https://www.biovista.com/db/link/%5B%5B%22Disease%7CGlutaric%20aciduria%201%22%5D,%20%5B%22Pathway%7CL-lysine%20catabolic%20process%22%5D%5D?strength-weight-map=%257B%2522MEDLINE_STRENGTH_AB%2522:1.0,%2522HPO%2522:100.0%257D", "Show Evidence...")</f>
        <v>Show Evidence...</v>
      </c>
    </row>
    <row r="768" spans="1:10" ht="12.75">
      <c r="A768" s="2" t="s">
        <v>50</v>
      </c>
      <c r="B768" s="2" t="s">
        <v>920</v>
      </c>
      <c r="C768" s="2" t="s">
        <v>24</v>
      </c>
      <c r="D768" s="2" t="s">
        <v>921</v>
      </c>
      <c r="E768" s="2" t="s">
        <v>704</v>
      </c>
      <c r="F768" s="11" t="s">
        <v>1532</v>
      </c>
      <c r="G768" t="s">
        <v>37</v>
      </c>
      <c r="H768" t="s">
        <v>1533</v>
      </c>
      <c r="I768" t="s">
        <v>959</v>
      </c>
      <c r="J768" s="6" t="str">
        <f>HYPERLINK("https://www.biovista.com/db/link/%5B%5B%22Disease%7CGlutaric%20aciduria%201%22%5D,%20%5B%22Pathway%7Clysine%20transport%22%5D%5D?strength-weight-map=%257B%2522MEDLINE_STRENGTH_AB%2522:1.0,%2522HPO%2522:100.0%257D", "Show Evidence...")</f>
        <v>Show Evidence...</v>
      </c>
    </row>
    <row r="769" spans="1:10" ht="12.75">
      <c r="A769" s="2" t="s">
        <v>50</v>
      </c>
      <c r="B769" s="2" t="s">
        <v>920</v>
      </c>
      <c r="C769" s="2" t="s">
        <v>24</v>
      </c>
      <c r="D769" s="2" t="s">
        <v>921</v>
      </c>
      <c r="E769" s="2" t="s">
        <v>704</v>
      </c>
      <c r="F769" s="11" t="s">
        <v>1534</v>
      </c>
      <c r="G769" t="s">
        <v>37</v>
      </c>
      <c r="H769" t="s">
        <v>1535</v>
      </c>
      <c r="I769" t="s">
        <v>959</v>
      </c>
      <c r="J769" s="6" t="str">
        <f>HYPERLINK("https://www.biovista.com/db/link/%5B%5B%22Disease%7CGlutaric%20aciduria%201%22%5D,%20%5B%22Pathway%7Cpost-translational%20protein%20modification%22%5D%5D?strength-weight-map=%257B%2522MEDLINE_STRENGTH_AB%2522:1.0,%2522HPO%2522:100.0%257D", "Show Evidence...")</f>
        <v>Show Evidence...</v>
      </c>
    </row>
    <row r="770" spans="1:10" ht="12.75">
      <c r="A770" s="2" t="s">
        <v>50</v>
      </c>
      <c r="B770" s="2" t="s">
        <v>920</v>
      </c>
      <c r="C770" s="2" t="s">
        <v>24</v>
      </c>
      <c r="D770" s="2" t="s">
        <v>921</v>
      </c>
      <c r="E770" s="2" t="s">
        <v>704</v>
      </c>
      <c r="F770" s="11" t="s">
        <v>1536</v>
      </c>
      <c r="G770" t="s">
        <v>37</v>
      </c>
      <c r="H770" t="s">
        <v>1537</v>
      </c>
      <c r="I770" t="s">
        <v>959</v>
      </c>
      <c r="J770" s="6" t="str">
        <f>HYPERLINK("https://www.biovista.com/db/link/%5B%5B%22Disease%7CGlutaric%20aciduria%201%22%5D,%20%5B%22Pathway%7Cprotein%20folding%22%5D%5D?strength-weight-map=%257B%2522MEDLINE_STRENGTH_AB%2522:1.0,%2522HPO%2522:100.0%257D", "Show Evidence...")</f>
        <v>Show Evidence...</v>
      </c>
    </row>
    <row r="771" spans="1:10" ht="12.75">
      <c r="A771" s="2" t="s">
        <v>50</v>
      </c>
      <c r="B771" s="2" t="s">
        <v>920</v>
      </c>
      <c r="C771" s="2" t="s">
        <v>24</v>
      </c>
      <c r="D771" s="2" t="s">
        <v>921</v>
      </c>
      <c r="E771" s="2" t="s">
        <v>704</v>
      </c>
      <c r="F771" s="11" t="s">
        <v>1538</v>
      </c>
      <c r="G771" t="s">
        <v>37</v>
      </c>
      <c r="H771" t="s">
        <v>1539</v>
      </c>
      <c r="I771" t="s">
        <v>959</v>
      </c>
      <c r="J771" s="6" t="str">
        <f>HYPERLINK("https://www.biovista.com/db/link/%5B%5B%22Disease%7CGlutaric%20aciduria%201%22%5D,%20%5B%22Pathway%7Creactive%20oxygen%20species%20biosynthetic%20process%22%5D%5D?strength-weight-map=%257B%2522MEDLINE_STRENGTH_AB%2522:1.0,%2522HPO%2522:100.0%257D", "Show Evidence...")</f>
        <v>Show Evidence...</v>
      </c>
    </row>
    <row r="772" spans="1:10" ht="12.75">
      <c r="A772" s="2" t="s">
        <v>50</v>
      </c>
      <c r="B772" s="2" t="s">
        <v>920</v>
      </c>
      <c r="C772" s="2" t="s">
        <v>24</v>
      </c>
      <c r="D772" s="2" t="s">
        <v>921</v>
      </c>
      <c r="E772" s="2" t="s">
        <v>704</v>
      </c>
      <c r="F772" s="11" t="s">
        <v>1540</v>
      </c>
      <c r="G772" t="s">
        <v>37</v>
      </c>
      <c r="H772" t="s">
        <v>1541</v>
      </c>
      <c r="I772" t="s">
        <v>959</v>
      </c>
      <c r="J772" s="6" t="str">
        <f>HYPERLINK("https://www.biovista.com/db/link/%5B%5B%22Disease%7CGlutaric%20aciduria%201%22%5D,%20%5B%22Pathway%7Cresponse%20to%20water%20deprivation%22%5D%5D?strength-weight-map=%257B%2522MEDLINE_STRENGTH_AB%2522:1.0,%2522HPO%2522:100.0%257D", "Show Evidence...")</f>
        <v>Show Evidence...</v>
      </c>
    </row>
    <row r="773" spans="1:10" ht="12.75">
      <c r="A773" s="2" t="s">
        <v>50</v>
      </c>
      <c r="B773" s="2" t="s">
        <v>920</v>
      </c>
      <c r="C773" s="2" t="s">
        <v>24</v>
      </c>
      <c r="D773" s="2" t="s">
        <v>921</v>
      </c>
      <c r="E773" s="2" t="s">
        <v>704</v>
      </c>
      <c r="F773" s="11" t="s">
        <v>1542</v>
      </c>
      <c r="G773" t="s">
        <v>37</v>
      </c>
      <c r="H773" t="s">
        <v>1543</v>
      </c>
      <c r="I773" t="s">
        <v>959</v>
      </c>
      <c r="J773" s="6" t="str">
        <f>HYPERLINK("https://www.biovista.com/db/link/%5B%5B%22Disease%7CGlutaric%20aciduria%201%22%5D,%20%5B%22Pathway%7Csucrose%20metabolic%20process%22%5D%5D?strength-weight-map=%257B%2522MEDLINE_STRENGTH_AB%2522:1.0,%2522HPO%2522:100.0%257D", "Show Evidence...")</f>
        <v>Show Evidence...</v>
      </c>
    </row>
    <row r="774" spans="1:10" ht="12.75">
      <c r="A774" s="2" t="s">
        <v>50</v>
      </c>
      <c r="B774" s="2" t="s">
        <v>920</v>
      </c>
      <c r="C774" s="2" t="s">
        <v>24</v>
      </c>
      <c r="D774" s="2" t="s">
        <v>921</v>
      </c>
      <c r="E774" s="2" t="s">
        <v>704</v>
      </c>
      <c r="F774" s="11" t="s">
        <v>1544</v>
      </c>
      <c r="G774" t="s">
        <v>37</v>
      </c>
      <c r="H774" t="s">
        <v>1545</v>
      </c>
      <c r="I774" t="s">
        <v>959</v>
      </c>
      <c r="J774" s="6" t="str">
        <f>HYPERLINK("https://www.biovista.com/db/link/%5B%5B%22Disease%7CGlutaric%20aciduria%201%22%5D,%20%5B%22Pathway%7Cviral%20process%22%5D%5D?strength-weight-map=%257B%2522MEDLINE_STRENGTH_AB%2522:1.0,%2522HPO%2522:100.0%257D", "Show Evidence...")</f>
        <v>Show Evidence...</v>
      </c>
    </row>
    <row r="775" spans="1:10" ht="12.75">
      <c r="A775" s="2" t="s">
        <v>50</v>
      </c>
      <c r="B775" s="2" t="s">
        <v>920</v>
      </c>
      <c r="C775" s="2" t="s">
        <v>24</v>
      </c>
      <c r="D775" s="2" t="s">
        <v>921</v>
      </c>
      <c r="E775" s="2" t="s">
        <v>704</v>
      </c>
      <c r="F775" s="11" t="s">
        <v>1546</v>
      </c>
      <c r="G775" t="s">
        <v>37</v>
      </c>
      <c r="H775" t="s">
        <v>1547</v>
      </c>
      <c r="I775" t="s">
        <v>978</v>
      </c>
      <c r="J775" s="6" t="str">
        <f>HYPERLINK("https://www.biovista.com/db/link/%5B%5B%22Disease%7CGlutaric%20aciduria%201%22%5D,%20%5B%22Pathway%7Cabscission%22%5D%5D?strength-weight-map=%257B%2522MEDLINE_STRENGTH_AB%2522:1.0,%2522HPO%2522:100.0%257D", "Show Evidence...")</f>
        <v>Show Evidence...</v>
      </c>
    </row>
    <row r="776" spans="1:10" ht="12.75">
      <c r="A776" s="2" t="s">
        <v>50</v>
      </c>
      <c r="B776" s="2" t="s">
        <v>920</v>
      </c>
      <c r="C776" s="2" t="s">
        <v>24</v>
      </c>
      <c r="D776" s="2" t="s">
        <v>921</v>
      </c>
      <c r="E776" s="2" t="s">
        <v>704</v>
      </c>
      <c r="F776" s="11" t="s">
        <v>836</v>
      </c>
      <c r="G776" t="s">
        <v>37</v>
      </c>
      <c r="H776" t="s">
        <v>837</v>
      </c>
      <c r="I776" t="s">
        <v>978</v>
      </c>
      <c r="J776" s="6" t="str">
        <f>HYPERLINK("https://www.biovista.com/db/link/%5B%5B%22Disease%7CGlutaric%20aciduria%201%22%5D,%20%5B%22Pathway%7Cautophagy%22%5D%5D?strength-weight-map=%257B%2522MEDLINE_STRENGTH_AB%2522:1.0,%2522HPO%2522:100.0%257D", "Show Evidence...")</f>
        <v>Show Evidence...</v>
      </c>
    </row>
    <row r="777" spans="1:10" ht="12.75">
      <c r="A777" s="2" t="s">
        <v>50</v>
      </c>
      <c r="B777" s="2" t="s">
        <v>920</v>
      </c>
      <c r="C777" s="2" t="s">
        <v>24</v>
      </c>
      <c r="D777" s="2" t="s">
        <v>921</v>
      </c>
      <c r="E777" s="2" t="s">
        <v>704</v>
      </c>
      <c r="F777" s="11" t="s">
        <v>815</v>
      </c>
      <c r="G777" t="s">
        <v>37</v>
      </c>
      <c r="H777" t="s">
        <v>816</v>
      </c>
      <c r="I777" t="s">
        <v>978</v>
      </c>
      <c r="J777" s="6" t="str">
        <f>HYPERLINK("https://www.biovista.com/db/link/%5B%5B%22Disease%7CGlutaric%20aciduria%201%22%5D,%20%5B%22Pathway%7Ccircadian%20rhythm%22%5D%5D?strength-weight-map=%257B%2522MEDLINE_STRENGTH_AB%2522:1.0,%2522HPO%2522:100.0%257D", "Show Evidence...")</f>
        <v>Show Evidence...</v>
      </c>
    </row>
    <row r="778" spans="1:10" ht="12.75">
      <c r="A778" s="2" t="s">
        <v>50</v>
      </c>
      <c r="B778" s="2" t="s">
        <v>920</v>
      </c>
      <c r="C778" s="2" t="s">
        <v>24</v>
      </c>
      <c r="D778" s="2" t="s">
        <v>921</v>
      </c>
      <c r="E778" s="2" t="s">
        <v>704</v>
      </c>
      <c r="F778" s="11" t="s">
        <v>726</v>
      </c>
      <c r="G778" t="s">
        <v>37</v>
      </c>
      <c r="H778" t="s">
        <v>727</v>
      </c>
      <c r="I778" t="s">
        <v>978</v>
      </c>
      <c r="J778" s="6" t="str">
        <f>HYPERLINK("https://www.biovista.com/db/link/%5B%5B%22Disease%7CGlutaric%20aciduria%201%22%5D,%20%5B%22Pathway%7Ccognition%22%5D%5D?strength-weight-map=%257B%2522MEDLINE_STRENGTH_AB%2522:1.0,%2522HPO%2522:100.0%257D", "Show Evidence...")</f>
        <v>Show Evidence...</v>
      </c>
    </row>
    <row r="779" spans="1:10" ht="12.75">
      <c r="A779" s="2" t="s">
        <v>50</v>
      </c>
      <c r="B779" s="2" t="s">
        <v>920</v>
      </c>
      <c r="C779" s="2" t="s">
        <v>24</v>
      </c>
      <c r="D779" s="2" t="s">
        <v>921</v>
      </c>
      <c r="E779" s="2" t="s">
        <v>704</v>
      </c>
      <c r="F779" s="11" t="s">
        <v>1548</v>
      </c>
      <c r="G779" t="s">
        <v>37</v>
      </c>
      <c r="H779" t="s">
        <v>1549</v>
      </c>
      <c r="I779" t="s">
        <v>978</v>
      </c>
      <c r="J779" s="6" t="str">
        <f>HYPERLINK("https://www.biovista.com/db/link/%5B%5B%22Disease%7CGlutaric%20aciduria%201%22%5D,%20%5B%22Pathway%7Cflocculation%22%5D%5D?strength-weight-map=%257B%2522MEDLINE_STRENGTH_AB%2522:1.0,%2522HPO%2522:100.0%257D", "Show Evidence...")</f>
        <v>Show Evidence...</v>
      </c>
    </row>
    <row r="780" spans="1:10" ht="12.75">
      <c r="A780" s="2" t="s">
        <v>50</v>
      </c>
      <c r="B780" s="2" t="s">
        <v>920</v>
      </c>
      <c r="C780" s="2" t="s">
        <v>24</v>
      </c>
      <c r="D780" s="2" t="s">
        <v>921</v>
      </c>
      <c r="E780" s="2" t="s">
        <v>704</v>
      </c>
      <c r="F780" s="11" t="s">
        <v>1550</v>
      </c>
      <c r="G780" t="s">
        <v>37</v>
      </c>
      <c r="H780" t="s">
        <v>1551</v>
      </c>
      <c r="I780" t="s">
        <v>978</v>
      </c>
      <c r="J780" s="6" t="str">
        <f>HYPERLINK("https://www.biovista.com/db/link/%5B%5B%22Disease%7CGlutaric%20aciduria%201%22%5D,%20%5B%22Pathway%7Cflower%20formation%22%5D%5D?strength-weight-map=%257B%2522MEDLINE_STRENGTH_AB%2522:1.0,%2522HPO%2522:100.0%257D", "Show Evidence...")</f>
        <v>Show Evidence...</v>
      </c>
    </row>
    <row r="781" spans="1:10" ht="12.75">
      <c r="A781" s="2" t="s">
        <v>50</v>
      </c>
      <c r="B781" s="2" t="s">
        <v>920</v>
      </c>
      <c r="C781" s="2" t="s">
        <v>24</v>
      </c>
      <c r="D781" s="2" t="s">
        <v>921</v>
      </c>
      <c r="E781" s="2" t="s">
        <v>704</v>
      </c>
      <c r="F781" s="11" t="s">
        <v>1552</v>
      </c>
      <c r="G781" t="s">
        <v>37</v>
      </c>
      <c r="H781" t="s">
        <v>1553</v>
      </c>
      <c r="I781" t="s">
        <v>978</v>
      </c>
      <c r="J781" s="6" t="str">
        <f>HYPERLINK("https://www.biovista.com/db/link/%5B%5B%22Disease%7CGlutaric%20aciduria%201%22%5D,%20%5B%22Pathway%7Cglucose%20import%22%5D%5D?strength-weight-map=%257B%2522MEDLINE_STRENGTH_AB%2522:1.0,%2522HPO%2522:100.0%257D", "Show Evidence...")</f>
        <v>Show Evidence...</v>
      </c>
    </row>
    <row r="782" spans="1:10" ht="12.75">
      <c r="A782" s="2" t="s">
        <v>50</v>
      </c>
      <c r="B782" s="2" t="s">
        <v>920</v>
      </c>
      <c r="C782" s="2" t="s">
        <v>24</v>
      </c>
      <c r="D782" s="2" t="s">
        <v>921</v>
      </c>
      <c r="E782" s="2" t="s">
        <v>704</v>
      </c>
      <c r="F782" s="11" t="s">
        <v>1554</v>
      </c>
      <c r="G782" t="s">
        <v>37</v>
      </c>
      <c r="H782" t="s">
        <v>1555</v>
      </c>
      <c r="I782" t="s">
        <v>978</v>
      </c>
      <c r="J782" s="6" t="str">
        <f>HYPERLINK("https://www.biovista.com/db/link/%5B%5B%22Disease%7CGlutaric%20aciduria%201%22%5D,%20%5B%22Pathway%7Chumoral%20immune%20response%22%5D%5D?strength-weight-map=%257B%2522MEDLINE_STRENGTH_AB%2522:1.0,%2522HPO%2522:100.0%257D", "Show Evidence...")</f>
        <v>Show Evidence...</v>
      </c>
    </row>
    <row r="783" spans="1:10" ht="12.75">
      <c r="A783" s="2" t="s">
        <v>50</v>
      </c>
      <c r="B783" s="2" t="s">
        <v>920</v>
      </c>
      <c r="C783" s="2" t="s">
        <v>24</v>
      </c>
      <c r="D783" s="2" t="s">
        <v>921</v>
      </c>
      <c r="E783" s="2" t="s">
        <v>704</v>
      </c>
      <c r="F783" s="11" t="s">
        <v>807</v>
      </c>
      <c r="G783" t="s">
        <v>37</v>
      </c>
      <c r="H783" t="s">
        <v>808</v>
      </c>
      <c r="I783" t="s">
        <v>978</v>
      </c>
      <c r="J783" s="6" t="str">
        <f>HYPERLINK("https://www.biovista.com/db/link/%5B%5B%22Disease%7CGlutaric%20aciduria%201%22%5D,%20%5B%22Pathway%7Clactation%22%5D%5D?strength-weight-map=%257B%2522MEDLINE_STRENGTH_AB%2522:1.0,%2522HPO%2522:100.0%257D", "Show Evidence...")</f>
        <v>Show Evidence...</v>
      </c>
    </row>
    <row r="784" spans="1:10" ht="12.75">
      <c r="A784" s="2" t="s">
        <v>50</v>
      </c>
      <c r="B784" s="2" t="s">
        <v>920</v>
      </c>
      <c r="C784" s="2" t="s">
        <v>24</v>
      </c>
      <c r="D784" s="2" t="s">
        <v>921</v>
      </c>
      <c r="E784" s="2" t="s">
        <v>704</v>
      </c>
      <c r="F784" s="11" t="s">
        <v>764</v>
      </c>
      <c r="G784" t="s">
        <v>37</v>
      </c>
      <c r="H784" t="s">
        <v>765</v>
      </c>
      <c r="I784" t="s">
        <v>978</v>
      </c>
      <c r="J784" s="6" t="str">
        <f>HYPERLINK("https://www.biovista.com/db/link/%5B%5B%22Disease%7CGlutaric%20aciduria%201%22%5D,%20%5B%22Pathway%7Cmethylation%22%5D%5D?strength-weight-map=%257B%2522MEDLINE_STRENGTH_AB%2522:1.0,%2522HPO%2522:100.0%257D", "Show Evidence...")</f>
        <v>Show Evidence...</v>
      </c>
    </row>
    <row r="785" spans="1:10" ht="12.75">
      <c r="A785" s="2" t="s">
        <v>50</v>
      </c>
      <c r="B785" s="2" t="s">
        <v>920</v>
      </c>
      <c r="C785" s="2" t="s">
        <v>24</v>
      </c>
      <c r="D785" s="2" t="s">
        <v>921</v>
      </c>
      <c r="E785" s="2" t="s">
        <v>704</v>
      </c>
      <c r="F785" s="11" t="s">
        <v>737</v>
      </c>
      <c r="G785" t="s">
        <v>37</v>
      </c>
      <c r="H785" t="s">
        <v>738</v>
      </c>
      <c r="I785" t="s">
        <v>978</v>
      </c>
      <c r="J785" s="6" t="str">
        <f>HYPERLINK("https://www.biovista.com/db/link/%5B%5B%22Disease%7CGlutaric%20aciduria%201%22%5D,%20%5B%22Pathway%7CmRNA%20cis%20splicing,%20via%20spliceosome%22%5D%5D?strength-weight-map=%257B%2522MEDLINE_STRENGTH_AB%2522:1.0,%2522HPO%2522:100.0%257D", "Show Evidence...")</f>
        <v>Show Evidence...</v>
      </c>
    </row>
    <row r="786" spans="1:10" ht="12.75">
      <c r="A786" s="2" t="s">
        <v>50</v>
      </c>
      <c r="B786" s="2" t="s">
        <v>920</v>
      </c>
      <c r="C786" s="2" t="s">
        <v>24</v>
      </c>
      <c r="D786" s="2" t="s">
        <v>921</v>
      </c>
      <c r="E786" s="2" t="s">
        <v>704</v>
      </c>
      <c r="F786" s="11" t="s">
        <v>1556</v>
      </c>
      <c r="G786" t="s">
        <v>37</v>
      </c>
      <c r="H786" t="s">
        <v>1557</v>
      </c>
      <c r="I786" t="s">
        <v>978</v>
      </c>
      <c r="J786" s="6" t="str">
        <f>HYPERLINK("https://www.biovista.com/db/link/%5B%5B%22Disease%7CGlutaric%20aciduria%201%22%5D,%20%5B%22Pathway%7Cmuscle%20atrophy%22%5D%5D?strength-weight-map=%257B%2522MEDLINE_STRENGTH_AB%2522:1.0,%2522HPO%2522:100.0%257D", "Show Evidence...")</f>
        <v>Show Evidence...</v>
      </c>
    </row>
    <row r="787" spans="1:10" ht="12.75">
      <c r="A787" s="2" t="s">
        <v>50</v>
      </c>
      <c r="B787" s="2" t="s">
        <v>920</v>
      </c>
      <c r="C787" s="2" t="s">
        <v>24</v>
      </c>
      <c r="D787" s="2" t="s">
        <v>921</v>
      </c>
      <c r="E787" s="2" t="s">
        <v>704</v>
      </c>
      <c r="F787" s="11" t="s">
        <v>825</v>
      </c>
      <c r="G787" t="s">
        <v>37</v>
      </c>
      <c r="H787" t="s">
        <v>826</v>
      </c>
      <c r="I787" t="s">
        <v>978</v>
      </c>
      <c r="J787" s="6" t="str">
        <f>HYPERLINK("https://www.biovista.com/db/link/%5B%5B%22Disease%7CGlutaric%20aciduria%201%22%5D,%20%5B%22Pathway%7Cprotein%20transport%22%5D%5D?strength-weight-map=%257B%2522MEDLINE_STRENGTH_AB%2522:1.0,%2522HPO%2522:100.0%257D", "Show Evidence...")</f>
        <v>Show Evidence...</v>
      </c>
    </row>
    <row r="788" spans="1:10" ht="12.75">
      <c r="A788" s="2" t="s">
        <v>50</v>
      </c>
      <c r="B788" s="2" t="s">
        <v>920</v>
      </c>
      <c r="C788" s="2" t="s">
        <v>24</v>
      </c>
      <c r="D788" s="2" t="s">
        <v>921</v>
      </c>
      <c r="E788" s="2" t="s">
        <v>704</v>
      </c>
      <c r="F788" s="11" t="s">
        <v>1558</v>
      </c>
      <c r="G788" t="s">
        <v>37</v>
      </c>
      <c r="H788" t="s">
        <v>1559</v>
      </c>
      <c r="I788" t="s">
        <v>978</v>
      </c>
      <c r="J788" s="6" t="str">
        <f>HYPERLINK("https://www.biovista.com/db/link/%5B%5B%22Disease%7CGlutaric%20aciduria%201%22%5D,%20%5B%22Pathway%7Cresponse%20to%20bacterium%22%5D%5D?strength-weight-map=%257B%2522MEDLINE_STRENGTH_AB%2522:1.0,%2522HPO%2522:100.0%257D", "Show Evidence...")</f>
        <v>Show Evidence...</v>
      </c>
    </row>
    <row r="789" spans="1:10" ht="12.75">
      <c r="A789" s="2" t="s">
        <v>50</v>
      </c>
      <c r="B789" s="2" t="s">
        <v>920</v>
      </c>
      <c r="C789" s="2" t="s">
        <v>24</v>
      </c>
      <c r="D789" s="2" t="s">
        <v>921</v>
      </c>
      <c r="E789" s="2" t="s">
        <v>704</v>
      </c>
      <c r="F789" s="11" t="s">
        <v>872</v>
      </c>
      <c r="G789" t="s">
        <v>37</v>
      </c>
      <c r="H789" t="s">
        <v>873</v>
      </c>
      <c r="I789" t="s">
        <v>978</v>
      </c>
      <c r="J789" s="6" t="str">
        <f>HYPERLINK("https://www.biovista.com/db/link/%5B%5B%22Disease%7CGlutaric%20aciduria%201%22%5D,%20%5B%22Pathway%7Creverse%20transcription%22%5D%5D?strength-weight-map=%257B%2522MEDLINE_STRENGTH_AB%2522:1.0,%2522HPO%2522:100.0%257D", "Show Evidence...")</f>
        <v>Show Evidence...</v>
      </c>
    </row>
    <row r="790" spans="1:10" ht="12.75">
      <c r="A790" s="2" t="s">
        <v>50</v>
      </c>
      <c r="B790" s="2" t="s">
        <v>920</v>
      </c>
      <c r="C790" s="2" t="s">
        <v>24</v>
      </c>
      <c r="D790" s="2" t="s">
        <v>921</v>
      </c>
      <c r="E790" s="2" t="s">
        <v>704</v>
      </c>
      <c r="F790" s="11" t="s">
        <v>1560</v>
      </c>
      <c r="G790" t="s">
        <v>37</v>
      </c>
      <c r="H790" t="s">
        <v>1561</v>
      </c>
      <c r="I790" t="s">
        <v>978</v>
      </c>
      <c r="J790" s="6" t="str">
        <f>HYPERLINK("https://www.biovista.com/db/link/%5B%5B%22Disease%7CGlutaric%20aciduria%201%22%5D,%20%5B%22Pathway%7Csomatic%20embryogenesis%22%5D%5D?strength-weight-map=%257B%2522MEDLINE_STRENGTH_AB%2522:1.0,%2522HPO%2522:100.0%257D", "Show Evidence...")</f>
        <v>Show Evidence...</v>
      </c>
    </row>
    <row r="791" spans="1:10" ht="12.75">
      <c r="A791" s="2" t="s">
        <v>50</v>
      </c>
      <c r="B791" s="2" t="s">
        <v>920</v>
      </c>
      <c r="C791" s="2" t="s">
        <v>24</v>
      </c>
      <c r="D791" s="2" t="s">
        <v>921</v>
      </c>
      <c r="E791" s="2" t="s">
        <v>704</v>
      </c>
      <c r="F791" s="11" t="s">
        <v>1562</v>
      </c>
      <c r="G791" t="s">
        <v>37</v>
      </c>
      <c r="H791" t="s">
        <v>1563</v>
      </c>
      <c r="I791" t="s">
        <v>1011</v>
      </c>
      <c r="J791" s="6" t="str">
        <f>HYPERLINK("https://www.biovista.com/db/link/%5B%5B%22Disease%7CGlutaric%20aciduria%201%22%5D,%20%5B%22Pathway%7Ccell%20migration%22%5D%5D?strength-weight-map=%257B%2522MEDLINE_STRENGTH_AB%2522:1.0,%2522HPO%2522:100.0%257D", "Show Evidence...")</f>
        <v>Show Evidence...</v>
      </c>
    </row>
    <row r="792" spans="1:10" ht="12.75">
      <c r="A792" s="2" t="s">
        <v>50</v>
      </c>
      <c r="B792" s="2" t="s">
        <v>920</v>
      </c>
      <c r="C792" s="2" t="s">
        <v>24</v>
      </c>
      <c r="D792" s="2" t="s">
        <v>921</v>
      </c>
      <c r="E792" s="2" t="s">
        <v>704</v>
      </c>
      <c r="F792" s="11" t="s">
        <v>1564</v>
      </c>
      <c r="G792" t="s">
        <v>37</v>
      </c>
      <c r="H792" t="s">
        <v>1565</v>
      </c>
      <c r="I792" t="s">
        <v>1011</v>
      </c>
      <c r="J792" s="6" t="str">
        <f>HYPERLINK("https://www.biovista.com/db/link/%5B%5B%22Disease%7CGlutaric%20aciduria%201%22%5D,%20%5B%22Pathway%7Ccytokinin%20biosynthetic%20process%22%5D%5D?strength-weight-map=%257B%2522MEDLINE_STRENGTH_AB%2522:1.0,%2522HPO%2522:100.0%257D", "Show Evidence...")</f>
        <v>Show Evidence...</v>
      </c>
    </row>
    <row r="793" spans="1:10" ht="12.75">
      <c r="A793" s="2" t="s">
        <v>50</v>
      </c>
      <c r="B793" s="2" t="s">
        <v>920</v>
      </c>
      <c r="C793" s="2" t="s">
        <v>24</v>
      </c>
      <c r="D793" s="2" t="s">
        <v>921</v>
      </c>
      <c r="E793" s="2" t="s">
        <v>704</v>
      </c>
      <c r="F793" s="11" t="s">
        <v>1566</v>
      </c>
      <c r="G793" t="s">
        <v>37</v>
      </c>
      <c r="H793" t="s">
        <v>1567</v>
      </c>
      <c r="I793" t="s">
        <v>1011</v>
      </c>
      <c r="J793" s="6" t="str">
        <f>HYPERLINK("https://www.biovista.com/db/link/%5B%5B%22Disease%7CGlutaric%20aciduria%201%22%5D,%20%5B%22Pathway%7Cditerpenoid%20biosynthetic%20process%22%5D%5D?strength-weight-map=%257B%2522MEDLINE_STRENGTH_AB%2522:1.0,%2522HPO%2522:100.0%257D", "Show Evidence...")</f>
        <v>Show Evidence...</v>
      </c>
    </row>
    <row r="794" spans="1:10" ht="12.75">
      <c r="A794" s="2" t="s">
        <v>50</v>
      </c>
      <c r="B794" s="2" t="s">
        <v>920</v>
      </c>
      <c r="C794" s="2" t="s">
        <v>24</v>
      </c>
      <c r="D794" s="2" t="s">
        <v>921</v>
      </c>
      <c r="E794" s="2" t="s">
        <v>704</v>
      </c>
      <c r="F794" s="11" t="s">
        <v>892</v>
      </c>
      <c r="G794" t="s">
        <v>37</v>
      </c>
      <c r="H794" t="s">
        <v>893</v>
      </c>
      <c r="I794" t="s">
        <v>1011</v>
      </c>
      <c r="J794" s="6" t="str">
        <f>HYPERLINK("https://www.biovista.com/db/link/%5B%5B%22Disease%7CGlutaric%20aciduria%201%22%5D,%20%5B%22Pathway%7Cfertilization%22%5D%5D?strength-weight-map=%257B%2522MEDLINE_STRENGTH_AB%2522:1.0,%2522HPO%2522:100.0%257D", "Show Evidence...")</f>
        <v>Show Evidence...</v>
      </c>
    </row>
    <row r="795" spans="1:10" ht="12.75">
      <c r="A795" s="2" t="s">
        <v>50</v>
      </c>
      <c r="B795" s="2" t="s">
        <v>920</v>
      </c>
      <c r="C795" s="2" t="s">
        <v>24</v>
      </c>
      <c r="D795" s="2" t="s">
        <v>921</v>
      </c>
      <c r="E795" s="2" t="s">
        <v>704</v>
      </c>
      <c r="F795" s="11" t="s">
        <v>1568</v>
      </c>
      <c r="G795" t="s">
        <v>37</v>
      </c>
      <c r="H795" t="s">
        <v>1569</v>
      </c>
      <c r="I795" t="s">
        <v>1011</v>
      </c>
      <c r="J795" s="6" t="str">
        <f>HYPERLINK("https://www.biovista.com/db/link/%5B%5B%22Disease%7CGlutaric%20aciduria%201%22%5D,%20%5B%22Pathway%7Cgravitropism%22%5D%5D?strength-weight-map=%257B%2522MEDLINE_STRENGTH_AB%2522:1.0,%2522HPO%2522:100.0%257D", "Show Evidence...")</f>
        <v>Show Evidence...</v>
      </c>
    </row>
    <row r="796" spans="1:10" ht="12.75">
      <c r="A796" s="2" t="s">
        <v>50</v>
      </c>
      <c r="B796" s="2" t="s">
        <v>920</v>
      </c>
      <c r="C796" s="2" t="s">
        <v>24</v>
      </c>
      <c r="D796" s="2" t="s">
        <v>921</v>
      </c>
      <c r="E796" s="2" t="s">
        <v>704</v>
      </c>
      <c r="F796" s="11" t="s">
        <v>1570</v>
      </c>
      <c r="G796" t="s">
        <v>37</v>
      </c>
      <c r="H796" t="s">
        <v>1571</v>
      </c>
      <c r="I796" t="s">
        <v>1011</v>
      </c>
      <c r="J796" s="6" t="str">
        <f>HYPERLINK("https://www.biovista.com/db/link/%5B%5B%22Disease%7CGlutaric%20aciduria%201%22%5D,%20%5B%22Pathway%7Cnitrogen%20fixation%22%5D%5D?strength-weight-map=%257B%2522MEDLINE_STRENGTH_AB%2522:1.0,%2522HPO%2522:100.0%257D", "Show Evidence...")</f>
        <v>Show Evidence...</v>
      </c>
    </row>
    <row r="797" spans="1:10" ht="12.75">
      <c r="A797" s="2" t="s">
        <v>50</v>
      </c>
      <c r="B797" s="2" t="s">
        <v>920</v>
      </c>
      <c r="C797" s="2" t="s">
        <v>24</v>
      </c>
      <c r="D797" s="2" t="s">
        <v>921</v>
      </c>
      <c r="E797" s="2" t="s">
        <v>704</v>
      </c>
      <c r="F797" s="11" t="s">
        <v>768</v>
      </c>
      <c r="G797" t="s">
        <v>37</v>
      </c>
      <c r="H797" t="s">
        <v>769</v>
      </c>
      <c r="I797" t="s">
        <v>1011</v>
      </c>
      <c r="J797" s="6" t="str">
        <f>HYPERLINK("https://www.biovista.com/db/link/%5B%5B%22Disease%7CGlutaric%20aciduria%201%22%5D,%20%5B%22Pathway%7Cregeneration%22%5D%5D?strength-weight-map=%257B%2522MEDLINE_STRENGTH_AB%2522:1.0,%2522HPO%2522:100.0%257D", "Show Evidence...")</f>
        <v>Show Evidence...</v>
      </c>
    </row>
    <row r="798" spans="1:10" ht="12.75">
      <c r="A798" s="2" t="s">
        <v>50</v>
      </c>
      <c r="B798" s="2" t="s">
        <v>920</v>
      </c>
      <c r="C798" s="2" t="s">
        <v>24</v>
      </c>
      <c r="D798" s="2" t="s">
        <v>921</v>
      </c>
      <c r="E798" s="2" t="s">
        <v>704</v>
      </c>
      <c r="F798" s="11" t="s">
        <v>900</v>
      </c>
      <c r="G798" t="s">
        <v>37</v>
      </c>
      <c r="H798" t="s">
        <v>901</v>
      </c>
      <c r="I798" t="s">
        <v>1011</v>
      </c>
      <c r="J798" s="6" t="str">
        <f>HYPERLINK("https://www.biovista.com/db/link/%5B%5B%22Disease%7CGlutaric%20aciduria%201%22%5D,%20%5B%22Pathway%7CRNAi-mediated%20antiviral%20immune%20response%22%5D%5D?strength-weight-map=%257B%2522MEDLINE_STRENGTH_AB%2522:1.0,%2522HPO%2522:100.0%257D", "Show Evidence...")</f>
        <v>Show Evidence...</v>
      </c>
    </row>
    <row r="799" spans="1:10" ht="12.75">
      <c r="A799" s="2" t="s">
        <v>50</v>
      </c>
      <c r="B799" s="2" t="s">
        <v>920</v>
      </c>
      <c r="C799" s="2" t="s">
        <v>24</v>
      </c>
      <c r="D799" s="2" t="s">
        <v>921</v>
      </c>
      <c r="E799" s="2" t="s">
        <v>704</v>
      </c>
      <c r="F799" s="11" t="s">
        <v>1572</v>
      </c>
      <c r="G799" t="s">
        <v>37</v>
      </c>
      <c r="H799" t="s">
        <v>1573</v>
      </c>
      <c r="I799" t="s">
        <v>1011</v>
      </c>
      <c r="J799" s="6" t="str">
        <f>HYPERLINK("https://www.biovista.com/db/link/%5B%5B%22Disease%7CGlutaric%20aciduria%201%22%5D,%20%5B%22Pathway%7Csecondary%20metabolic%20process%22%5D%5D?strength-weight-map=%257B%2522MEDLINE_STRENGTH_AB%2522:1.0,%2522HPO%2522:100.0%257D", "Show Evidence...")</f>
        <v>Show Evidence...</v>
      </c>
    </row>
    <row r="800" spans="1:10" ht="12.75">
      <c r="A800" s="2" t="s">
        <v>50</v>
      </c>
      <c r="B800" s="2" t="s">
        <v>920</v>
      </c>
      <c r="C800" s="2" t="s">
        <v>24</v>
      </c>
      <c r="D800" s="2" t="s">
        <v>921</v>
      </c>
      <c r="E800" s="2" t="s">
        <v>704</v>
      </c>
      <c r="F800" s="11" t="s">
        <v>1574</v>
      </c>
      <c r="G800" t="s">
        <v>37</v>
      </c>
      <c r="H800" t="s">
        <v>1575</v>
      </c>
      <c r="I800" t="s">
        <v>1011</v>
      </c>
      <c r="J800" s="6" t="str">
        <f>HYPERLINK("https://www.biovista.com/db/link/%5B%5B%22Disease%7CGlutaric%20aciduria%201%22%5D,%20%5B%22Pathway%7Cshade%20avoidance%22%5D%5D?strength-weight-map=%257B%2522MEDLINE_STRENGTH_AB%2522:1.0,%2522HPO%2522:100.0%257D", "Show Evidence...")</f>
        <v>Show Evidence...</v>
      </c>
    </row>
    <row r="801" spans="1:10" ht="12.75">
      <c r="A801" s="2" t="s">
        <v>50</v>
      </c>
      <c r="B801" s="2" t="s">
        <v>920</v>
      </c>
      <c r="C801" s="2" t="s">
        <v>24</v>
      </c>
      <c r="D801" s="2" t="s">
        <v>921</v>
      </c>
      <c r="E801" s="2" t="s">
        <v>704</v>
      </c>
      <c r="F801" s="11" t="s">
        <v>1576</v>
      </c>
      <c r="G801" t="s">
        <v>37</v>
      </c>
      <c r="H801" t="s">
        <v>1577</v>
      </c>
      <c r="I801" t="s">
        <v>1011</v>
      </c>
      <c r="J801" s="6" t="str">
        <f>HYPERLINK("https://www.biovista.com/db/link/%5B%5B%22Disease%7CGlutaric%20aciduria%201%22%5D,%20%5B%22Pathway%7Cterpenoid%20biosynthetic%20process%22%5D%5D?strength-weight-map=%257B%2522MEDLINE_STRENGTH_AB%2522:1.0,%2522HPO%2522:100.0%257D", "Show Evidence...")</f>
        <v>Show Evidence...</v>
      </c>
    </row>
    <row r="802" spans="1:10" ht="12.75">
      <c r="A802" s="2" t="s">
        <v>50</v>
      </c>
      <c r="B802" s="2" t="s">
        <v>1578</v>
      </c>
      <c r="C802" s="2" t="s">
        <v>24</v>
      </c>
      <c r="D802" s="2" t="s">
        <v>1579</v>
      </c>
      <c r="E802" s="2" t="s">
        <v>53</v>
      </c>
      <c r="F802" s="11" t="s">
        <v>1580</v>
      </c>
      <c r="G802" t="s">
        <v>39</v>
      </c>
      <c r="H802" t="s">
        <v>1581</v>
      </c>
      <c r="I802" t="s">
        <v>1582</v>
      </c>
      <c r="J802" s="6" t="str">
        <f>HYPERLINK("https://www.biovista.com/db/link/%5B%5B%22Disease%7CGTPCH%20deficiency%22%5D,%20%5B%22Drug%7Csapropterin%22%5D%5D?strength-weight-map=%257B%2522MEDLINE_STRENGTH_AB%2522:1.0,%2522HPO%2522:100.0%257D", "Show Evidence...")</f>
        <v>Show Evidence...</v>
      </c>
    </row>
    <row r="803" spans="1:10" ht="12.75">
      <c r="A803" s="2" t="s">
        <v>50</v>
      </c>
      <c r="B803" s="2" t="s">
        <v>1578</v>
      </c>
      <c r="C803" s="2" t="s">
        <v>24</v>
      </c>
      <c r="D803" s="2" t="s">
        <v>1579</v>
      </c>
      <c r="E803" s="2" t="s">
        <v>53</v>
      </c>
      <c r="F803" s="11" t="s">
        <v>1095</v>
      </c>
      <c r="G803" t="s">
        <v>39</v>
      </c>
      <c r="H803" t="s">
        <v>1096</v>
      </c>
      <c r="I803" t="s">
        <v>1583</v>
      </c>
      <c r="J803" s="6" t="str">
        <f>HYPERLINK("https://www.biovista.com/db/link/%5B%5B%22Disease%7CGTPCH%20deficiency%22%5D,%20%5B%22Drug%7CLevodopa%22%5D%5D?strength-weight-map=%257B%2522MEDLINE_STRENGTH_AB%2522:1.0,%2522HPO%2522:100.0%257D", "Show Evidence...")</f>
        <v>Show Evidence...</v>
      </c>
    </row>
    <row r="804" spans="1:10" ht="12.75">
      <c r="A804" s="2" t="s">
        <v>50</v>
      </c>
      <c r="B804" s="2" t="s">
        <v>1578</v>
      </c>
      <c r="C804" s="2" t="s">
        <v>24</v>
      </c>
      <c r="D804" s="2" t="s">
        <v>1579</v>
      </c>
      <c r="E804" s="2" t="s">
        <v>53</v>
      </c>
      <c r="F804" s="11" t="s">
        <v>81</v>
      </c>
      <c r="G804" t="s">
        <v>39</v>
      </c>
      <c r="H804" t="s">
        <v>82</v>
      </c>
      <c r="I804" t="s">
        <v>1584</v>
      </c>
      <c r="J804" s="6" t="str">
        <f>HYPERLINK("https://www.biovista.com/db/link/%5B%5B%22Disease%7CGTPCH%20deficiency%22%5D,%20%5B%22Drug%7CDopamine%22%5D%5D?strength-weight-map=%257B%2522MEDLINE_STRENGTH_AB%2522:1.0,%2522HPO%2522:100.0%257D", "Show Evidence...")</f>
        <v>Show Evidence...</v>
      </c>
    </row>
    <row r="805" spans="1:10" ht="12.75">
      <c r="A805" s="2" t="s">
        <v>50</v>
      </c>
      <c r="B805" s="2" t="s">
        <v>1578</v>
      </c>
      <c r="C805" s="2" t="s">
        <v>24</v>
      </c>
      <c r="D805" s="2" t="s">
        <v>1579</v>
      </c>
      <c r="E805" s="2" t="s">
        <v>53</v>
      </c>
      <c r="F805" s="11" t="s">
        <v>1585</v>
      </c>
      <c r="G805" t="s">
        <v>39</v>
      </c>
      <c r="H805" t="s">
        <v>1586</v>
      </c>
      <c r="I805" t="s">
        <v>1587</v>
      </c>
      <c r="J805" s="6" t="str">
        <f>HYPERLINK("https://www.biovista.com/db/link/%5B%5B%22Disease%7CGTPCH%20deficiency%22%5D,%20%5B%22Drug%7CCarbidopa%22%5D%5D?strength-weight-map=%257B%2522MEDLINE_STRENGTH_AB%2522:1.0,%2522HPO%2522:100.0%257D", "Show Evidence...")</f>
        <v>Show Evidence...</v>
      </c>
    </row>
    <row r="806" spans="1:10" ht="12.75">
      <c r="A806" s="2" t="s">
        <v>50</v>
      </c>
      <c r="B806" s="2" t="s">
        <v>1578</v>
      </c>
      <c r="C806" s="2" t="s">
        <v>24</v>
      </c>
      <c r="D806" s="2" t="s">
        <v>1579</v>
      </c>
      <c r="E806" s="2" t="s">
        <v>53</v>
      </c>
      <c r="F806" s="11" t="s">
        <v>72</v>
      </c>
      <c r="G806" t="s">
        <v>39</v>
      </c>
      <c r="H806" t="s">
        <v>73</v>
      </c>
      <c r="I806" t="s">
        <v>1588</v>
      </c>
      <c r="J806" s="6" t="str">
        <f>HYPERLINK("https://www.biovista.com/db/link/%5B%5B%22Disease%7CGTPCH%20deficiency%22%5D,%20%5B%22Drug%7CSerotonin%22%5D%5D?strength-weight-map=%257B%2522MEDLINE_STRENGTH_AB%2522:1.0,%2522HPO%2522:100.0%257D", "Show Evidence...")</f>
        <v>Show Evidence...</v>
      </c>
    </row>
    <row r="807" spans="1:10" ht="12.75">
      <c r="A807" s="2" t="s">
        <v>50</v>
      </c>
      <c r="B807" s="2" t="s">
        <v>1578</v>
      </c>
      <c r="C807" s="2" t="s">
        <v>24</v>
      </c>
      <c r="D807" s="2" t="s">
        <v>1579</v>
      </c>
      <c r="E807" s="2" t="s">
        <v>53</v>
      </c>
      <c r="F807" s="11" t="s">
        <v>96</v>
      </c>
      <c r="G807" t="s">
        <v>39</v>
      </c>
      <c r="H807" t="s">
        <v>97</v>
      </c>
      <c r="I807" t="s">
        <v>1589</v>
      </c>
      <c r="J807" s="6" t="str">
        <f>HYPERLINK("https://www.biovista.com/db/link/%5B%5B%22Disease%7CGTPCH%20deficiency%22%5D,%20%5B%22Drug%7CNorepinephrine%22%5D%5D?strength-weight-map=%257B%2522MEDLINE_STRENGTH_AB%2522:1.0,%2522HPO%2522:100.0%257D", "Show Evidence...")</f>
        <v>Show Evidence...</v>
      </c>
    </row>
    <row r="808" spans="1:10" ht="12.75">
      <c r="A808" s="2" t="s">
        <v>50</v>
      </c>
      <c r="B808" s="2" t="s">
        <v>1578</v>
      </c>
      <c r="C808" s="2" t="s">
        <v>24</v>
      </c>
      <c r="D808" s="2" t="s">
        <v>1579</v>
      </c>
      <c r="E808" s="2" t="s">
        <v>53</v>
      </c>
      <c r="F808" s="11" t="s">
        <v>1590</v>
      </c>
      <c r="G808" t="s">
        <v>39</v>
      </c>
      <c r="H808" t="s">
        <v>1591</v>
      </c>
      <c r="I808" t="s">
        <v>1592</v>
      </c>
      <c r="J808" s="6" t="str">
        <f>HYPERLINK("https://www.biovista.com/db/link/%5B%5B%22Disease%7CGTPCH%20deficiency%22%5D,%20%5B%22Drug%7C5-Hydroxytryptophan%22%5D%5D?strength-weight-map=%257B%2522MEDLINE_STRENGTH_AB%2522:1.0,%2522HPO%2522:100.0%257D", "Show Evidence...")</f>
        <v>Show Evidence...</v>
      </c>
    </row>
    <row r="809" spans="1:10" ht="12.75">
      <c r="A809" s="2" t="s">
        <v>50</v>
      </c>
      <c r="B809" s="2" t="s">
        <v>1578</v>
      </c>
      <c r="C809" s="2" t="s">
        <v>24</v>
      </c>
      <c r="D809" s="2" t="s">
        <v>1579</v>
      </c>
      <c r="E809" s="2" t="s">
        <v>53</v>
      </c>
      <c r="F809" s="11" t="s">
        <v>178</v>
      </c>
      <c r="G809" t="s">
        <v>39</v>
      </c>
      <c r="H809" t="s">
        <v>179</v>
      </c>
      <c r="I809" t="s">
        <v>1592</v>
      </c>
      <c r="J809" s="6" t="str">
        <f>HYPERLINK("https://www.biovista.com/db/link/%5B%5B%22Disease%7CGTPCH%20deficiency%22%5D,%20%5B%22Drug%7CEpinephrine%22%5D%5D?strength-weight-map=%257B%2522MEDLINE_STRENGTH_AB%2522:1.0,%2522HPO%2522:100.0%257D", "Show Evidence...")</f>
        <v>Show Evidence...</v>
      </c>
    </row>
    <row r="810" spans="1:10" ht="12.75">
      <c r="A810" s="2" t="s">
        <v>50</v>
      </c>
      <c r="B810" s="2" t="s">
        <v>1578</v>
      </c>
      <c r="C810" s="2" t="s">
        <v>24</v>
      </c>
      <c r="D810" s="2" t="s">
        <v>1579</v>
      </c>
      <c r="E810" s="2" t="s">
        <v>53</v>
      </c>
      <c r="F810" s="11" t="s">
        <v>268</v>
      </c>
      <c r="G810" t="s">
        <v>39</v>
      </c>
      <c r="H810" t="s">
        <v>269</v>
      </c>
      <c r="I810" t="s">
        <v>1593</v>
      </c>
      <c r="J810" s="6" t="str">
        <f>HYPERLINK("https://www.biovista.com/db/link/%5B%5B%22Disease%7CGTPCH%20deficiency%22%5D,%20%5B%22Drug%7CLeucovorin%22%5D%5D?strength-weight-map=%257B%2522MEDLINE_STRENGTH_AB%2522:1.0,%2522HPO%2522:100.0%257D", "Show Evidence...")</f>
        <v>Show Evidence...</v>
      </c>
    </row>
    <row r="811" spans="1:10" ht="12.75">
      <c r="A811" s="2" t="s">
        <v>50</v>
      </c>
      <c r="B811" s="2" t="s">
        <v>1578</v>
      </c>
      <c r="C811" s="2" t="s">
        <v>24</v>
      </c>
      <c r="D811" s="2" t="s">
        <v>1579</v>
      </c>
      <c r="E811" s="2" t="s">
        <v>53</v>
      </c>
      <c r="F811" s="11" t="s">
        <v>108</v>
      </c>
      <c r="G811" t="s">
        <v>39</v>
      </c>
      <c r="H811" t="s">
        <v>109</v>
      </c>
      <c r="I811" t="s">
        <v>1593</v>
      </c>
      <c r="J811" s="6" t="str">
        <f>HYPERLINK("https://www.biovista.com/db/link/%5B%5B%22Disease%7CGTPCH%20deficiency%22%5D,%20%5B%22Drug%7CNitric%20Oxide%22%5D%5D?strength-weight-map=%257B%2522MEDLINE_STRENGTH_AB%2522:1.0,%2522HPO%2522:100.0%257D", "Show Evidence...")</f>
        <v>Show Evidence...</v>
      </c>
    </row>
    <row r="812" spans="1:10" ht="12.75">
      <c r="A812" s="2" t="s">
        <v>50</v>
      </c>
      <c r="B812" s="2" t="s">
        <v>1578</v>
      </c>
      <c r="C812" s="2" t="s">
        <v>24</v>
      </c>
      <c r="D812" s="2" t="s">
        <v>1579</v>
      </c>
      <c r="E812" s="2" t="s">
        <v>53</v>
      </c>
      <c r="F812" s="11" t="s">
        <v>152</v>
      </c>
      <c r="G812" t="s">
        <v>39</v>
      </c>
      <c r="H812" t="s">
        <v>153</v>
      </c>
      <c r="I812" t="s">
        <v>1593</v>
      </c>
      <c r="J812" s="6" t="str">
        <f>HYPERLINK("https://www.biovista.com/db/link/%5B%5B%22Disease%7CGTPCH%20deficiency%22%5D,%20%5B%22Drug%7CTryptophan%22%5D%5D?strength-weight-map=%257B%2522MEDLINE_STRENGTH_AB%2522:1.0,%2522HPO%2522:100.0%257D", "Show Evidence...")</f>
        <v>Show Evidence...</v>
      </c>
    </row>
    <row r="813" spans="1:10" ht="12.75">
      <c r="A813" s="2" t="s">
        <v>50</v>
      </c>
      <c r="B813" s="2" t="s">
        <v>1578</v>
      </c>
      <c r="C813" s="2" t="s">
        <v>24</v>
      </c>
      <c r="D813" s="2" t="s">
        <v>1579</v>
      </c>
      <c r="E813" s="2" t="s">
        <v>53</v>
      </c>
      <c r="F813" s="11" t="s">
        <v>1594</v>
      </c>
      <c r="G813" t="s">
        <v>39</v>
      </c>
      <c r="H813" t="s">
        <v>1595</v>
      </c>
      <c r="I813" t="s">
        <v>1596</v>
      </c>
      <c r="J813" s="6" t="str">
        <f>HYPERLINK("https://www.biovista.com/db/link/%5B%5B%22Disease%7CGTPCH%20deficiency%22%5D,%20%5B%22Drug%7Ccarbidopa,%20levodopa%20drug%20combination%22%5D%5D?strength-weight-map=%257B%2522MEDLINE_STRENGTH_AB%2522:1.0,%2522HPO%2522:100.0%257D", "Show Evidence...")</f>
        <v>Show Evidence...</v>
      </c>
    </row>
    <row r="814" spans="1:10" ht="12.75">
      <c r="A814" s="2" t="s">
        <v>50</v>
      </c>
      <c r="B814" s="2" t="s">
        <v>1578</v>
      </c>
      <c r="C814" s="2" t="s">
        <v>24</v>
      </c>
      <c r="D814" s="2" t="s">
        <v>1579</v>
      </c>
      <c r="E814" s="2" t="s">
        <v>53</v>
      </c>
      <c r="F814" s="11" t="s">
        <v>1597</v>
      </c>
      <c r="G814" t="s">
        <v>39</v>
      </c>
      <c r="H814" t="s">
        <v>1598</v>
      </c>
      <c r="I814" t="s">
        <v>1596</v>
      </c>
      <c r="J814" s="6" t="str">
        <f>HYPERLINK("https://www.biovista.com/db/link/%5B%5B%22Disease%7CGTPCH%20deficiency%22%5D,%20%5B%22Drug%7CDihydroxyphenylalanine%22%5D%5D?strength-weight-map=%257B%2522MEDLINE_STRENGTH_AB%2522:1.0,%2522HPO%2522:100.0%257D", "Show Evidence...")</f>
        <v>Show Evidence...</v>
      </c>
    </row>
    <row r="815" spans="1:10" ht="12.75">
      <c r="A815" s="2" t="s">
        <v>50</v>
      </c>
      <c r="B815" s="2" t="s">
        <v>1578</v>
      </c>
      <c r="C815" s="2" t="s">
        <v>24</v>
      </c>
      <c r="D815" s="2" t="s">
        <v>1579</v>
      </c>
      <c r="E815" s="2" t="s">
        <v>53</v>
      </c>
      <c r="F815" s="11" t="s">
        <v>1599</v>
      </c>
      <c r="G815" t="s">
        <v>39</v>
      </c>
      <c r="H815" t="s">
        <v>1600</v>
      </c>
      <c r="I815" t="s">
        <v>1596</v>
      </c>
      <c r="J815" s="6" t="str">
        <f>HYPERLINK("https://www.biovista.com/db/link/%5B%5B%22Disease%7CGTPCH%20deficiency%22%5D,%20%5B%22Drug%7CFolic%20Acid%22%5D%5D?strength-weight-map=%257B%2522MEDLINE_STRENGTH_AB%2522:1.0,%2522HPO%2522:100.0%257D", "Show Evidence...")</f>
        <v>Show Evidence...</v>
      </c>
    </row>
    <row r="816" spans="1:10" ht="12.75">
      <c r="A816" s="2" t="s">
        <v>50</v>
      </c>
      <c r="B816" s="2" t="s">
        <v>1578</v>
      </c>
      <c r="C816" s="2" t="s">
        <v>24</v>
      </c>
      <c r="D816" s="2" t="s">
        <v>1579</v>
      </c>
      <c r="E816" s="2" t="s">
        <v>53</v>
      </c>
      <c r="F816" s="11" t="s">
        <v>1601</v>
      </c>
      <c r="G816" t="s">
        <v>39</v>
      </c>
      <c r="H816" t="s">
        <v>1602</v>
      </c>
      <c r="I816" t="s">
        <v>1603</v>
      </c>
      <c r="J816" s="6" t="str">
        <f>HYPERLINK("https://www.biovista.com/db/link/%5B%5B%22Disease%7CGTPCH%20deficiency%22%5D,%20%5B%22Drug%7C7-hydroxy-2-N,N-dipropylaminotetralin%22%5D%5D?strength-weight-map=%257B%2522MEDLINE_STRENGTH_AB%2522:1.0,%2522HPO%2522:100.0%257D", "Show Evidence...")</f>
        <v>Show Evidence...</v>
      </c>
    </row>
    <row r="817" spans="1:10" ht="12.75">
      <c r="A817" s="2" t="s">
        <v>50</v>
      </c>
      <c r="B817" s="2" t="s">
        <v>1578</v>
      </c>
      <c r="C817" s="2" t="s">
        <v>24</v>
      </c>
      <c r="D817" s="2" t="s">
        <v>1579</v>
      </c>
      <c r="E817" s="2" t="s">
        <v>53</v>
      </c>
      <c r="F817" s="11" t="s">
        <v>1604</v>
      </c>
      <c r="G817" t="s">
        <v>39</v>
      </c>
      <c r="H817" t="s">
        <v>1605</v>
      </c>
      <c r="I817" t="s">
        <v>1603</v>
      </c>
      <c r="J817" s="6" t="str">
        <f>HYPERLINK("https://www.biovista.com/db/link/%5B%5B%22Disease%7CGTPCH%20deficiency%22%5D,%20%5B%22Drug%7Cacetovanillone%22%5D%5D?strength-weight-map=%257B%2522MEDLINE_STRENGTH_AB%2522:1.0,%2522HPO%2522:100.0%257D", "Show Evidence...")</f>
        <v>Show Evidence...</v>
      </c>
    </row>
    <row r="818" spans="1:10" ht="12.75">
      <c r="A818" s="2" t="s">
        <v>50</v>
      </c>
      <c r="B818" s="2" t="s">
        <v>1578</v>
      </c>
      <c r="C818" s="2" t="s">
        <v>24</v>
      </c>
      <c r="D818" s="2" t="s">
        <v>1579</v>
      </c>
      <c r="E818" s="2" t="s">
        <v>53</v>
      </c>
      <c r="F818" s="11" t="s">
        <v>60</v>
      </c>
      <c r="G818" t="s">
        <v>39</v>
      </c>
      <c r="H818" t="s">
        <v>61</v>
      </c>
      <c r="I818" t="s">
        <v>1603</v>
      </c>
      <c r="J818" s="6" t="str">
        <f>HYPERLINK("https://www.biovista.com/db/link/%5B%5B%22Disease%7CGTPCH%20deficiency%22%5D,%20%5B%22Drug%7CAcetylcholine%22%5D%5D?strength-weight-map=%257B%2522MEDLINE_STRENGTH_AB%2522:1.0,%2522HPO%2522:100.0%257D", "Show Evidence...")</f>
        <v>Show Evidence...</v>
      </c>
    </row>
    <row r="819" spans="1:10" ht="12.75">
      <c r="A819" s="2" t="s">
        <v>50</v>
      </c>
      <c r="B819" s="2" t="s">
        <v>1578</v>
      </c>
      <c r="C819" s="2" t="s">
        <v>24</v>
      </c>
      <c r="D819" s="2" t="s">
        <v>1579</v>
      </c>
      <c r="E819" s="2" t="s">
        <v>53</v>
      </c>
      <c r="F819" s="11" t="s">
        <v>1606</v>
      </c>
      <c r="G819" t="s">
        <v>39</v>
      </c>
      <c r="H819" t="s">
        <v>1607</v>
      </c>
      <c r="I819" t="s">
        <v>1603</v>
      </c>
      <c r="J819" s="6" t="str">
        <f>HYPERLINK("https://www.biovista.com/db/link/%5B%5B%22Disease%7CGTPCH%20deficiency%22%5D,%20%5B%22Drug%7CAmantadine%22%5D%5D?strength-weight-map=%257B%2522MEDLINE_STRENGTH_AB%2522:1.0,%2522HPO%2522:100.0%257D", "Show Evidence...")</f>
        <v>Show Evidence...</v>
      </c>
    </row>
    <row r="820" spans="1:10" ht="12.75">
      <c r="A820" s="2" t="s">
        <v>50</v>
      </c>
      <c r="B820" s="2" t="s">
        <v>1578</v>
      </c>
      <c r="C820" s="2" t="s">
        <v>24</v>
      </c>
      <c r="D820" s="2" t="s">
        <v>1579</v>
      </c>
      <c r="E820" s="2" t="s">
        <v>53</v>
      </c>
      <c r="F820" s="11" t="s">
        <v>1608</v>
      </c>
      <c r="G820" t="s">
        <v>39</v>
      </c>
      <c r="H820" t="s">
        <v>1609</v>
      </c>
      <c r="I820" t="s">
        <v>1603</v>
      </c>
      <c r="J820" s="6" t="str">
        <f>HYPERLINK("https://www.biovista.com/db/link/%5B%5B%22Disease%7CGTPCH%20deficiency%22%5D,%20%5B%22Drug%7CDoxycycline%22%5D%5D?strength-weight-map=%257B%2522MEDLINE_STRENGTH_AB%2522:1.0,%2522HPO%2522:100.0%257D", "Show Evidence...")</f>
        <v>Show Evidence...</v>
      </c>
    </row>
    <row r="821" spans="1:10" ht="12.75">
      <c r="A821" s="2" t="s">
        <v>50</v>
      </c>
      <c r="B821" s="2" t="s">
        <v>1578</v>
      </c>
      <c r="C821" s="2" t="s">
        <v>24</v>
      </c>
      <c r="D821" s="2" t="s">
        <v>1579</v>
      </c>
      <c r="E821" s="2" t="s">
        <v>53</v>
      </c>
      <c r="F821" s="11" t="s">
        <v>1610</v>
      </c>
      <c r="G821" t="s">
        <v>39</v>
      </c>
      <c r="H821" t="s">
        <v>1611</v>
      </c>
      <c r="I821" t="s">
        <v>1603</v>
      </c>
      <c r="J821" s="6" t="str">
        <f>HYPERLINK("https://www.biovista.com/db/link/%5B%5B%22Disease%7CGTPCH%20deficiency%22%5D,%20%5B%22Drug%7CEnkephalins%22%5D%5D?strength-weight-map=%257B%2522MEDLINE_STRENGTH_AB%2522:1.0,%2522HPO%2522:100.0%257D", "Show Evidence...")</f>
        <v>Show Evidence...</v>
      </c>
    </row>
    <row r="822" spans="1:10" ht="12.75">
      <c r="A822" s="2" t="s">
        <v>50</v>
      </c>
      <c r="B822" s="2" t="s">
        <v>1578</v>
      </c>
      <c r="C822" s="2" t="s">
        <v>24</v>
      </c>
      <c r="D822" s="2" t="s">
        <v>1579</v>
      </c>
      <c r="E822" s="2" t="s">
        <v>53</v>
      </c>
      <c r="F822" s="11" t="s">
        <v>99</v>
      </c>
      <c r="G822" t="s">
        <v>39</v>
      </c>
      <c r="H822" t="s">
        <v>100</v>
      </c>
      <c r="I822" t="s">
        <v>1603</v>
      </c>
      <c r="J822" s="6" t="str">
        <f>HYPERLINK("https://www.biovista.com/db/link/%5B%5B%22Disease%7CGTPCH%20deficiency%22%5D,%20%5B%22Drug%7Cgamma-Aminobutyric%20Acid%22%5D%5D?strength-weight-map=%257B%2522MEDLINE_STRENGTH_AB%2522:1.0,%2522HPO%2522:100.0%257D", "Show Evidence...")</f>
        <v>Show Evidence...</v>
      </c>
    </row>
    <row r="823" spans="1:10" ht="12.75">
      <c r="A823" s="2" t="s">
        <v>50</v>
      </c>
      <c r="B823" s="2" t="s">
        <v>1578</v>
      </c>
      <c r="C823" s="2" t="s">
        <v>24</v>
      </c>
      <c r="D823" s="2" t="s">
        <v>1579</v>
      </c>
      <c r="E823" s="2" t="s">
        <v>53</v>
      </c>
      <c r="F823" s="11" t="s">
        <v>1612</v>
      </c>
      <c r="G823" t="s">
        <v>39</v>
      </c>
      <c r="H823" t="s">
        <v>1613</v>
      </c>
      <c r="I823" t="s">
        <v>1603</v>
      </c>
      <c r="J823" s="6" t="str">
        <f>HYPERLINK("https://www.biovista.com/db/link/%5B%5B%22Disease%7CGTPCH%20deficiency%22%5D,%20%5B%22Drug%7CMazindol%22%5D%5D?strength-weight-map=%257B%2522MEDLINE_STRENGTH_AB%2522:1.0,%2522HPO%2522:100.0%257D", "Show Evidence...")</f>
        <v>Show Evidence...</v>
      </c>
    </row>
    <row r="824" spans="1:10" ht="12.75">
      <c r="A824" s="2" t="s">
        <v>50</v>
      </c>
      <c r="B824" s="2" t="s">
        <v>1578</v>
      </c>
      <c r="C824" s="2" t="s">
        <v>24</v>
      </c>
      <c r="D824" s="2" t="s">
        <v>1579</v>
      </c>
      <c r="E824" s="2" t="s">
        <v>53</v>
      </c>
      <c r="F824" s="11" t="s">
        <v>1614</v>
      </c>
      <c r="G824" t="s">
        <v>39</v>
      </c>
      <c r="H824" t="s">
        <v>1615</v>
      </c>
      <c r="I824" t="s">
        <v>1603</v>
      </c>
      <c r="J824" s="6" t="str">
        <f>HYPERLINK("https://www.biovista.com/db/link/%5B%5B%22Disease%7CGTPCH%20deficiency%22%5D,%20%5B%22Drug%7CPhytohemagglutinins%22%5D%5D?strength-weight-map=%257B%2522MEDLINE_STRENGTH_AB%2522:1.0,%2522HPO%2522:100.0%257D", "Show Evidence...")</f>
        <v>Show Evidence...</v>
      </c>
    </row>
    <row r="825" spans="1:10" ht="12.75">
      <c r="A825" s="2" t="s">
        <v>50</v>
      </c>
      <c r="B825" s="2" t="s">
        <v>1578</v>
      </c>
      <c r="C825" s="2" t="s">
        <v>24</v>
      </c>
      <c r="D825" s="2" t="s">
        <v>1579</v>
      </c>
      <c r="E825" s="2" t="s">
        <v>53</v>
      </c>
      <c r="F825" s="11" t="s">
        <v>1616</v>
      </c>
      <c r="G825" t="s">
        <v>39</v>
      </c>
      <c r="H825" t="s">
        <v>1617</v>
      </c>
      <c r="I825" t="s">
        <v>1603</v>
      </c>
      <c r="J825" s="6" t="str">
        <f>HYPERLINK("https://www.biovista.com/db/link/%5B%5B%22Disease%7CGTPCH%20deficiency%22%5D,%20%5B%22Drug%7CSpiperone%22%5D%5D?strength-weight-map=%257B%2522MEDLINE_STRENGTH_AB%2522:1.0,%2522HPO%2522:100.0%257D", "Show Evidence...")</f>
        <v>Show Evidence...</v>
      </c>
    </row>
    <row r="826" spans="1:10" ht="12.75">
      <c r="A826" s="2" t="s">
        <v>50</v>
      </c>
      <c r="B826" s="2" t="s">
        <v>1578</v>
      </c>
      <c r="C826" s="2" t="s">
        <v>24</v>
      </c>
      <c r="D826" s="2" t="s">
        <v>1579</v>
      </c>
      <c r="E826" s="2" t="s">
        <v>53</v>
      </c>
      <c r="F826" s="11" t="s">
        <v>1618</v>
      </c>
      <c r="G826" t="s">
        <v>39</v>
      </c>
      <c r="H826" t="s">
        <v>1619</v>
      </c>
      <c r="I826" t="s">
        <v>1603</v>
      </c>
      <c r="J826" s="6" t="str">
        <f>HYPERLINK("https://www.biovista.com/db/link/%5B%5B%22Disease%7CGTPCH%20deficiency%22%5D,%20%5B%22Drug%7CTachykinins%22%5D%5D?strength-weight-map=%257B%2522MEDLINE_STRENGTH_AB%2522:1.0,%2522HPO%2522:100.0%257D", "Show Evidence...")</f>
        <v>Show Evidence...</v>
      </c>
    </row>
    <row r="827" spans="1:10" ht="12.75">
      <c r="A827" s="2" t="s">
        <v>50</v>
      </c>
      <c r="B827" s="2" t="s">
        <v>1578</v>
      </c>
      <c r="C827" s="2" t="s">
        <v>24</v>
      </c>
      <c r="D827" s="2" t="s">
        <v>1579</v>
      </c>
      <c r="E827" s="2" t="s">
        <v>53</v>
      </c>
      <c r="F827" s="11" t="s">
        <v>1620</v>
      </c>
      <c r="G827" t="s">
        <v>39</v>
      </c>
      <c r="H827" t="s">
        <v>1621</v>
      </c>
      <c r="I827" t="s">
        <v>1603</v>
      </c>
      <c r="J827" s="6" t="str">
        <f>HYPERLINK("https://www.biovista.com/db/link/%5B%5B%22Disease%7CGTPCH%20deficiency%22%5D,%20%5B%22Drug%7CUric%20Acid%22%5D%5D?strength-weight-map=%257B%2522MEDLINE_STRENGTH_AB%2522:1.0,%2522HPO%2522:100.0%257D", "Show Evidence...")</f>
        <v>Show Evidence...</v>
      </c>
    </row>
    <row r="828" spans="1:10" ht="12.75">
      <c r="A828" s="2" t="s">
        <v>50</v>
      </c>
      <c r="B828" s="2" t="s">
        <v>1578</v>
      </c>
      <c r="C828" s="2" t="s">
        <v>24</v>
      </c>
      <c r="D828" s="2" t="s">
        <v>1579</v>
      </c>
      <c r="E828" s="2" t="s">
        <v>293</v>
      </c>
      <c r="F828" s="11">
        <v>2643</v>
      </c>
      <c r="G828" t="s">
        <v>36</v>
      </c>
      <c r="H828" t="s">
        <v>1622</v>
      </c>
      <c r="I828" t="s">
        <v>1623</v>
      </c>
      <c r="J828" s="6" t="str">
        <f>HYPERLINK("https://www.biovista.com/db/link/%5B%5B%22Disease%7CGTPCH%20deficiency%22%5D,%20%5B%22Gene%7CGCH1%22%5D%5D?strength-weight-map=%257B%2522MEDLINE_STRENGTH_AB%2522:1.0,%2522HPO%2522:100.0%257D", "Show Evidence...")</f>
        <v>Show Evidence...</v>
      </c>
    </row>
    <row r="829" spans="1:10" ht="12.75">
      <c r="A829" s="2" t="s">
        <v>50</v>
      </c>
      <c r="B829" s="2" t="s">
        <v>1578</v>
      </c>
      <c r="C829" s="2" t="s">
        <v>24</v>
      </c>
      <c r="D829" s="2" t="s">
        <v>1579</v>
      </c>
      <c r="E829" s="2" t="s">
        <v>293</v>
      </c>
      <c r="F829" s="11">
        <v>37415</v>
      </c>
      <c r="G829" t="s">
        <v>36</v>
      </c>
      <c r="H829" t="s">
        <v>1624</v>
      </c>
      <c r="I829" t="s">
        <v>1625</v>
      </c>
      <c r="J829" s="6" t="str">
        <f>HYPERLINK("https://www.biovista.com/db/link/%5B%5B%22Disease%7CGTPCH%20deficiency%22%5D,%20%5B%22Gene%7CGTP%20cyclohydrolase%22%5D%5D?strength-weight-map=%257B%2522MEDLINE_STRENGTH_AB%2522:1.0,%2522HPO%2522:100.0%257D", "Show Evidence...")</f>
        <v>Show Evidence...</v>
      </c>
    </row>
    <row r="830" spans="1:10" ht="12.75">
      <c r="A830" s="2" t="s">
        <v>50</v>
      </c>
      <c r="B830" s="2" t="s">
        <v>1578</v>
      </c>
      <c r="C830" s="2" t="s">
        <v>24</v>
      </c>
      <c r="D830" s="2" t="s">
        <v>1579</v>
      </c>
      <c r="E830" s="2" t="s">
        <v>293</v>
      </c>
      <c r="F830" s="11">
        <v>2643</v>
      </c>
      <c r="G830" t="s">
        <v>36</v>
      </c>
      <c r="H830" t="s">
        <v>1626</v>
      </c>
      <c r="I830" t="s">
        <v>1627</v>
      </c>
      <c r="J830" s="6" t="str">
        <f>HYPERLINK("https://www.biovista.com/db/link/%5B%5B%22Disease%7CGTPCH%20deficiency%22%5D,%20%5B%22Gene%7CGTP%20cyclohydrolase%20I%22%5D%5D?strength-weight-map=%257B%2522MEDLINE_STRENGTH_AB%2522:1.0,%2522HPO%2522:100.0%257D", "Show Evidence...")</f>
        <v>Show Evidence...</v>
      </c>
    </row>
    <row r="831" spans="1:10" ht="12.75">
      <c r="A831" s="2" t="s">
        <v>50</v>
      </c>
      <c r="B831" s="2" t="s">
        <v>1578</v>
      </c>
      <c r="C831" s="2" t="s">
        <v>24</v>
      </c>
      <c r="D831" s="2" t="s">
        <v>1579</v>
      </c>
      <c r="E831" s="2" t="s">
        <v>293</v>
      </c>
      <c r="F831" s="11">
        <v>14528</v>
      </c>
      <c r="G831" t="s">
        <v>36</v>
      </c>
      <c r="H831" t="s">
        <v>1628</v>
      </c>
      <c r="I831" t="s">
        <v>1629</v>
      </c>
      <c r="J831" s="6" t="str">
        <f>HYPERLINK("https://www.biovista.com/db/link/%5B%5B%22Disease%7CGTPCH%20deficiency%22%5D,%20%5B%22Gene%7CGTPCH%22%5D%5D?strength-weight-map=%257B%2522MEDLINE_STRENGTH_AB%2522:1.0,%2522HPO%2522:100.0%257D", "Show Evidence...")</f>
        <v>Show Evidence...</v>
      </c>
    </row>
    <row r="832" spans="1:10" ht="12.75">
      <c r="A832" s="2" t="s">
        <v>50</v>
      </c>
      <c r="B832" s="2" t="s">
        <v>1578</v>
      </c>
      <c r="C832" s="2" t="s">
        <v>24</v>
      </c>
      <c r="D832" s="2" t="s">
        <v>1579</v>
      </c>
      <c r="E832" s="2" t="s">
        <v>293</v>
      </c>
      <c r="F832" s="11">
        <v>5860</v>
      </c>
      <c r="G832" t="s">
        <v>36</v>
      </c>
      <c r="H832" t="s">
        <v>1630</v>
      </c>
      <c r="I832" t="s">
        <v>1631</v>
      </c>
      <c r="J832" s="6" t="str">
        <f>HYPERLINK("https://www.biovista.com/db/link/%5B%5B%22Disease%7CGTPCH%20deficiency%22%5D,%20%5B%22Gene%7Cdihydropteridine%20reductase%22%5D%5D?strength-weight-map=%257B%2522MEDLINE_STRENGTH_AB%2522:1.0,%2522HPO%2522:100.0%257D", "Show Evidence...")</f>
        <v>Show Evidence...</v>
      </c>
    </row>
    <row r="833" spans="1:10" ht="12.75">
      <c r="A833" s="2" t="s">
        <v>50</v>
      </c>
      <c r="B833" s="2" t="s">
        <v>1578</v>
      </c>
      <c r="C833" s="2" t="s">
        <v>24</v>
      </c>
      <c r="D833" s="2" t="s">
        <v>1579</v>
      </c>
      <c r="E833" s="2" t="s">
        <v>293</v>
      </c>
      <c r="F833" s="11">
        <v>5805</v>
      </c>
      <c r="G833" t="s">
        <v>36</v>
      </c>
      <c r="H833" t="s">
        <v>1632</v>
      </c>
      <c r="I833" t="s">
        <v>1588</v>
      </c>
      <c r="J833" s="6" t="str">
        <f>HYPERLINK("https://www.biovista.com/db/link/%5B%5B%22Disease%7CGTPCH%20deficiency%22%5D,%20%5B%22Gene%7C6-pyruvoyltetrahydropterin%20synthase%22%5D%5D?strength-weight-map=%257B%2522MEDLINE_STRENGTH_AB%2522:1.0,%2522HPO%2522:100.0%257D", "Show Evidence...")</f>
        <v>Show Evidence...</v>
      </c>
    </row>
    <row r="834" spans="1:10" ht="12.75">
      <c r="A834" s="2" t="s">
        <v>50</v>
      </c>
      <c r="B834" s="2" t="s">
        <v>1578</v>
      </c>
      <c r="C834" s="2" t="s">
        <v>24</v>
      </c>
      <c r="D834" s="2" t="s">
        <v>1579</v>
      </c>
      <c r="E834" s="2" t="s">
        <v>293</v>
      </c>
      <c r="F834" s="11">
        <v>19286</v>
      </c>
      <c r="G834" t="s">
        <v>36</v>
      </c>
      <c r="H834" t="s">
        <v>1633</v>
      </c>
      <c r="I834" t="s">
        <v>1589</v>
      </c>
      <c r="J834" s="6" t="str">
        <f>HYPERLINK("https://www.biovista.com/db/link/%5B%5B%22Disease%7CGTPCH%20deficiency%22%5D,%20%5B%22Gene%7C6-pyruvoyl-tetrahydropterin%20synthase%22%5D%5D?strength-weight-map=%257B%2522MEDLINE_STRENGTH_AB%2522:1.0,%2522HPO%2522:100.0%257D", "Show Evidence...")</f>
        <v>Show Evidence...</v>
      </c>
    </row>
    <row r="835" spans="1:10" ht="12.75">
      <c r="A835" s="2" t="s">
        <v>50</v>
      </c>
      <c r="B835" s="2" t="s">
        <v>1578</v>
      </c>
      <c r="C835" s="2" t="s">
        <v>24</v>
      </c>
      <c r="D835" s="2" t="s">
        <v>1579</v>
      </c>
      <c r="E835" s="2" t="s">
        <v>293</v>
      </c>
      <c r="F835" s="11">
        <v>5860</v>
      </c>
      <c r="G835" t="s">
        <v>36</v>
      </c>
      <c r="H835" t="s">
        <v>1634</v>
      </c>
      <c r="I835" t="s">
        <v>1589</v>
      </c>
      <c r="J835" s="6" t="str">
        <f>HYPERLINK("https://www.biovista.com/db/link/%5B%5B%22Disease%7CGTPCH%20deficiency%22%5D,%20%5B%22Gene%7CDHPR%22%5D%5D?strength-weight-map=%257B%2522MEDLINE_STRENGTH_AB%2522:1.0,%2522HPO%2522:100.0%257D", "Show Evidence...")</f>
        <v>Show Evidence...</v>
      </c>
    </row>
    <row r="836" spans="1:10" ht="12.75">
      <c r="A836" s="2" t="s">
        <v>50</v>
      </c>
      <c r="B836" s="2" t="s">
        <v>1578</v>
      </c>
      <c r="C836" s="2" t="s">
        <v>24</v>
      </c>
      <c r="D836" s="2" t="s">
        <v>1579</v>
      </c>
      <c r="E836" s="2" t="s">
        <v>293</v>
      </c>
      <c r="F836" s="11">
        <v>6697</v>
      </c>
      <c r="G836" t="s">
        <v>36</v>
      </c>
      <c r="H836" t="s">
        <v>1635</v>
      </c>
      <c r="I836" t="s">
        <v>1589</v>
      </c>
      <c r="J836" s="6" t="str">
        <f>HYPERLINK("https://www.biovista.com/db/link/%5B%5B%22Disease%7CGTPCH%20deficiency%22%5D,%20%5B%22Gene%7Csepiapterin%20reductase%22%5D%5D?strength-weight-map=%257B%2522MEDLINE_STRENGTH_AB%2522:1.0,%2522HPO%2522:100.0%257D", "Show Evidence...")</f>
        <v>Show Evidence...</v>
      </c>
    </row>
    <row r="837" spans="1:10" ht="12.75">
      <c r="A837" s="2" t="s">
        <v>50</v>
      </c>
      <c r="B837" s="2" t="s">
        <v>1578</v>
      </c>
      <c r="C837" s="2" t="s">
        <v>24</v>
      </c>
      <c r="D837" s="2" t="s">
        <v>1579</v>
      </c>
      <c r="E837" s="2" t="s">
        <v>293</v>
      </c>
      <c r="F837" s="11">
        <v>2643</v>
      </c>
      <c r="G837" t="s">
        <v>36</v>
      </c>
      <c r="H837" t="s">
        <v>1636</v>
      </c>
      <c r="I837" t="s">
        <v>1592</v>
      </c>
      <c r="J837" s="6" t="str">
        <f>HYPERLINK("https://www.biovista.com/db/link/%5B%5B%22Disease%7CGTPCH%20deficiency%22%5D,%20%5B%22Gene%7CGTP%20cyclohydrolase%201%22%5D%5D?strength-weight-map=%257B%2522MEDLINE_STRENGTH_AB%2522:1.0,%2522HPO%2522:100.0%257D", "Show Evidence...")</f>
        <v>Show Evidence...</v>
      </c>
    </row>
    <row r="838" spans="1:10" ht="12.75">
      <c r="A838" s="2" t="s">
        <v>50</v>
      </c>
      <c r="B838" s="2" t="s">
        <v>1578</v>
      </c>
      <c r="C838" s="2" t="s">
        <v>24</v>
      </c>
      <c r="D838" s="2" t="s">
        <v>1579</v>
      </c>
      <c r="E838" s="2" t="s">
        <v>309</v>
      </c>
      <c r="F838" s="11">
        <v>100529264</v>
      </c>
      <c r="G838" t="s">
        <v>36</v>
      </c>
      <c r="H838" t="s">
        <v>1637</v>
      </c>
      <c r="I838" t="s">
        <v>1593</v>
      </c>
      <c r="J838" s="6" t="str">
        <f>HYPERLINK("https://www.biovista.com/db/link/%5B%5B%22Disease%7CGTPCH%20deficiency%22%5D,%20%5B%22Gene%7CHPH-1%22%5D%5D?strength-weight-map=%257B%2522MEDLINE_STRENGTH_AB%2522:1.0,%2522HPO%2522:100.0%257D", "Show Evidence...")</f>
        <v>Show Evidence...</v>
      </c>
    </row>
    <row r="839" spans="1:10" ht="12.75">
      <c r="A839" s="2" t="s">
        <v>50</v>
      </c>
      <c r="B839" s="2" t="s">
        <v>1578</v>
      </c>
      <c r="C839" s="2" t="s">
        <v>24</v>
      </c>
      <c r="D839" s="2" t="s">
        <v>1579</v>
      </c>
      <c r="E839" s="2" t="s">
        <v>293</v>
      </c>
      <c r="F839" s="11">
        <v>5053</v>
      </c>
      <c r="G839" t="s">
        <v>36</v>
      </c>
      <c r="H839" t="s">
        <v>1638</v>
      </c>
      <c r="I839" t="s">
        <v>1593</v>
      </c>
      <c r="J839" s="6" t="str">
        <f>HYPERLINK("https://www.biovista.com/db/link/%5B%5B%22Disease%7CGTPCH%20deficiency%22%5D,%20%5B%22Gene%7Cphenylalanine%20hydroxylase%22%5D%5D?strength-weight-map=%257B%2522MEDLINE_STRENGTH_AB%2522:1.0,%2522HPO%2522:100.0%257D", "Show Evidence...")</f>
        <v>Show Evidence...</v>
      </c>
    </row>
    <row r="840" spans="1:10" ht="12.75">
      <c r="A840" s="2" t="s">
        <v>50</v>
      </c>
      <c r="B840" s="2" t="s">
        <v>1578</v>
      </c>
      <c r="C840" s="2" t="s">
        <v>24</v>
      </c>
      <c r="D840" s="2" t="s">
        <v>1579</v>
      </c>
      <c r="E840" s="2" t="s">
        <v>293</v>
      </c>
      <c r="F840" s="11">
        <v>43499</v>
      </c>
      <c r="G840" t="s">
        <v>36</v>
      </c>
      <c r="H840" t="s">
        <v>1639</v>
      </c>
      <c r="I840" t="s">
        <v>1593</v>
      </c>
      <c r="J840" s="6" t="str">
        <f>HYPERLINK("https://www.biovista.com/db/link/%5B%5B%22Disease%7CGTPCH%20deficiency%22%5D,%20%5B%22Gene%7Cpterin-4a-carbinolamine%20dehydratase%22%5D%5D?strength-weight-map=%257B%2522MEDLINE_STRENGTH_AB%2522:1.0,%2522HPO%2522:100.0%257D", "Show Evidence...")</f>
        <v>Show Evidence...</v>
      </c>
    </row>
    <row r="841" spans="1:10" ht="12.75">
      <c r="A841" s="2" t="s">
        <v>50</v>
      </c>
      <c r="B841" s="2" t="s">
        <v>1578</v>
      </c>
      <c r="C841" s="2" t="s">
        <v>24</v>
      </c>
      <c r="D841" s="2" t="s">
        <v>1579</v>
      </c>
      <c r="E841" s="2" t="s">
        <v>293</v>
      </c>
      <c r="F841" s="11">
        <v>5860</v>
      </c>
      <c r="G841" t="s">
        <v>36</v>
      </c>
      <c r="H841" t="s">
        <v>1640</v>
      </c>
      <c r="I841" t="s">
        <v>1593</v>
      </c>
      <c r="J841" s="6" t="str">
        <f>HYPERLINK("https://www.biovista.com/db/link/%5B%5B%22Disease%7CGTPCH%20deficiency%22%5D,%20%5B%22Gene%7CQDPR%22%5D%5D?strength-weight-map=%257B%2522MEDLINE_STRENGTH_AB%2522:1.0,%2522HPO%2522:100.0%257D", "Show Evidence...")</f>
        <v>Show Evidence...</v>
      </c>
    </row>
    <row r="842" spans="1:10" ht="12.75">
      <c r="A842" s="2" t="s">
        <v>50</v>
      </c>
      <c r="B842" s="2" t="s">
        <v>1578</v>
      </c>
      <c r="C842" s="2" t="s">
        <v>24</v>
      </c>
      <c r="D842" s="2" t="s">
        <v>1579</v>
      </c>
      <c r="E842" s="2" t="s">
        <v>293</v>
      </c>
      <c r="F842" s="11">
        <v>3919347</v>
      </c>
      <c r="G842" t="s">
        <v>36</v>
      </c>
      <c r="H842" t="s">
        <v>1641</v>
      </c>
      <c r="I842" t="s">
        <v>1593</v>
      </c>
      <c r="J842" s="6" t="str">
        <f>HYPERLINK("https://www.biovista.com/db/link/%5B%5B%22Disease%7CGTPCH%20deficiency%22%5D,%20%5B%22Gene%7CSAOUHSC_00720%22%5D%5D?strength-weight-map=%257B%2522MEDLINE_STRENGTH_AB%2522:1.0,%2522HPO%2522:100.0%257D", "Show Evidence...")</f>
        <v>Show Evidence...</v>
      </c>
    </row>
    <row r="843" spans="1:10" ht="12.75">
      <c r="A843" s="2" t="s">
        <v>50</v>
      </c>
      <c r="B843" s="2" t="s">
        <v>1578</v>
      </c>
      <c r="C843" s="2" t="s">
        <v>24</v>
      </c>
      <c r="D843" s="2" t="s">
        <v>1579</v>
      </c>
      <c r="E843" s="2" t="s">
        <v>293</v>
      </c>
      <c r="F843" s="11">
        <v>7054</v>
      </c>
      <c r="G843" t="s">
        <v>36</v>
      </c>
      <c r="H843" t="s">
        <v>1642</v>
      </c>
      <c r="I843" t="s">
        <v>1593</v>
      </c>
      <c r="J843" s="6" t="str">
        <f>HYPERLINK("https://www.biovista.com/db/link/%5B%5B%22Disease%7CGTPCH%20deficiency%22%5D,%20%5B%22Gene%7Ctyrosine%203-monooxygenase%22%5D%5D?strength-weight-map=%257B%2522MEDLINE_STRENGTH_AB%2522:1.0,%2522HPO%2522:100.0%257D", "Show Evidence...")</f>
        <v>Show Evidence...</v>
      </c>
    </row>
    <row r="844" spans="1:10" ht="12.75">
      <c r="A844" s="2" t="s">
        <v>50</v>
      </c>
      <c r="B844" s="2" t="s">
        <v>1578</v>
      </c>
      <c r="C844" s="2" t="s">
        <v>24</v>
      </c>
      <c r="D844" s="2" t="s">
        <v>1579</v>
      </c>
      <c r="E844" s="2" t="s">
        <v>293</v>
      </c>
      <c r="F844" s="11">
        <v>3874842</v>
      </c>
      <c r="G844" t="s">
        <v>36</v>
      </c>
      <c r="H844" t="s">
        <v>1643</v>
      </c>
      <c r="I844" t="s">
        <v>1596</v>
      </c>
      <c r="J844" s="6" t="str">
        <f>HYPERLINK("https://www.biovista.com/db/link/%5B%5B%22Disease%7CGTPCH%20deficiency%22%5D,%20%5B%22Gene%7Cgch-1%22%5D%5D?strength-weight-map=%257B%2522MEDLINE_STRENGTH_AB%2522:1.0,%2522HPO%2522:100.0%257D", "Show Evidence...")</f>
        <v>Show Evidence...</v>
      </c>
    </row>
    <row r="845" spans="1:10" ht="12.75">
      <c r="A845" s="2" t="s">
        <v>50</v>
      </c>
      <c r="B845" s="2" t="s">
        <v>1578</v>
      </c>
      <c r="C845" s="2" t="s">
        <v>24</v>
      </c>
      <c r="D845" s="2" t="s">
        <v>1579</v>
      </c>
      <c r="E845" s="2" t="s">
        <v>293</v>
      </c>
      <c r="F845" s="11">
        <v>5092</v>
      </c>
      <c r="G845" t="s">
        <v>36</v>
      </c>
      <c r="H845" t="s">
        <v>1644</v>
      </c>
      <c r="I845" t="s">
        <v>1596</v>
      </c>
      <c r="J845" s="6" t="str">
        <f>HYPERLINK("https://www.biovista.com/db/link/%5B%5B%22Disease%7CGTPCH%20deficiency%22%5D,%20%5B%22Gene%7CPCBD1%22%5D%5D?strength-weight-map=%257B%2522MEDLINE_STRENGTH_AB%2522:1.0,%2522HPO%2522:100.0%257D", "Show Evidence...")</f>
        <v>Show Evidence...</v>
      </c>
    </row>
    <row r="846" spans="1:10" ht="12.75">
      <c r="A846" s="2" t="s">
        <v>50</v>
      </c>
      <c r="B846" s="2" t="s">
        <v>1578</v>
      </c>
      <c r="C846" s="2" t="s">
        <v>24</v>
      </c>
      <c r="D846" s="2" t="s">
        <v>1579</v>
      </c>
      <c r="E846" s="2" t="s">
        <v>293</v>
      </c>
      <c r="F846" s="11">
        <v>1767</v>
      </c>
      <c r="G846" t="s">
        <v>36</v>
      </c>
      <c r="H846" t="s">
        <v>398</v>
      </c>
      <c r="I846" t="s">
        <v>1596</v>
      </c>
      <c r="J846" s="6" t="str">
        <f>HYPERLINK("https://www.biovista.com/db/link/%5B%5B%22Disease%7CGTPCH%20deficiency%22%5D,%20%5B%22Gene%7CPCD%22%5D%5D?strength-weight-map=%257B%2522MEDLINE_STRENGTH_AB%2522:1.0,%2522HPO%2522:100.0%257D", "Show Evidence...")</f>
        <v>Show Evidence...</v>
      </c>
    </row>
    <row r="847" spans="1:10" ht="12.75">
      <c r="A847" s="2" t="s">
        <v>50</v>
      </c>
      <c r="B847" s="2" t="s">
        <v>1578</v>
      </c>
      <c r="C847" s="2" t="s">
        <v>24</v>
      </c>
      <c r="D847" s="2" t="s">
        <v>1579</v>
      </c>
      <c r="E847" s="2" t="s">
        <v>293</v>
      </c>
      <c r="F847" s="11">
        <v>1644</v>
      </c>
      <c r="G847" t="s">
        <v>36</v>
      </c>
      <c r="H847" t="s">
        <v>1645</v>
      </c>
      <c r="I847" t="s">
        <v>1603</v>
      </c>
      <c r="J847" s="6" t="str">
        <f>HYPERLINK("https://www.biovista.com/db/link/%5B%5B%22Disease%7CGTPCH%20deficiency%22%5D,%20%5B%22Gene%7CAADC%22%5D%5D?strength-weight-map=%257B%2522MEDLINE_STRENGTH_AB%2522:1.0,%2522HPO%2522:100.0%257D", "Show Evidence...")</f>
        <v>Show Evidence...</v>
      </c>
    </row>
    <row r="848" spans="1:10" ht="12.75">
      <c r="A848" s="2" t="s">
        <v>50</v>
      </c>
      <c r="B848" s="2" t="s">
        <v>1578</v>
      </c>
      <c r="C848" s="2" t="s">
        <v>24</v>
      </c>
      <c r="D848" s="2" t="s">
        <v>1579</v>
      </c>
      <c r="E848" s="2" t="s">
        <v>1180</v>
      </c>
      <c r="F848" s="11">
        <v>17</v>
      </c>
      <c r="G848" t="s">
        <v>36</v>
      </c>
      <c r="H848" t="s">
        <v>1181</v>
      </c>
      <c r="I848" t="s">
        <v>1603</v>
      </c>
      <c r="J848" s="6" t="str">
        <f>HYPERLINK("https://www.biovista.com/db/link/%5B%5B%22Disease%7CGTPCH%20deficiency%22%5D,%20%5B%22Gene%7CAAVS1%22%5D%5D?strength-weight-map=%257B%2522MEDLINE_STRENGTH_AB%2522:1.0,%2522HPO%2522:100.0%257D", "Show Evidence...")</f>
        <v>Show Evidence...</v>
      </c>
    </row>
    <row r="849" spans="1:10" ht="12.75">
      <c r="A849" s="2" t="s">
        <v>50</v>
      </c>
      <c r="B849" s="2" t="s">
        <v>1578</v>
      </c>
      <c r="C849" s="2" t="s">
        <v>24</v>
      </c>
      <c r="D849" s="2" t="s">
        <v>1579</v>
      </c>
      <c r="E849" s="2" t="s">
        <v>293</v>
      </c>
      <c r="F849" s="11">
        <v>406651</v>
      </c>
      <c r="G849" t="s">
        <v>36</v>
      </c>
      <c r="H849" t="s">
        <v>1646</v>
      </c>
      <c r="I849" t="s">
        <v>1603</v>
      </c>
      <c r="J849" s="6" t="str">
        <f>HYPERLINK("https://www.biovista.com/db/link/%5B%5B%22Disease%7CGTPCH%20deficiency%22%5D,%20%5B%22Gene%7Caromatic%20amino%20acid%20decarboxylase%22%5D%5D?strength-weight-map=%257B%2522MEDLINE_STRENGTH_AB%2522:1.0,%2522HPO%2522:100.0%257D", "Show Evidence...")</f>
        <v>Show Evidence...</v>
      </c>
    </row>
    <row r="850" spans="1:10" ht="12.75">
      <c r="A850" s="2" t="s">
        <v>50</v>
      </c>
      <c r="B850" s="2" t="s">
        <v>1578</v>
      </c>
      <c r="C850" s="2" t="s">
        <v>24</v>
      </c>
      <c r="D850" s="2" t="s">
        <v>1579</v>
      </c>
      <c r="E850" s="2" t="s">
        <v>293</v>
      </c>
      <c r="F850" s="11">
        <v>35190</v>
      </c>
      <c r="G850" t="s">
        <v>36</v>
      </c>
      <c r="H850" t="s">
        <v>1647</v>
      </c>
      <c r="I850" t="s">
        <v>1603</v>
      </c>
      <c r="J850" s="6" t="str">
        <f>HYPERLINK("https://www.biovista.com/db/link/%5B%5B%22Disease%7CGTPCH%20deficiency%22%5D,%20%5B%22Gene%7Caromatic%20L-amino%20acid%20decarboxylase%22%5D%5D?strength-weight-map=%257B%2522MEDLINE_STRENGTH_AB%2522:1.0,%2522HPO%2522:100.0%257D", "Show Evidence...")</f>
        <v>Show Evidence...</v>
      </c>
    </row>
    <row r="851" spans="1:10" ht="12.75">
      <c r="A851" s="2" t="s">
        <v>50</v>
      </c>
      <c r="B851" s="2" t="s">
        <v>1578</v>
      </c>
      <c r="C851" s="2" t="s">
        <v>24</v>
      </c>
      <c r="D851" s="2" t="s">
        <v>1579</v>
      </c>
      <c r="E851" s="2" t="s">
        <v>309</v>
      </c>
      <c r="F851" s="11">
        <v>497258</v>
      </c>
      <c r="G851" t="s">
        <v>36</v>
      </c>
      <c r="H851" t="s">
        <v>310</v>
      </c>
      <c r="I851" t="s">
        <v>1603</v>
      </c>
      <c r="J851" s="6" t="str">
        <f>HYPERLINK("https://www.biovista.com/db/link/%5B%5B%22Disease%7CGTPCH%20deficiency%22%5D,%20%5B%22Gene%7CBDNF%22%5D%5D?strength-weight-map=%257B%2522MEDLINE_STRENGTH_AB%2522:1.0,%2522HPO%2522:100.0%257D", "Show Evidence...")</f>
        <v>Show Evidence...</v>
      </c>
    </row>
    <row r="852" spans="1:10" ht="12.75">
      <c r="A852" s="2" t="s">
        <v>50</v>
      </c>
      <c r="B852" s="2" t="s">
        <v>1578</v>
      </c>
      <c r="C852" s="2" t="s">
        <v>24</v>
      </c>
      <c r="D852" s="2" t="s">
        <v>1579</v>
      </c>
      <c r="E852" s="2" t="s">
        <v>293</v>
      </c>
      <c r="F852" s="11">
        <v>4609</v>
      </c>
      <c r="G852" t="s">
        <v>36</v>
      </c>
      <c r="H852" t="s">
        <v>1648</v>
      </c>
      <c r="I852" t="s">
        <v>1603</v>
      </c>
      <c r="J852" s="6" t="str">
        <f>HYPERLINK("https://www.biovista.com/db/link/%5B%5B%22Disease%7CGTPCH%20deficiency%22%5D,%20%5B%22Gene%7Cc-Myc%22%5D%5D?strength-weight-map=%257B%2522MEDLINE_STRENGTH_AB%2522:1.0,%2522HPO%2522:100.0%257D", "Show Evidence...")</f>
        <v>Show Evidence...</v>
      </c>
    </row>
    <row r="853" spans="1:10" ht="12.75">
      <c r="A853" s="2" t="s">
        <v>50</v>
      </c>
      <c r="B853" s="2" t="s">
        <v>1578</v>
      </c>
      <c r="C853" s="2" t="s">
        <v>24</v>
      </c>
      <c r="D853" s="2" t="s">
        <v>1579</v>
      </c>
      <c r="E853" s="2" t="s">
        <v>293</v>
      </c>
      <c r="F853" s="11">
        <v>25802</v>
      </c>
      <c r="G853" t="s">
        <v>36</v>
      </c>
      <c r="H853" t="s">
        <v>1649</v>
      </c>
      <c r="I853" t="s">
        <v>1603</v>
      </c>
      <c r="J853" s="6" t="str">
        <f>HYPERLINK("https://www.biovista.com/db/link/%5B%5B%22Disease%7CGTPCH%20deficiency%22%5D,%20%5B%22Gene%7CD1%22%5D%5D?strength-weight-map=%257B%2522MEDLINE_STRENGTH_AB%2522:1.0,%2522HPO%2522:100.0%257D", "Show Evidence...")</f>
        <v>Show Evidence...</v>
      </c>
    </row>
    <row r="854" spans="1:10" ht="12.75">
      <c r="A854" s="2" t="s">
        <v>50</v>
      </c>
      <c r="B854" s="2" t="s">
        <v>1578</v>
      </c>
      <c r="C854" s="2" t="s">
        <v>24</v>
      </c>
      <c r="D854" s="2" t="s">
        <v>1579</v>
      </c>
      <c r="E854" s="2" t="s">
        <v>293</v>
      </c>
      <c r="F854" s="11">
        <v>1621</v>
      </c>
      <c r="G854" t="s">
        <v>36</v>
      </c>
      <c r="H854" t="s">
        <v>1650</v>
      </c>
      <c r="I854" t="s">
        <v>1603</v>
      </c>
      <c r="J854" s="6" t="str">
        <f>HYPERLINK("https://www.biovista.com/db/link/%5B%5B%22Disease%7CGTPCH%20deficiency%22%5D,%20%5B%22Gene%7CDBH%22%5D%5D?strength-weight-map=%257B%2522MEDLINE_STRENGTH_AB%2522:1.0,%2522HPO%2522:100.0%257D", "Show Evidence...")</f>
        <v>Show Evidence...</v>
      </c>
    </row>
    <row r="855" spans="1:10" ht="12.75">
      <c r="A855" s="2" t="s">
        <v>50</v>
      </c>
      <c r="B855" s="2" t="s">
        <v>1578</v>
      </c>
      <c r="C855" s="2" t="s">
        <v>24</v>
      </c>
      <c r="D855" s="2" t="s">
        <v>1579</v>
      </c>
      <c r="E855" s="2" t="s">
        <v>293</v>
      </c>
      <c r="F855" s="11">
        <v>79016</v>
      </c>
      <c r="G855" t="s">
        <v>36</v>
      </c>
      <c r="H855" t="s">
        <v>1651</v>
      </c>
      <c r="I855" t="s">
        <v>1603</v>
      </c>
      <c r="J855" s="6" t="str">
        <f>HYPERLINK("https://www.biovista.com/db/link/%5B%5B%22Disease%7CGTPCH%20deficiency%22%5D,%20%5B%22Gene%7CDDA1%22%5D%5D?strength-weight-map=%257B%2522MEDLINE_STRENGTH_AB%2522:1.0,%2522HPO%2522:100.0%257D", "Show Evidence...")</f>
        <v>Show Evidence...</v>
      </c>
    </row>
    <row r="856" spans="1:10" ht="12.75">
      <c r="A856" s="2" t="s">
        <v>50</v>
      </c>
      <c r="B856" s="2" t="s">
        <v>1578</v>
      </c>
      <c r="C856" s="2" t="s">
        <v>24</v>
      </c>
      <c r="D856" s="2" t="s">
        <v>1579</v>
      </c>
      <c r="E856" s="2" t="s">
        <v>53</v>
      </c>
      <c r="F856" s="11" t="s">
        <v>1652</v>
      </c>
      <c r="G856" t="s">
        <v>36</v>
      </c>
      <c r="H856" t="s">
        <v>1653</v>
      </c>
      <c r="I856" t="s">
        <v>1603</v>
      </c>
      <c r="J856" s="6" t="str">
        <f>HYPERLINK("https://www.biovista.com/db/link/%5B%5B%22Disease%7CGTPCH%20deficiency%22%5D,%20%5B%22Gene%7CDecarboxylase,%20Tyrosine%22%5D%5D?strength-weight-map=%257B%2522MEDLINE_STRENGTH_AB%2522:1.0,%2522HPO%2522:100.0%257D", "Show Evidence...")</f>
        <v>Show Evidence...</v>
      </c>
    </row>
    <row r="857" spans="1:10" ht="12.75">
      <c r="A857" s="2" t="s">
        <v>50</v>
      </c>
      <c r="B857" s="2" t="s">
        <v>1578</v>
      </c>
      <c r="C857" s="2" t="s">
        <v>24</v>
      </c>
      <c r="D857" s="2" t="s">
        <v>1579</v>
      </c>
      <c r="E857" s="2" t="s">
        <v>293</v>
      </c>
      <c r="F857" s="11">
        <v>36010</v>
      </c>
      <c r="G857" t="s">
        <v>36</v>
      </c>
      <c r="H857" t="s">
        <v>1654</v>
      </c>
      <c r="I857" t="s">
        <v>1603</v>
      </c>
      <c r="J857" s="6" t="str">
        <f>HYPERLINK("https://www.biovista.com/db/link/%5B%5B%22Disease%7CGTPCH%20deficiency%22%5D,%20%5B%22Gene%7Cdila%22%5D%5D?strength-weight-map=%257B%2522MEDLINE_STRENGTH_AB%2522:1.0,%2522HPO%2522:100.0%257D", "Show Evidence...")</f>
        <v>Show Evidence...</v>
      </c>
    </row>
    <row r="858" spans="1:10" ht="12.75">
      <c r="A858" s="2" t="s">
        <v>50</v>
      </c>
      <c r="B858" s="2" t="s">
        <v>1578</v>
      </c>
      <c r="C858" s="2" t="s">
        <v>24</v>
      </c>
      <c r="D858" s="2" t="s">
        <v>1579</v>
      </c>
      <c r="E858" s="2" t="s">
        <v>293</v>
      </c>
      <c r="F858" s="11">
        <v>352909</v>
      </c>
      <c r="G858" t="s">
        <v>36</v>
      </c>
      <c r="H858" t="s">
        <v>1655</v>
      </c>
      <c r="I858" t="s">
        <v>1603</v>
      </c>
      <c r="J858" s="6" t="str">
        <f>HYPERLINK("https://www.biovista.com/db/link/%5B%5B%22Disease%7CGTPCH%20deficiency%22%5D,%20%5B%22Gene%7CDNAAF3%22%5D%5D?strength-weight-map=%257B%2522MEDLINE_STRENGTH_AB%2522:1.0,%2522HPO%2522:100.0%257D", "Show Evidence...")</f>
        <v>Show Evidence...</v>
      </c>
    </row>
    <row r="859" spans="1:10" ht="12.75">
      <c r="A859" s="2" t="s">
        <v>50</v>
      </c>
      <c r="B859" s="2" t="s">
        <v>1578</v>
      </c>
      <c r="C859" s="2" t="s">
        <v>24</v>
      </c>
      <c r="D859" s="2" t="s">
        <v>1579</v>
      </c>
      <c r="E859" s="2" t="s">
        <v>293</v>
      </c>
      <c r="F859" s="11">
        <v>1621</v>
      </c>
      <c r="G859" t="s">
        <v>36</v>
      </c>
      <c r="H859" t="s">
        <v>1656</v>
      </c>
      <c r="I859" t="s">
        <v>1603</v>
      </c>
      <c r="J859" s="6" t="str">
        <f>HYPERLINK("https://www.biovista.com/db/link/%5B%5B%22Disease%7CGTPCH%20deficiency%22%5D,%20%5B%22Gene%7Cdopamine%20beta-hydroxylase%22%5D%5D?strength-weight-map=%257B%2522MEDLINE_STRENGTH_AB%2522:1.0,%2522HPO%2522:100.0%257D", "Show Evidence...")</f>
        <v>Show Evidence...</v>
      </c>
    </row>
    <row r="860" spans="1:10" ht="12.75">
      <c r="A860" s="2" t="s">
        <v>50</v>
      </c>
      <c r="B860" s="2" t="s">
        <v>1578</v>
      </c>
      <c r="C860" s="2" t="s">
        <v>24</v>
      </c>
      <c r="D860" s="2" t="s">
        <v>1579</v>
      </c>
      <c r="E860" s="2" t="s">
        <v>293</v>
      </c>
      <c r="F860" s="11">
        <v>10085</v>
      </c>
      <c r="G860" t="s">
        <v>36</v>
      </c>
      <c r="H860" t="s">
        <v>1657</v>
      </c>
      <c r="I860" t="s">
        <v>1603</v>
      </c>
      <c r="J860" s="6" t="str">
        <f>HYPERLINK("https://www.biovista.com/db/link/%5B%5B%22Disease%7CGTPCH%20deficiency%22%5D,%20%5B%22Gene%7CEDIL3%22%5D%5D?strength-weight-map=%257B%2522MEDLINE_STRENGTH_AB%2522:1.0,%2522HPO%2522:100.0%257D", "Show Evidence...")</f>
        <v>Show Evidence...</v>
      </c>
    </row>
    <row r="861" spans="1:10" ht="12.75">
      <c r="A861" s="2" t="s">
        <v>50</v>
      </c>
      <c r="B861" s="2" t="s">
        <v>1578</v>
      </c>
      <c r="C861" s="2" t="s">
        <v>24</v>
      </c>
      <c r="D861" s="2" t="s">
        <v>1579</v>
      </c>
      <c r="E861" s="2" t="s">
        <v>293</v>
      </c>
      <c r="F861" s="11">
        <v>2643</v>
      </c>
      <c r="G861" t="s">
        <v>36</v>
      </c>
      <c r="H861" t="s">
        <v>1658</v>
      </c>
      <c r="I861" t="s">
        <v>1603</v>
      </c>
      <c r="J861" s="6" t="str">
        <f>HYPERLINK("https://www.biovista.com/db/link/%5B%5B%22Disease%7CGTPCH%20deficiency%22%5D,%20%5B%22Gene%7CGCH%22%5D%5D?strength-weight-map=%257B%2522MEDLINE_STRENGTH_AB%2522:1.0,%2522HPO%2522:100.0%257D", "Show Evidence...")</f>
        <v>Show Evidence...</v>
      </c>
    </row>
    <row r="862" spans="1:10" ht="12.75">
      <c r="A862" s="2" t="s">
        <v>50</v>
      </c>
      <c r="B862" s="2" t="s">
        <v>1578</v>
      </c>
      <c r="C862" s="2" t="s">
        <v>24</v>
      </c>
      <c r="D862" s="2" t="s">
        <v>1579</v>
      </c>
      <c r="E862" s="2" t="s">
        <v>293</v>
      </c>
      <c r="F862" s="11">
        <v>2644</v>
      </c>
      <c r="G862" t="s">
        <v>36</v>
      </c>
      <c r="H862" t="s">
        <v>1659</v>
      </c>
      <c r="I862" t="s">
        <v>1603</v>
      </c>
      <c r="J862" s="6" t="str">
        <f>HYPERLINK("https://www.biovista.com/db/link/%5B%5B%22Disease%7CGTPCH%20deficiency%22%5D,%20%5B%22Gene%7CGCHFR%22%5D%5D?strength-weight-map=%257B%2522MEDLINE_STRENGTH_AB%2522:1.0,%2522HPO%2522:100.0%257D", "Show Evidence...")</f>
        <v>Show Evidence...</v>
      </c>
    </row>
    <row r="863" spans="1:10" ht="12.75">
      <c r="A863" s="2" t="s">
        <v>50</v>
      </c>
      <c r="B863" s="2" t="s">
        <v>1578</v>
      </c>
      <c r="C863" s="2" t="s">
        <v>24</v>
      </c>
      <c r="D863" s="2" t="s">
        <v>1579</v>
      </c>
      <c r="E863" s="2" t="s">
        <v>293</v>
      </c>
      <c r="F863" s="11">
        <v>2644</v>
      </c>
      <c r="G863" t="s">
        <v>36</v>
      </c>
      <c r="H863" t="s">
        <v>1660</v>
      </c>
      <c r="I863" t="s">
        <v>1603</v>
      </c>
      <c r="J863" s="6" t="str">
        <f>HYPERLINK("https://www.biovista.com/db/link/%5B%5B%22Disease%7CGTPCH%20deficiency%22%5D,%20%5B%22Gene%7CGFRP%22%5D%5D?strength-weight-map=%257B%2522MEDLINE_STRENGTH_AB%2522:1.0,%2522HPO%2522:100.0%257D", "Show Evidence...")</f>
        <v>Show Evidence...</v>
      </c>
    </row>
    <row r="864" spans="1:10" ht="12.75">
      <c r="A864" s="2" t="s">
        <v>50</v>
      </c>
      <c r="B864" s="2" t="s">
        <v>1578</v>
      </c>
      <c r="C864" s="2" t="s">
        <v>24</v>
      </c>
      <c r="D864" s="2" t="s">
        <v>1579</v>
      </c>
      <c r="E864" s="2" t="s">
        <v>293</v>
      </c>
      <c r="F864" s="11">
        <v>392636</v>
      </c>
      <c r="G864" t="s">
        <v>36</v>
      </c>
      <c r="H864" t="s">
        <v>1661</v>
      </c>
      <c r="I864" t="s">
        <v>1603</v>
      </c>
      <c r="J864" s="6" t="str">
        <f>HYPERLINK("https://www.biovista.com/db/link/%5B%5B%22Disease%7CGTPCH%20deficiency%22%5D,%20%5B%22Gene%7Cglyceryl-ether%20monooxygenase%22%5D%5D?strength-weight-map=%257B%2522MEDLINE_STRENGTH_AB%2522:1.0,%2522HPO%2522:100.0%257D", "Show Evidence...")</f>
        <v>Show Evidence...</v>
      </c>
    </row>
    <row r="865" spans="1:10" ht="12.75">
      <c r="A865" s="2" t="s">
        <v>50</v>
      </c>
      <c r="B865" s="2" t="s">
        <v>1578</v>
      </c>
      <c r="C865" s="2" t="s">
        <v>24</v>
      </c>
      <c r="D865" s="2" t="s">
        <v>1579</v>
      </c>
      <c r="E865" s="2" t="s">
        <v>293</v>
      </c>
      <c r="F865" s="11">
        <v>41930</v>
      </c>
      <c r="G865" t="s">
        <v>36</v>
      </c>
      <c r="H865" t="s">
        <v>328</v>
      </c>
      <c r="I865" t="s">
        <v>1603</v>
      </c>
      <c r="J865" s="6" t="str">
        <f>HYPERLINK("https://www.biovista.com/db/link/%5B%5B%22Disease%7CGTPCH%20deficiency%22%5D,%20%5B%22Gene%7Chemoglobin%22%5D%5D?strength-weight-map=%257B%2522MEDLINE_STRENGTH_AB%2522:1.0,%2522HPO%2522:100.0%257D", "Show Evidence...")</f>
        <v>Show Evidence...</v>
      </c>
    </row>
    <row r="866" spans="1:10" ht="12.75">
      <c r="A866" s="2" t="s">
        <v>50</v>
      </c>
      <c r="B866" s="2" t="s">
        <v>1578</v>
      </c>
      <c r="C866" s="2" t="s">
        <v>24</v>
      </c>
      <c r="D866" s="2" t="s">
        <v>1579</v>
      </c>
      <c r="E866" s="2" t="s">
        <v>293</v>
      </c>
      <c r="F866" s="11">
        <v>3630</v>
      </c>
      <c r="G866" t="s">
        <v>36</v>
      </c>
      <c r="H866" t="s">
        <v>358</v>
      </c>
      <c r="I866" t="s">
        <v>1603</v>
      </c>
      <c r="J866" s="6" t="str">
        <f>HYPERLINK("https://www.biovista.com/db/link/%5B%5B%22Disease%7CGTPCH%20deficiency%22%5D,%20%5B%22Gene%7CINS%22%5D%5D?strength-weight-map=%257B%2522MEDLINE_STRENGTH_AB%2522:1.0,%2522HPO%2522:100.0%257D", "Show Evidence...")</f>
        <v>Show Evidence...</v>
      </c>
    </row>
    <row r="867" spans="1:10" ht="12.75">
      <c r="A867" s="2" t="s">
        <v>50</v>
      </c>
      <c r="B867" s="2" t="s">
        <v>1578</v>
      </c>
      <c r="C867" s="2" t="s">
        <v>24</v>
      </c>
      <c r="D867" s="2" t="s">
        <v>1579</v>
      </c>
      <c r="E867" s="2" t="s">
        <v>293</v>
      </c>
      <c r="F867" s="11">
        <v>16334</v>
      </c>
      <c r="G867" t="s">
        <v>36</v>
      </c>
      <c r="H867" t="s">
        <v>1662</v>
      </c>
      <c r="I867" t="s">
        <v>1603</v>
      </c>
      <c r="J867" s="6" t="str">
        <f>HYPERLINK("https://www.biovista.com/db/link/%5B%5B%22Disease%7CGTPCH%20deficiency%22%5D,%20%5B%22Gene%7CIns2%22%5D%5D?strength-weight-map=%257B%2522MEDLINE_STRENGTH_AB%2522:1.0,%2522HPO%2522:100.0%257D", "Show Evidence...")</f>
        <v>Show Evidence...</v>
      </c>
    </row>
    <row r="868" spans="1:10" ht="12.75">
      <c r="A868" s="2" t="s">
        <v>50</v>
      </c>
      <c r="B868" s="2" t="s">
        <v>1578</v>
      </c>
      <c r="C868" s="2" t="s">
        <v>24</v>
      </c>
      <c r="D868" s="2" t="s">
        <v>1579</v>
      </c>
      <c r="E868" s="2" t="s">
        <v>293</v>
      </c>
      <c r="F868" s="11">
        <v>9314</v>
      </c>
      <c r="G868" t="s">
        <v>36</v>
      </c>
      <c r="H868" t="s">
        <v>1663</v>
      </c>
      <c r="I868" t="s">
        <v>1603</v>
      </c>
      <c r="J868" s="6" t="str">
        <f>HYPERLINK("https://www.biovista.com/db/link/%5B%5B%22Disease%7CGTPCH%20deficiency%22%5D,%20%5B%22Gene%7CKLF4%22%5D%5D?strength-weight-map=%257B%2522MEDLINE_STRENGTH_AB%2522:1.0,%2522HPO%2522:100.0%257D", "Show Evidence...")</f>
        <v>Show Evidence...</v>
      </c>
    </row>
    <row r="869" spans="1:10" ht="12.75">
      <c r="A869" s="2" t="s">
        <v>50</v>
      </c>
      <c r="B869" s="2" t="s">
        <v>1578</v>
      </c>
      <c r="C869" s="2" t="s">
        <v>24</v>
      </c>
      <c r="D869" s="2" t="s">
        <v>1579</v>
      </c>
      <c r="E869" s="2" t="s">
        <v>293</v>
      </c>
      <c r="F869" s="11">
        <v>595111</v>
      </c>
      <c r="G869" t="s">
        <v>36</v>
      </c>
      <c r="H869" t="s">
        <v>1664</v>
      </c>
      <c r="I869" t="s">
        <v>1603</v>
      </c>
      <c r="J869" s="6" t="str">
        <f>HYPERLINK("https://www.biovista.com/db/link/%5B%5B%22Disease%7CGTPCH%20deficiency%22%5D,%20%5B%22Gene%7Ckruppel-like%20factor%204%22%5D%5D?strength-weight-map=%257B%2522MEDLINE_STRENGTH_AB%2522:1.0,%2522HPO%2522:100.0%257D", "Show Evidence...")</f>
        <v>Show Evidence...</v>
      </c>
    </row>
    <row r="870" spans="1:10" ht="12.75">
      <c r="A870" s="2" t="s">
        <v>50</v>
      </c>
      <c r="B870" s="2" t="s">
        <v>1578</v>
      </c>
      <c r="C870" s="2" t="s">
        <v>24</v>
      </c>
      <c r="D870" s="2" t="s">
        <v>1579</v>
      </c>
      <c r="E870" s="2" t="s">
        <v>293</v>
      </c>
      <c r="F870" s="11">
        <v>4128</v>
      </c>
      <c r="G870" t="s">
        <v>36</v>
      </c>
      <c r="H870" t="s">
        <v>1665</v>
      </c>
      <c r="I870" t="s">
        <v>1603</v>
      </c>
      <c r="J870" s="6" t="str">
        <f>HYPERLINK("https://www.biovista.com/db/link/%5B%5B%22Disease%7CGTPCH%20deficiency%22%5D,%20%5B%22Gene%7CMAOA%22%5D%5D?strength-weight-map=%257B%2522MEDLINE_STRENGTH_AB%2522:1.0,%2522HPO%2522:100.0%257D", "Show Evidence...")</f>
        <v>Show Evidence...</v>
      </c>
    </row>
    <row r="871" spans="1:10" ht="12.75">
      <c r="A871" s="2" t="s">
        <v>50</v>
      </c>
      <c r="B871" s="2" t="s">
        <v>1578</v>
      </c>
      <c r="C871" s="2" t="s">
        <v>24</v>
      </c>
      <c r="D871" s="2" t="s">
        <v>1579</v>
      </c>
      <c r="E871" s="2" t="s">
        <v>293</v>
      </c>
      <c r="F871" s="11">
        <v>1514</v>
      </c>
      <c r="G871" t="s">
        <v>36</v>
      </c>
      <c r="H871" t="s">
        <v>1666</v>
      </c>
      <c r="I871" t="s">
        <v>1603</v>
      </c>
      <c r="J871" s="6" t="str">
        <f>HYPERLINK("https://www.biovista.com/db/link/%5B%5B%22Disease%7CGTPCH%20deficiency%22%5D,%20%5B%22Gene%7CMEP%22%5D%5D?strength-weight-map=%257B%2522MEDLINE_STRENGTH_AB%2522:1.0,%2522HPO%2522:100.0%257D", "Show Evidence...")</f>
        <v>Show Evidence...</v>
      </c>
    </row>
    <row r="872" spans="1:10" ht="12.75">
      <c r="A872" s="2" t="s">
        <v>50</v>
      </c>
      <c r="B872" s="2" t="s">
        <v>1578</v>
      </c>
      <c r="C872" s="2" t="s">
        <v>24</v>
      </c>
      <c r="D872" s="2" t="s">
        <v>1579</v>
      </c>
      <c r="E872" s="2" t="s">
        <v>293</v>
      </c>
      <c r="F872" s="11">
        <v>2330</v>
      </c>
      <c r="G872" t="s">
        <v>36</v>
      </c>
      <c r="H872" t="s">
        <v>1667</v>
      </c>
      <c r="I872" t="s">
        <v>1603</v>
      </c>
      <c r="J872" s="6" t="str">
        <f>HYPERLINK("https://www.biovista.com/db/link/%5B%5B%22Disease%7CGTPCH%20deficiency%22%5D,%20%5B%22Gene%7CNADPH%20oxidase%22%5D%5D?strength-weight-map=%257B%2522MEDLINE_STRENGTH_AB%2522:1.0,%2522HPO%2522:100.0%257D", "Show Evidence...")</f>
        <v>Show Evidence...</v>
      </c>
    </row>
    <row r="873" spans="1:10" ht="12.75">
      <c r="A873" s="2" t="s">
        <v>50</v>
      </c>
      <c r="B873" s="2" t="s">
        <v>1578</v>
      </c>
      <c r="C873" s="2" t="s">
        <v>24</v>
      </c>
      <c r="D873" s="2" t="s">
        <v>1579</v>
      </c>
      <c r="E873" s="2" t="s">
        <v>293</v>
      </c>
      <c r="F873" s="11">
        <v>125765250</v>
      </c>
      <c r="G873" t="s">
        <v>36</v>
      </c>
      <c r="H873" t="s">
        <v>1668</v>
      </c>
      <c r="I873" t="s">
        <v>1603</v>
      </c>
      <c r="J873" s="6" t="str">
        <f>HYPERLINK("https://www.biovista.com/db/link/%5B%5B%22Disease%7CGTPCH%20deficiency%22%5D,%20%5B%22Gene%7Cnitric%20oxide%20synthase%22%5D%5D?strength-weight-map=%257B%2522MEDLINE_STRENGTH_AB%2522:1.0,%2522HPO%2522:100.0%257D", "Show Evidence...")</f>
        <v>Show Evidence...</v>
      </c>
    </row>
    <row r="874" spans="1:10" ht="12.75">
      <c r="A874" s="2" t="s">
        <v>50</v>
      </c>
      <c r="B874" s="2" t="s">
        <v>1578</v>
      </c>
      <c r="C874" s="2" t="s">
        <v>24</v>
      </c>
      <c r="D874" s="2" t="s">
        <v>1579</v>
      </c>
      <c r="E874" s="2" t="s">
        <v>293</v>
      </c>
      <c r="F874" s="11">
        <v>4846</v>
      </c>
      <c r="G874" t="s">
        <v>36</v>
      </c>
      <c r="H874" t="s">
        <v>1669</v>
      </c>
      <c r="I874" t="s">
        <v>1603</v>
      </c>
      <c r="J874" s="6" t="str">
        <f>HYPERLINK("https://www.biovista.com/db/link/%5B%5B%22Disease%7CGTPCH%20deficiency%22%5D,%20%5B%22Gene%7Cnitric%20oxide%20synthase%203%22%5D%5D?strength-weight-map=%257B%2522MEDLINE_STRENGTH_AB%2522:1.0,%2522HPO%2522:100.0%257D", "Show Evidence...")</f>
        <v>Show Evidence...</v>
      </c>
    </row>
    <row r="875" spans="1:10" ht="12.75">
      <c r="A875" s="2" t="s">
        <v>50</v>
      </c>
      <c r="B875" s="2" t="s">
        <v>1578</v>
      </c>
      <c r="C875" s="2" t="s">
        <v>24</v>
      </c>
      <c r="D875" s="2" t="s">
        <v>1579</v>
      </c>
      <c r="E875" s="2" t="s">
        <v>293</v>
      </c>
      <c r="F875" s="11">
        <v>4842</v>
      </c>
      <c r="G875" t="s">
        <v>36</v>
      </c>
      <c r="H875" t="s">
        <v>1670</v>
      </c>
      <c r="I875" t="s">
        <v>1603</v>
      </c>
      <c r="J875" s="6" t="str">
        <f>HYPERLINK("https://www.biovista.com/db/link/%5B%5B%22Disease%7CGTPCH%20deficiency%22%5D,%20%5B%22Gene%7CnNOS%22%5D%5D?strength-weight-map=%257B%2522MEDLINE_STRENGTH_AB%2522:1.0,%2522HPO%2522:100.0%257D", "Show Evidence...")</f>
        <v>Show Evidence...</v>
      </c>
    </row>
    <row r="876" spans="1:10" ht="12.75">
      <c r="A876" s="2" t="s">
        <v>50</v>
      </c>
      <c r="B876" s="2" t="s">
        <v>1578</v>
      </c>
      <c r="C876" s="2" t="s">
        <v>24</v>
      </c>
      <c r="D876" s="2" t="s">
        <v>1579</v>
      </c>
      <c r="E876" s="2" t="s">
        <v>293</v>
      </c>
      <c r="F876" s="11">
        <v>340719</v>
      </c>
      <c r="G876" t="s">
        <v>36</v>
      </c>
      <c r="H876" t="s">
        <v>428</v>
      </c>
      <c r="I876" t="s">
        <v>1603</v>
      </c>
      <c r="J876" s="6" t="str">
        <f>HYPERLINK("https://www.biovista.com/db/link/%5B%5B%22Disease%7CGTPCH%20deficiency%22%5D,%20%5B%22Gene%7CNOS1%22%5D%5D?strength-weight-map=%257B%2522MEDLINE_STRENGTH_AB%2522:1.0,%2522HPO%2522:100.0%257D", "Show Evidence...")</f>
        <v>Show Evidence...</v>
      </c>
    </row>
    <row r="877" spans="1:10" ht="12.75">
      <c r="A877" s="2" t="s">
        <v>50</v>
      </c>
      <c r="B877" s="2" t="s">
        <v>1578</v>
      </c>
      <c r="C877" s="2" t="s">
        <v>24</v>
      </c>
      <c r="D877" s="2" t="s">
        <v>1579</v>
      </c>
      <c r="E877" s="2" t="s">
        <v>53</v>
      </c>
      <c r="F877" s="11" t="s">
        <v>1671</v>
      </c>
      <c r="G877" t="s">
        <v>36</v>
      </c>
      <c r="H877" t="s">
        <v>1672</v>
      </c>
      <c r="I877" t="s">
        <v>1603</v>
      </c>
      <c r="J877" s="6" t="str">
        <f>HYPERLINK("https://www.biovista.com/db/link/%5B%5B%22Disease%7CGTPCH%20deficiency%22%5D,%20%5B%22Gene%7CNos1%20protein,%20mouse%22%5D%5D?strength-weight-map=%257B%2522MEDLINE_STRENGTH_AB%2522:1.0,%2522HPO%2522:100.0%257D", "Show Evidence...")</f>
        <v>Show Evidence...</v>
      </c>
    </row>
    <row r="878" spans="1:10" ht="12.75">
      <c r="A878" s="2" t="s">
        <v>50</v>
      </c>
      <c r="B878" s="2" t="s">
        <v>1578</v>
      </c>
      <c r="C878" s="2" t="s">
        <v>24</v>
      </c>
      <c r="D878" s="2" t="s">
        <v>1579</v>
      </c>
      <c r="E878" s="2" t="s">
        <v>293</v>
      </c>
      <c r="F878" s="11">
        <v>342977</v>
      </c>
      <c r="G878" t="s">
        <v>36</v>
      </c>
      <c r="H878" t="s">
        <v>1673</v>
      </c>
      <c r="I878" t="s">
        <v>1603</v>
      </c>
      <c r="J878" s="6" t="str">
        <f>HYPERLINK("https://www.biovista.com/db/link/%5B%5B%22Disease%7CGTPCH%20deficiency%22%5D,%20%5B%22Gene%7CNOS3%22%5D%5D?strength-weight-map=%257B%2522MEDLINE_STRENGTH_AB%2522:1.0,%2522HPO%2522:100.0%257D", "Show Evidence...")</f>
        <v>Show Evidence...</v>
      </c>
    </row>
    <row r="879" spans="1:10" ht="12.75">
      <c r="A879" s="2" t="s">
        <v>50</v>
      </c>
      <c r="B879" s="2" t="s">
        <v>1578</v>
      </c>
      <c r="C879" s="2" t="s">
        <v>24</v>
      </c>
      <c r="D879" s="2" t="s">
        <v>1579</v>
      </c>
      <c r="E879" s="2" t="s">
        <v>293</v>
      </c>
      <c r="F879" s="11">
        <v>4807</v>
      </c>
      <c r="G879" t="s">
        <v>36</v>
      </c>
      <c r="H879" t="s">
        <v>1674</v>
      </c>
      <c r="I879" t="s">
        <v>1603</v>
      </c>
      <c r="J879" s="6" t="str">
        <f>HYPERLINK("https://www.biovista.com/db/link/%5B%5B%22Disease%7CGTPCH%20deficiency%22%5D,%20%5B%22Gene%7CNSCL%22%5D%5D?strength-weight-map=%257B%2522MEDLINE_STRENGTH_AB%2522:1.0,%2522HPO%2522:100.0%257D", "Show Evidence...")</f>
        <v>Show Evidence...</v>
      </c>
    </row>
    <row r="880" spans="1:10" ht="12.75">
      <c r="A880" s="2" t="s">
        <v>50</v>
      </c>
      <c r="B880" s="2" t="s">
        <v>1578</v>
      </c>
      <c r="C880" s="2" t="s">
        <v>24</v>
      </c>
      <c r="D880" s="2" t="s">
        <v>1579</v>
      </c>
      <c r="E880" s="2" t="s">
        <v>293</v>
      </c>
      <c r="F880" s="11">
        <v>5053</v>
      </c>
      <c r="G880" t="s">
        <v>36</v>
      </c>
      <c r="H880" t="s">
        <v>1675</v>
      </c>
      <c r="I880" t="s">
        <v>1603</v>
      </c>
      <c r="J880" s="6" t="str">
        <f>HYPERLINK("https://www.biovista.com/db/link/%5B%5B%22Disease%7CGTPCH%20deficiency%22%5D,%20%5B%22Gene%7CPAH%22%5D%5D?strength-weight-map=%257B%2522MEDLINE_STRENGTH_AB%2522:1.0,%2522HPO%2522:100.0%257D", "Show Evidence...")</f>
        <v>Show Evidence...</v>
      </c>
    </row>
    <row r="881" spans="1:10" ht="12.75">
      <c r="A881" s="2" t="s">
        <v>50</v>
      </c>
      <c r="B881" s="2" t="s">
        <v>1578</v>
      </c>
      <c r="C881" s="2" t="s">
        <v>24</v>
      </c>
      <c r="D881" s="2" t="s">
        <v>1579</v>
      </c>
      <c r="E881" s="2" t="s">
        <v>293</v>
      </c>
      <c r="F881" s="11">
        <v>5179</v>
      </c>
      <c r="G881" t="s">
        <v>36</v>
      </c>
      <c r="H881" t="s">
        <v>1676</v>
      </c>
      <c r="I881" t="s">
        <v>1603</v>
      </c>
      <c r="J881" s="6" t="str">
        <f>HYPERLINK("https://www.biovista.com/db/link/%5B%5B%22Disease%7CGTPCH%20deficiency%22%5D,%20%5B%22Gene%7CPENK%22%5D%5D?strength-weight-map=%257B%2522MEDLINE_STRENGTH_AB%2522:1.0,%2522HPO%2522:100.0%257D", "Show Evidence...")</f>
        <v>Show Evidence...</v>
      </c>
    </row>
    <row r="882" spans="1:10" ht="12.75">
      <c r="A882" s="2" t="s">
        <v>50</v>
      </c>
      <c r="B882" s="2" t="s">
        <v>1578</v>
      </c>
      <c r="C882" s="2" t="s">
        <v>24</v>
      </c>
      <c r="D882" s="2" t="s">
        <v>1579</v>
      </c>
      <c r="E882" s="2" t="s">
        <v>293</v>
      </c>
      <c r="F882" s="11">
        <v>5409</v>
      </c>
      <c r="G882" t="s">
        <v>36</v>
      </c>
      <c r="H882" t="s">
        <v>1677</v>
      </c>
      <c r="I882" t="s">
        <v>1603</v>
      </c>
      <c r="J882" s="6" t="str">
        <f>HYPERLINK("https://www.biovista.com/db/link/%5B%5B%22Disease%7CGTPCH%20deficiency%22%5D,%20%5B%22Gene%7Cphenylethanolamine%20N-methyltransferase%22%5D%5D?strength-weight-map=%257B%2522MEDLINE_STRENGTH_AB%2522:1.0,%2522HPO%2522:100.0%257D", "Show Evidence...")</f>
        <v>Show Evidence...</v>
      </c>
    </row>
    <row r="883" spans="1:10" ht="12.75">
      <c r="A883" s="2" t="s">
        <v>50</v>
      </c>
      <c r="B883" s="2" t="s">
        <v>1578</v>
      </c>
      <c r="C883" s="2" t="s">
        <v>24</v>
      </c>
      <c r="D883" s="2" t="s">
        <v>1579</v>
      </c>
      <c r="E883" s="2" t="s">
        <v>53</v>
      </c>
      <c r="F883" s="11" t="s">
        <v>1614</v>
      </c>
      <c r="G883" t="s">
        <v>36</v>
      </c>
      <c r="H883" t="s">
        <v>1615</v>
      </c>
      <c r="I883" t="s">
        <v>1603</v>
      </c>
      <c r="J883" s="6" t="str">
        <f>HYPERLINK("https://www.biovista.com/db/link/%5B%5B%22Disease%7CGTPCH%20deficiency%22%5D,%20%5B%22Gene%7CPhytohemagglutinins%22%5D%5D?strength-weight-map=%257B%2522MEDLINE_STRENGTH_AB%2522:1.0,%2522HPO%2522:100.0%257D", "Show Evidence...")</f>
        <v>Show Evidence...</v>
      </c>
    </row>
    <row r="884" spans="1:10" ht="12.75">
      <c r="A884" s="2" t="s">
        <v>50</v>
      </c>
      <c r="B884" s="2" t="s">
        <v>1578</v>
      </c>
      <c r="C884" s="2" t="s">
        <v>24</v>
      </c>
      <c r="D884" s="2" t="s">
        <v>1579</v>
      </c>
      <c r="E884" s="2" t="s">
        <v>293</v>
      </c>
      <c r="F884" s="11">
        <v>5053</v>
      </c>
      <c r="G884" t="s">
        <v>36</v>
      </c>
      <c r="H884" t="s">
        <v>1678</v>
      </c>
      <c r="I884" t="s">
        <v>1603</v>
      </c>
      <c r="J884" s="6" t="str">
        <f>HYPERLINK("https://www.biovista.com/db/link/%5B%5B%22Disease%7CGTPCH%20deficiency%22%5D,%20%5B%22Gene%7CPKU%22%5D%5D?strength-weight-map=%257B%2522MEDLINE_STRENGTH_AB%2522:1.0,%2522HPO%2522:100.0%257D", "Show Evidence...")</f>
        <v>Show Evidence...</v>
      </c>
    </row>
    <row r="885" spans="1:10" ht="12.75">
      <c r="A885" s="2" t="s">
        <v>50</v>
      </c>
      <c r="B885" s="2" t="s">
        <v>1578</v>
      </c>
      <c r="C885" s="2" t="s">
        <v>24</v>
      </c>
      <c r="D885" s="2" t="s">
        <v>1579</v>
      </c>
      <c r="E885" s="2" t="s">
        <v>293</v>
      </c>
      <c r="F885" s="11">
        <v>10400</v>
      </c>
      <c r="G885" t="s">
        <v>36</v>
      </c>
      <c r="H885" t="s">
        <v>1679</v>
      </c>
      <c r="I885" t="s">
        <v>1603</v>
      </c>
      <c r="J885" s="6" t="str">
        <f>HYPERLINK("https://www.biovista.com/db/link/%5B%5B%22Disease%7CGTPCH%20deficiency%22%5D,%20%5B%22Gene%7CPNMT%22%5D%5D?strength-weight-map=%257B%2522MEDLINE_STRENGTH_AB%2522:1.0,%2522HPO%2522:100.0%257D", "Show Evidence...")</f>
        <v>Show Evidence...</v>
      </c>
    </row>
    <row r="886" spans="1:10" ht="12.75">
      <c r="A886" s="2" t="s">
        <v>50</v>
      </c>
      <c r="B886" s="2" t="s">
        <v>1578</v>
      </c>
      <c r="C886" s="2" t="s">
        <v>24</v>
      </c>
      <c r="D886" s="2" t="s">
        <v>1579</v>
      </c>
      <c r="E886" s="2" t="s">
        <v>293</v>
      </c>
      <c r="F886" s="11">
        <v>5460</v>
      </c>
      <c r="G886" t="s">
        <v>36</v>
      </c>
      <c r="H886" t="s">
        <v>1680</v>
      </c>
      <c r="I886" t="s">
        <v>1603</v>
      </c>
      <c r="J886" s="6" t="str">
        <f>HYPERLINK("https://www.biovista.com/db/link/%5B%5B%22Disease%7CGTPCH%20deficiency%22%5D,%20%5B%22Gene%7CPOU5F1%22%5D%5D?strength-weight-map=%257B%2522MEDLINE_STRENGTH_AB%2522:1.0,%2522HPO%2522:100.0%257D", "Show Evidence...")</f>
        <v>Show Evidence...</v>
      </c>
    </row>
    <row r="887" spans="1:10" ht="12.75">
      <c r="A887" s="2" t="s">
        <v>50</v>
      </c>
      <c r="B887" s="2" t="s">
        <v>1578</v>
      </c>
      <c r="C887" s="2" t="s">
        <v>24</v>
      </c>
      <c r="D887" s="2" t="s">
        <v>1579</v>
      </c>
      <c r="E887" s="2" t="s">
        <v>293</v>
      </c>
      <c r="F887" s="11">
        <v>5536</v>
      </c>
      <c r="G887" t="s">
        <v>36</v>
      </c>
      <c r="H887" t="s">
        <v>1681</v>
      </c>
      <c r="I887" t="s">
        <v>1603</v>
      </c>
      <c r="J887" s="6" t="str">
        <f>HYPERLINK("https://www.biovista.com/db/link/%5B%5B%22Disease%7CGTPCH%20deficiency%22%5D,%20%5B%22Gene%7CPPT%22%5D%5D?strength-weight-map=%257B%2522MEDLINE_STRENGTH_AB%2522:1.0,%2522HPO%2522:100.0%257D", "Show Evidence...")</f>
        <v>Show Evidence...</v>
      </c>
    </row>
    <row r="888" spans="1:10" ht="12.75">
      <c r="A888" s="2" t="s">
        <v>50</v>
      </c>
      <c r="B888" s="2" t="s">
        <v>1578</v>
      </c>
      <c r="C888" s="2" t="s">
        <v>24</v>
      </c>
      <c r="D888" s="2" t="s">
        <v>1579</v>
      </c>
      <c r="E888" s="2" t="s">
        <v>293</v>
      </c>
      <c r="F888" s="11">
        <v>3630</v>
      </c>
      <c r="G888" t="s">
        <v>36</v>
      </c>
      <c r="H888" t="s">
        <v>1682</v>
      </c>
      <c r="I888" t="s">
        <v>1603</v>
      </c>
      <c r="J888" s="6" t="str">
        <f>HYPERLINK("https://www.biovista.com/db/link/%5B%5B%22Disease%7CGTPCH%20deficiency%22%5D,%20%5B%22Gene%7Cpreproinsulin%22%5D%5D?strength-weight-map=%257B%2522MEDLINE_STRENGTH_AB%2522:1.0,%2522HPO%2522:100.0%257D", "Show Evidence...")</f>
        <v>Show Evidence...</v>
      </c>
    </row>
    <row r="889" spans="1:10" ht="12.75">
      <c r="A889" s="2" t="s">
        <v>50</v>
      </c>
      <c r="B889" s="2" t="s">
        <v>1578</v>
      </c>
      <c r="C889" s="2" t="s">
        <v>24</v>
      </c>
      <c r="D889" s="2" t="s">
        <v>1579</v>
      </c>
      <c r="E889" s="2" t="s">
        <v>293</v>
      </c>
      <c r="F889" s="11">
        <v>6863</v>
      </c>
      <c r="G889" t="s">
        <v>36</v>
      </c>
      <c r="H889" t="s">
        <v>1683</v>
      </c>
      <c r="I889" t="s">
        <v>1603</v>
      </c>
      <c r="J889" s="6" t="str">
        <f>HYPERLINK("https://www.biovista.com/db/link/%5B%5B%22Disease%7CGTPCH%20deficiency%22%5D,%20%5B%22Gene%7Cpreprotachykinin%22%5D%5D?strength-weight-map=%257B%2522MEDLINE_STRENGTH_AB%2522:1.0,%2522HPO%2522:100.0%257D", "Show Evidence...")</f>
        <v>Show Evidence...</v>
      </c>
    </row>
    <row r="890" spans="1:10" ht="12.75">
      <c r="A890" s="2" t="s">
        <v>50</v>
      </c>
      <c r="B890" s="2" t="s">
        <v>1578</v>
      </c>
      <c r="C890" s="2" t="s">
        <v>24</v>
      </c>
      <c r="D890" s="2" t="s">
        <v>1579</v>
      </c>
      <c r="E890" s="2" t="s">
        <v>293</v>
      </c>
      <c r="F890" s="11">
        <v>5092</v>
      </c>
      <c r="G890" t="s">
        <v>36</v>
      </c>
      <c r="H890" t="s">
        <v>1684</v>
      </c>
      <c r="I890" t="s">
        <v>1603</v>
      </c>
      <c r="J890" s="6" t="str">
        <f>HYPERLINK("https://www.biovista.com/db/link/%5B%5B%22Disease%7CGTPCH%20deficiency%22%5D,%20%5B%22Gene%7Cpterin-4-alpha-carbinolamine%20dehydratase%22%5D%5D?strength-weight-map=%257B%2522MEDLINE_STRENGTH_AB%2522:1.0,%2522HPO%2522:100.0%257D", "Show Evidence...")</f>
        <v>Show Evidence...</v>
      </c>
    </row>
    <row r="891" spans="1:10" ht="12.75">
      <c r="A891" s="2" t="s">
        <v>50</v>
      </c>
      <c r="B891" s="2" t="s">
        <v>1578</v>
      </c>
      <c r="C891" s="2" t="s">
        <v>24</v>
      </c>
      <c r="D891" s="2" t="s">
        <v>1579</v>
      </c>
      <c r="E891" s="2" t="s">
        <v>53</v>
      </c>
      <c r="F891" s="11" t="s">
        <v>1685</v>
      </c>
      <c r="G891" t="s">
        <v>36</v>
      </c>
      <c r="H891" t="s">
        <v>1686</v>
      </c>
      <c r="I891" t="s">
        <v>1603</v>
      </c>
      <c r="J891" s="6" t="str">
        <f>HYPERLINK("https://www.biovista.com/db/link/%5B%5B%22Disease%7CGTPCH%20deficiency%22%5D,%20%5B%22Gene%7CReductase,%20Dihydropteridine%22%5D%5D?strength-weight-map=%257B%2522MEDLINE_STRENGTH_AB%2522:1.0,%2522HPO%2522:100.0%257D", "Show Evidence...")</f>
        <v>Show Evidence...</v>
      </c>
    </row>
    <row r="892" spans="1:10" ht="12.75">
      <c r="A892" s="2" t="s">
        <v>50</v>
      </c>
      <c r="B892" s="2" t="s">
        <v>1578</v>
      </c>
      <c r="C892" s="2" t="s">
        <v>24</v>
      </c>
      <c r="D892" s="2" t="s">
        <v>1579</v>
      </c>
      <c r="E892" s="2" t="s">
        <v>293</v>
      </c>
      <c r="F892" s="11">
        <v>6657</v>
      </c>
      <c r="G892" t="s">
        <v>36</v>
      </c>
      <c r="H892" t="s">
        <v>1687</v>
      </c>
      <c r="I892" t="s">
        <v>1603</v>
      </c>
      <c r="J892" s="6" t="str">
        <f>HYPERLINK("https://www.biovista.com/db/link/%5B%5B%22Disease%7CGTPCH%20deficiency%22%5D,%20%5B%22Gene%7CSOX2%22%5D%5D?strength-weight-map=%257B%2522MEDLINE_STRENGTH_AB%2522:1.0,%2522HPO%2522:100.0%257D", "Show Evidence...")</f>
        <v>Show Evidence...</v>
      </c>
    </row>
    <row r="893" spans="1:10" ht="12.75">
      <c r="A893" s="2" t="s">
        <v>50</v>
      </c>
      <c r="B893" s="2" t="s">
        <v>1578</v>
      </c>
      <c r="C893" s="2" t="s">
        <v>24</v>
      </c>
      <c r="D893" s="2" t="s">
        <v>1579</v>
      </c>
      <c r="E893" s="2" t="s">
        <v>293</v>
      </c>
      <c r="F893" s="11">
        <v>6697</v>
      </c>
      <c r="G893" t="s">
        <v>36</v>
      </c>
      <c r="H893" t="s">
        <v>1688</v>
      </c>
      <c r="I893" t="s">
        <v>1603</v>
      </c>
      <c r="J893" s="6" t="str">
        <f>HYPERLINK("https://www.biovista.com/db/link/%5B%5B%22Disease%7CGTPCH%20deficiency%22%5D,%20%5B%22Gene%7CSPR%22%5D%5D?strength-weight-map=%257B%2522MEDLINE_STRENGTH_AB%2522:1.0,%2522HPO%2522:100.0%257D", "Show Evidence...")</f>
        <v>Show Evidence...</v>
      </c>
    </row>
    <row r="894" spans="1:10" ht="12.75">
      <c r="A894" s="2" t="s">
        <v>50</v>
      </c>
      <c r="B894" s="2" t="s">
        <v>1578</v>
      </c>
      <c r="C894" s="2" t="s">
        <v>24</v>
      </c>
      <c r="D894" s="2" t="s">
        <v>1579</v>
      </c>
      <c r="E894" s="2" t="s">
        <v>293</v>
      </c>
      <c r="F894" s="11">
        <v>6821</v>
      </c>
      <c r="G894" t="s">
        <v>36</v>
      </c>
      <c r="H894" t="s">
        <v>1689</v>
      </c>
      <c r="I894" t="s">
        <v>1603</v>
      </c>
      <c r="J894" s="6" t="str">
        <f>HYPERLINK("https://www.biovista.com/db/link/%5B%5B%22Disease%7CGTPCH%20deficiency%22%5D,%20%5B%22Gene%7Csulfite%20oxidase%22%5D%5D?strength-weight-map=%257B%2522MEDLINE_STRENGTH_AB%2522:1.0,%2522HPO%2522:100.0%257D", "Show Evidence...")</f>
        <v>Show Evidence...</v>
      </c>
    </row>
    <row r="895" spans="1:10" ht="12.75">
      <c r="A895" s="2" t="s">
        <v>50</v>
      </c>
      <c r="B895" s="2" t="s">
        <v>1578</v>
      </c>
      <c r="C895" s="2" t="s">
        <v>24</v>
      </c>
      <c r="D895" s="2" t="s">
        <v>1579</v>
      </c>
      <c r="E895" s="2" t="s">
        <v>293</v>
      </c>
      <c r="F895" s="11">
        <v>6629976</v>
      </c>
      <c r="G895" t="s">
        <v>36</v>
      </c>
      <c r="H895" t="s">
        <v>1619</v>
      </c>
      <c r="I895" t="s">
        <v>1603</v>
      </c>
      <c r="J895" s="6" t="str">
        <f>HYPERLINK("https://www.biovista.com/db/link/%5B%5B%22Disease%7CGTPCH%20deficiency%22%5D,%20%5B%22Gene%7CTachykinins%22%5D%5D?strength-weight-map=%257B%2522MEDLINE_STRENGTH_AB%2522:1.0,%2522HPO%2522:100.0%257D", "Show Evidence...")</f>
        <v>Show Evidence...</v>
      </c>
    </row>
    <row r="896" spans="1:10" ht="12.75">
      <c r="A896" s="2" t="s">
        <v>50</v>
      </c>
      <c r="B896" s="2" t="s">
        <v>1578</v>
      </c>
      <c r="C896" s="2" t="s">
        <v>24</v>
      </c>
      <c r="D896" s="2" t="s">
        <v>1579</v>
      </c>
      <c r="E896" s="2" t="s">
        <v>293</v>
      </c>
      <c r="F896" s="11">
        <v>22436</v>
      </c>
      <c r="G896" t="s">
        <v>36</v>
      </c>
      <c r="H896" t="s">
        <v>1690</v>
      </c>
      <c r="I896" t="s">
        <v>1603</v>
      </c>
      <c r="J896" s="6" t="str">
        <f>HYPERLINK("https://www.biovista.com/db/link/%5B%5B%22Disease%7CGTPCH%20deficiency%22%5D,%20%5B%22Gene%7Cxanthine%20oxidase%22%5D%5D?strength-weight-map=%257B%2522MEDLINE_STRENGTH_AB%2522:1.0,%2522HPO%2522:100.0%257D", "Show Evidence...")</f>
        <v>Show Evidence...</v>
      </c>
    </row>
    <row r="897" spans="1:10" ht="12.75">
      <c r="A897" s="2" t="s">
        <v>50</v>
      </c>
      <c r="B897" s="2" t="s">
        <v>1578</v>
      </c>
      <c r="C897" s="2" t="s">
        <v>24</v>
      </c>
      <c r="D897" s="2" t="s">
        <v>1579</v>
      </c>
      <c r="E897" s="2" t="s">
        <v>431</v>
      </c>
      <c r="F897" s="11" t="s">
        <v>1225</v>
      </c>
      <c r="G897" t="s">
        <v>38</v>
      </c>
      <c r="H897" t="s">
        <v>1226</v>
      </c>
      <c r="I897" t="s">
        <v>1691</v>
      </c>
      <c r="J897" s="6" t="str">
        <f>HYPERLINK("https://www.biovista.com/db/link/%5B%5B%22Disease%7CGTPCH%20deficiency%22%5D,%20%5B%22Human%20Phenotype%7CDystonia%22%5D%5D?strength-weight-map=%257B%2522MEDLINE_STRENGTH_AB%2522:1.0,%2522HPO%2522:100.0%257D", "Show Evidence...")</f>
        <v>Show Evidence...</v>
      </c>
    </row>
    <row r="898" spans="1:10" ht="12.75">
      <c r="A898" s="2" t="s">
        <v>50</v>
      </c>
      <c r="B898" s="2" t="s">
        <v>1578</v>
      </c>
      <c r="C898" s="2" t="s">
        <v>24</v>
      </c>
      <c r="D898" s="2" t="s">
        <v>1579</v>
      </c>
      <c r="E898" s="2" t="s">
        <v>431</v>
      </c>
      <c r="F898" s="11" t="s">
        <v>1692</v>
      </c>
      <c r="G898" t="s">
        <v>38</v>
      </c>
      <c r="H898" t="s">
        <v>1693</v>
      </c>
      <c r="I898" t="s">
        <v>1694</v>
      </c>
      <c r="J898" s="6" t="str">
        <f>HYPERLINK("https://www.biovista.com/db/link/%5B%5B%22Disease%7CGTPCH%20deficiency%22%5D,%20%5B%22Human%20Phenotype%7CHyperphenylalaninemia%22%5D%5D?strength-weight-map=%257B%2522MEDLINE_STRENGTH_AB%2522:1.0,%2522HPO%2522:100.0%257D", "Show Evidence...")</f>
        <v>Show Evidence...</v>
      </c>
    </row>
    <row r="899" spans="1:10" ht="12.75">
      <c r="A899" s="2" t="s">
        <v>50</v>
      </c>
      <c r="B899" s="2" t="s">
        <v>1578</v>
      </c>
      <c r="C899" s="2" t="s">
        <v>24</v>
      </c>
      <c r="D899" s="2" t="s">
        <v>1579</v>
      </c>
      <c r="E899" s="2" t="s">
        <v>431</v>
      </c>
      <c r="F899" s="11" t="s">
        <v>514</v>
      </c>
      <c r="G899" t="s">
        <v>38</v>
      </c>
      <c r="H899" t="s">
        <v>515</v>
      </c>
      <c r="I899" t="s">
        <v>1695</v>
      </c>
      <c r="J899" s="6" t="str">
        <f>HYPERLINK("https://www.biovista.com/db/link/%5B%5B%22Disease%7CGTPCH%20deficiency%22%5D,%20%5B%22Human%20Phenotype%7CHypotonia%22%5D%5D?strength-weight-map=%257B%2522MEDLINE_STRENGTH_AB%2522:1.0,%2522HPO%2522:100.0%257D", "Show Evidence...")</f>
        <v>Show Evidence...</v>
      </c>
    </row>
    <row r="900" spans="1:10" ht="12.75">
      <c r="A900" s="2" t="s">
        <v>50</v>
      </c>
      <c r="B900" s="2" t="s">
        <v>1578</v>
      </c>
      <c r="C900" s="2" t="s">
        <v>24</v>
      </c>
      <c r="D900" s="2" t="s">
        <v>1579</v>
      </c>
      <c r="E900" s="2" t="s">
        <v>431</v>
      </c>
      <c r="F900" s="11" t="s">
        <v>1372</v>
      </c>
      <c r="G900" t="s">
        <v>38</v>
      </c>
      <c r="H900" t="s">
        <v>1373</v>
      </c>
      <c r="I900" t="s">
        <v>1696</v>
      </c>
      <c r="J900" s="6" t="str">
        <f>HYPERLINK("https://www.biovista.com/db/link/%5B%5B%22Disease%7CGTPCH%20deficiency%22%5D,%20%5B%22Human%20Phenotype%7CGlobal%20developmental%20delay%22%5D%5D?strength-weight-map=%257B%2522MEDLINE_STRENGTH_AB%2522:1.0,%2522HPO%2522:100.0%257D", "Show Evidence...")</f>
        <v>Show Evidence...</v>
      </c>
    </row>
    <row r="901" spans="1:10" ht="12.75">
      <c r="A901" s="2" t="s">
        <v>50</v>
      </c>
      <c r="B901" s="2" t="s">
        <v>1578</v>
      </c>
      <c r="C901" s="2" t="s">
        <v>24</v>
      </c>
      <c r="D901" s="2" t="s">
        <v>1579</v>
      </c>
      <c r="E901" s="2" t="s">
        <v>431</v>
      </c>
      <c r="F901" s="11" t="s">
        <v>517</v>
      </c>
      <c r="G901" t="s">
        <v>38</v>
      </c>
      <c r="H901" t="s">
        <v>518</v>
      </c>
      <c r="I901" t="s">
        <v>1696</v>
      </c>
      <c r="J901" s="6" t="str">
        <f>HYPERLINK("https://www.biovista.com/db/link/%5B%5B%22Disease%7CGTPCH%20deficiency%22%5D,%20%5B%22Human%20Phenotype%7CSeizure%22%5D%5D?strength-weight-map=%257B%2522MEDLINE_STRENGTH_AB%2522:1.0,%2522HPO%2522:100.0%257D", "Show Evidence...")</f>
        <v>Show Evidence...</v>
      </c>
    </row>
    <row r="902" spans="1:10" ht="12.75">
      <c r="A902" s="2" t="s">
        <v>50</v>
      </c>
      <c r="B902" s="2" t="s">
        <v>1578</v>
      </c>
      <c r="C902" s="2" t="s">
        <v>24</v>
      </c>
      <c r="D902" s="2" t="s">
        <v>1579</v>
      </c>
      <c r="E902" s="2" t="s">
        <v>431</v>
      </c>
      <c r="F902" s="11" t="s">
        <v>1319</v>
      </c>
      <c r="G902" t="s">
        <v>38</v>
      </c>
      <c r="H902" t="s">
        <v>1320</v>
      </c>
      <c r="I902" t="s">
        <v>1697</v>
      </c>
      <c r="J902" s="6" t="str">
        <f>HYPERLINK("https://www.biovista.com/db/link/%5B%5B%22Disease%7CGTPCH%20deficiency%22%5D,%20%5B%22Human%20Phenotype%7CTremor%22%5D%5D?strength-weight-map=%257B%2522MEDLINE_STRENGTH_AB%2522:1.0,%2522HPO%2522:100.0%257D", "Show Evidence...")</f>
        <v>Show Evidence...</v>
      </c>
    </row>
    <row r="903" spans="1:10" ht="12.75">
      <c r="A903" s="2" t="s">
        <v>50</v>
      </c>
      <c r="B903" s="2" t="s">
        <v>1578</v>
      </c>
      <c r="C903" s="2" t="s">
        <v>24</v>
      </c>
      <c r="D903" s="2" t="s">
        <v>1579</v>
      </c>
      <c r="E903" s="2" t="s">
        <v>431</v>
      </c>
      <c r="F903" s="11" t="s">
        <v>444</v>
      </c>
      <c r="G903" t="s">
        <v>38</v>
      </c>
      <c r="H903" t="s">
        <v>445</v>
      </c>
      <c r="I903" t="s">
        <v>1698</v>
      </c>
      <c r="J903" s="6" t="str">
        <f>HYPERLINK("https://www.biovista.com/db/link/%5B%5B%22Disease%7CGTPCH%20deficiency%22%5D,%20%5B%22Human%20Phenotype%7CFeeding%20difficulties%22%5D%5D?strength-weight-map=%257B%2522MEDLINE_STRENGTH_AB%2522:1.0,%2522HPO%2522:100.0%257D", "Show Evidence...")</f>
        <v>Show Evidence...</v>
      </c>
    </row>
    <row r="904" spans="1:10" ht="12.75">
      <c r="A904" s="2" t="s">
        <v>50</v>
      </c>
      <c r="B904" s="2" t="s">
        <v>1578</v>
      </c>
      <c r="C904" s="2" t="s">
        <v>24</v>
      </c>
      <c r="D904" s="2" t="s">
        <v>1579</v>
      </c>
      <c r="E904" s="2" t="s">
        <v>431</v>
      </c>
      <c r="F904" s="11" t="s">
        <v>1699</v>
      </c>
      <c r="G904" t="s">
        <v>38</v>
      </c>
      <c r="H904" t="s">
        <v>1700</v>
      </c>
      <c r="I904" t="s">
        <v>1698</v>
      </c>
      <c r="J904" s="6" t="str">
        <f>HYPERLINK("https://www.biovista.com/db/link/%5B%5B%22Disease%7CGTPCH%20deficiency%22%5D,%20%5B%22Human%20Phenotype%7CGeneralized%20hypotonia%22%5D%5D?strength-weight-map=%257B%2522MEDLINE_STRENGTH_AB%2522:1.0,%2522HPO%2522:100.0%257D", "Show Evidence...")</f>
        <v>Show Evidence...</v>
      </c>
    </row>
    <row r="905" spans="1:10" ht="12.75">
      <c r="A905" s="2" t="s">
        <v>50</v>
      </c>
      <c r="B905" s="2" t="s">
        <v>1578</v>
      </c>
      <c r="C905" s="2" t="s">
        <v>24</v>
      </c>
      <c r="D905" s="2" t="s">
        <v>1579</v>
      </c>
      <c r="E905" s="2" t="s">
        <v>431</v>
      </c>
      <c r="F905" s="11" t="s">
        <v>1249</v>
      </c>
      <c r="G905" t="s">
        <v>38</v>
      </c>
      <c r="H905" t="s">
        <v>1250</v>
      </c>
      <c r="I905" t="s">
        <v>1698</v>
      </c>
      <c r="J905" s="6" t="str">
        <f>HYPERLINK("https://www.biovista.com/db/link/%5B%5B%22Disease%7CGTPCH%20deficiency%22%5D,%20%5B%22Human%20Phenotype%7CInfantile%20onset%22%5D%5D?strength-weight-map=%257B%2522MEDLINE_STRENGTH_AB%2522:1.0,%2522HPO%2522:100.0%257D", "Show Evidence...")</f>
        <v>Show Evidence...</v>
      </c>
    </row>
    <row r="906" spans="1:10" ht="12.75">
      <c r="A906" s="2" t="s">
        <v>50</v>
      </c>
      <c r="B906" s="2" t="s">
        <v>1578</v>
      </c>
      <c r="C906" s="2" t="s">
        <v>24</v>
      </c>
      <c r="D906" s="2" t="s">
        <v>1579</v>
      </c>
      <c r="E906" s="2" t="s">
        <v>431</v>
      </c>
      <c r="F906" s="11" t="s">
        <v>1362</v>
      </c>
      <c r="G906" t="s">
        <v>38</v>
      </c>
      <c r="H906" t="s">
        <v>1363</v>
      </c>
      <c r="I906" t="s">
        <v>1698</v>
      </c>
      <c r="J906" s="6" t="str">
        <f>HYPERLINK("https://www.biovista.com/db/link/%5B%5B%22Disease%7CGTPCH%20deficiency%22%5D,%20%5B%22Human%20Phenotype%7CNeonatal%20onset%22%5D%5D?strength-weight-map=%257B%2522MEDLINE_STRENGTH_AB%2522:1.0,%2522HPO%2522:100.0%257D", "Show Evidence...")</f>
        <v>Show Evidence...</v>
      </c>
    </row>
    <row r="907" spans="1:10" ht="12.75">
      <c r="A907" s="2" t="s">
        <v>50</v>
      </c>
      <c r="B907" s="2" t="s">
        <v>1578</v>
      </c>
      <c r="C907" s="2" t="s">
        <v>24</v>
      </c>
      <c r="D907" s="2" t="s">
        <v>1579</v>
      </c>
      <c r="E907" s="2" t="s">
        <v>431</v>
      </c>
      <c r="F907" s="11" t="s">
        <v>1410</v>
      </c>
      <c r="G907" t="s">
        <v>38</v>
      </c>
      <c r="H907" t="s">
        <v>1411</v>
      </c>
      <c r="I907" t="s">
        <v>1233</v>
      </c>
      <c r="J907" s="6" t="str">
        <f>HYPERLINK("https://www.biovista.com/db/link/%5B%5B%22Disease%7CGTPCH%20deficiency%22%5D,%20%5B%22Human%20Phenotype%7CChoreoathetosis%22%5D%5D?strength-weight-map=%257B%2522MEDLINE_STRENGTH_AB%2522:1.0,%2522HPO%2522:100.0%257D", "Show Evidence...")</f>
        <v>Show Evidence...</v>
      </c>
    </row>
    <row r="908" spans="1:10" ht="12.75">
      <c r="A908" s="2" t="s">
        <v>50</v>
      </c>
      <c r="B908" s="2" t="s">
        <v>1578</v>
      </c>
      <c r="C908" s="2" t="s">
        <v>24</v>
      </c>
      <c r="D908" s="2" t="s">
        <v>1579</v>
      </c>
      <c r="E908" s="2" t="s">
        <v>431</v>
      </c>
      <c r="F908" s="11" t="s">
        <v>1701</v>
      </c>
      <c r="G908" t="s">
        <v>38</v>
      </c>
      <c r="H908" t="s">
        <v>1702</v>
      </c>
      <c r="I908" t="s">
        <v>1233</v>
      </c>
      <c r="J908" s="6" t="str">
        <f>HYPERLINK("https://www.biovista.com/db/link/%5B%5B%22Disease%7CGTPCH%20deficiency%22%5D,%20%5B%22Human%20Phenotype%7CDecreased%20urinary%20biopterin%20level%22%5D%5D?strength-weight-map=%257B%2522MEDLINE_STRENGTH_AB%2522:1.0,%2522HPO%2522:100.0%257D", "Show Evidence...")</f>
        <v>Show Evidence...</v>
      </c>
    </row>
    <row r="909" spans="1:10" ht="12.75">
      <c r="A909" s="2" t="s">
        <v>50</v>
      </c>
      <c r="B909" s="2" t="s">
        <v>1578</v>
      </c>
      <c r="C909" s="2" t="s">
        <v>24</v>
      </c>
      <c r="D909" s="2" t="s">
        <v>1579</v>
      </c>
      <c r="E909" s="2" t="s">
        <v>431</v>
      </c>
      <c r="F909" s="11" t="s">
        <v>1703</v>
      </c>
      <c r="G909" t="s">
        <v>38</v>
      </c>
      <c r="H909" t="s">
        <v>1704</v>
      </c>
      <c r="I909" t="s">
        <v>1233</v>
      </c>
      <c r="J909" s="6" t="str">
        <f>HYPERLINK("https://www.biovista.com/db/link/%5B%5B%22Disease%7CGTPCH%20deficiency%22%5D,%20%5B%22Human%20Phenotype%7CDecreased%20urinary%20neopterin%20level%22%5D%5D?strength-weight-map=%257B%2522MEDLINE_STRENGTH_AB%2522:1.0,%2522HPO%2522:100.0%257D", "Show Evidence...")</f>
        <v>Show Evidence...</v>
      </c>
    </row>
    <row r="910" spans="1:10" ht="12.75">
      <c r="A910" s="2" t="s">
        <v>50</v>
      </c>
      <c r="B910" s="2" t="s">
        <v>1578</v>
      </c>
      <c r="C910" s="2" t="s">
        <v>24</v>
      </c>
      <c r="D910" s="2" t="s">
        <v>1579</v>
      </c>
      <c r="E910" s="2" t="s">
        <v>431</v>
      </c>
      <c r="F910" s="11" t="s">
        <v>1705</v>
      </c>
      <c r="G910" t="s">
        <v>38</v>
      </c>
      <c r="H910" t="s">
        <v>1706</v>
      </c>
      <c r="I910" t="s">
        <v>1233</v>
      </c>
      <c r="J910" s="6" t="str">
        <f>HYPERLINK("https://www.biovista.com/db/link/%5B%5B%22Disease%7CGTPCH%20deficiency%22%5D,%20%5B%22Human%20Phenotype%7CIncreased%20CSF%20phenylalanine%20concentration%22%5D%5D?strength-weight-map=%257B%2522MEDLINE_STRENGTH_AB%2522:1.0,%2522HPO%2522:100.0%257D", "Show Evidence...")</f>
        <v>Show Evidence...</v>
      </c>
    </row>
    <row r="911" spans="1:10" ht="12.75">
      <c r="A911" s="2" t="s">
        <v>50</v>
      </c>
      <c r="B911" s="2" t="s">
        <v>1578</v>
      </c>
      <c r="C911" s="2" t="s">
        <v>24</v>
      </c>
      <c r="D911" s="2" t="s">
        <v>1579</v>
      </c>
      <c r="E911" s="2" t="s">
        <v>431</v>
      </c>
      <c r="F911" s="11" t="s">
        <v>447</v>
      </c>
      <c r="G911" t="s">
        <v>38</v>
      </c>
      <c r="H911" t="s">
        <v>448</v>
      </c>
      <c r="I911" t="s">
        <v>1233</v>
      </c>
      <c r="J911" s="6" t="str">
        <f>HYPERLINK("https://www.biovista.com/db/link/%5B%5B%22Disease%7CGTPCH%20deficiency%22%5D,%20%5B%22Human%20Phenotype%7CPoor%20suck%22%5D%5D?strength-weight-map=%257B%2522MEDLINE_STRENGTH_AB%2522:1.0,%2522HPO%2522:100.0%257D", "Show Evidence...")</f>
        <v>Show Evidence...</v>
      </c>
    </row>
    <row r="912" spans="1:10" ht="12.75">
      <c r="A912" s="2" t="s">
        <v>50</v>
      </c>
      <c r="B912" s="2" t="s">
        <v>1578</v>
      </c>
      <c r="C912" s="2" t="s">
        <v>24</v>
      </c>
      <c r="D912" s="2" t="s">
        <v>1579</v>
      </c>
      <c r="E912" s="2" t="s">
        <v>431</v>
      </c>
      <c r="F912" s="11" t="s">
        <v>1707</v>
      </c>
      <c r="G912" t="s">
        <v>38</v>
      </c>
      <c r="H912" t="s">
        <v>1708</v>
      </c>
      <c r="I912" t="s">
        <v>1709</v>
      </c>
      <c r="J912" s="6" t="str">
        <f>HYPERLINK("https://www.biovista.com/db/link/%5B%5B%22Disease%7CGTPCH%20deficiency%22%5D,%20%5B%22Human%20Phenotype%7CAutosomal%20dominant%20inheritance%22%5D%5D?strength-weight-map=%257B%2522MEDLINE_STRENGTH_AB%2522:1.0,%2522HPO%2522:100.0%257D", "Show Evidence...")</f>
        <v>Show Evidence...</v>
      </c>
    </row>
    <row r="913" spans="1:10" ht="12.75">
      <c r="A913" s="2" t="s">
        <v>50</v>
      </c>
      <c r="B913" s="2" t="s">
        <v>1578</v>
      </c>
      <c r="C913" s="2" t="s">
        <v>24</v>
      </c>
      <c r="D913" s="2" t="s">
        <v>1579</v>
      </c>
      <c r="E913" s="2" t="s">
        <v>431</v>
      </c>
      <c r="F913" s="11" t="s">
        <v>1710</v>
      </c>
      <c r="G913" t="s">
        <v>38</v>
      </c>
      <c r="H913" t="s">
        <v>1711</v>
      </c>
      <c r="I913" t="s">
        <v>1712</v>
      </c>
      <c r="J913" s="6" t="str">
        <f>HYPERLINK("https://www.biovista.com/db/link/%5B%5B%22Disease%7CGTPCH%20deficiency%22%5D,%20%5B%22Human%20Phenotype%7CDiurnal%22%5D%5D?strength-weight-map=%257B%2522MEDLINE_STRENGTH_AB%2522:1.0,%2522HPO%2522:100.0%257D", "Show Evidence...")</f>
        <v>Show Evidence...</v>
      </c>
    </row>
    <row r="914" spans="1:10" ht="12.75">
      <c r="A914" s="2" t="s">
        <v>50</v>
      </c>
      <c r="B914" s="2" t="s">
        <v>1578</v>
      </c>
      <c r="C914" s="2" t="s">
        <v>24</v>
      </c>
      <c r="D914" s="2" t="s">
        <v>1579</v>
      </c>
      <c r="E914" s="2" t="s">
        <v>431</v>
      </c>
      <c r="F914" s="11" t="s">
        <v>1713</v>
      </c>
      <c r="G914" t="s">
        <v>38</v>
      </c>
      <c r="H914" t="s">
        <v>1714</v>
      </c>
      <c r="I914" t="s">
        <v>1592</v>
      </c>
      <c r="J914" s="6" t="str">
        <f>HYPERLINK("https://www.biovista.com/db/link/%5B%5B%22Disease%7CGTPCH%20deficiency%22%5D,%20%5B%22Human%20Phenotype%7CAxial%20hypotonia%22%5D%5D?strength-weight-map=%257B%2522MEDLINE_STRENGTH_AB%2522:1.0,%2522HPO%2522:100.0%257D", "Show Evidence...")</f>
        <v>Show Evidence...</v>
      </c>
    </row>
    <row r="915" spans="1:10" ht="12.75">
      <c r="A915" s="2" t="s">
        <v>50</v>
      </c>
      <c r="B915" s="2" t="s">
        <v>1578</v>
      </c>
      <c r="C915" s="2" t="s">
        <v>24</v>
      </c>
      <c r="D915" s="2" t="s">
        <v>1579</v>
      </c>
      <c r="E915" s="2" t="s">
        <v>431</v>
      </c>
      <c r="F915" s="11" t="s">
        <v>470</v>
      </c>
      <c r="G915" t="s">
        <v>38</v>
      </c>
      <c r="H915" t="s">
        <v>471</v>
      </c>
      <c r="I915" t="s">
        <v>1592</v>
      </c>
      <c r="J915" s="6" t="str">
        <f>HYPERLINK("https://www.biovista.com/db/link/%5B%5B%22Disease%7CGTPCH%20deficiency%22%5D,%20%5B%22Human%20Phenotype%7CIntellectual%20disability%22%5D%5D?strength-weight-map=%257B%2522MEDLINE_STRENGTH_AB%2522:1.0,%2522HPO%2522:100.0%257D", "Show Evidence...")</f>
        <v>Show Evidence...</v>
      </c>
    </row>
    <row r="916" spans="1:10" ht="12.75">
      <c r="A916" s="2" t="s">
        <v>50</v>
      </c>
      <c r="B916" s="2" t="s">
        <v>1578</v>
      </c>
      <c r="C916" s="2" t="s">
        <v>24</v>
      </c>
      <c r="D916" s="2" t="s">
        <v>1579</v>
      </c>
      <c r="E916" s="2" t="s">
        <v>431</v>
      </c>
      <c r="F916" s="11" t="s">
        <v>1418</v>
      </c>
      <c r="G916" t="s">
        <v>38</v>
      </c>
      <c r="H916" t="s">
        <v>1419</v>
      </c>
      <c r="I916" t="s">
        <v>1592</v>
      </c>
      <c r="J916" s="6" t="str">
        <f>HYPERLINK("https://www.biovista.com/db/link/%5B%5B%22Disease%7CGTPCH%20deficiency%22%5D,%20%5B%22Human%20Phenotype%7CPurpura%22%5D%5D?strength-weight-map=%257B%2522MEDLINE_STRENGTH_AB%2522:1.0,%2522HPO%2522:100.0%257D", "Show Evidence...")</f>
        <v>Show Evidence...</v>
      </c>
    </row>
    <row r="917" spans="1:10" ht="12.75">
      <c r="A917" s="2" t="s">
        <v>50</v>
      </c>
      <c r="B917" s="2" t="s">
        <v>1578</v>
      </c>
      <c r="C917" s="2" t="s">
        <v>24</v>
      </c>
      <c r="D917" s="2" t="s">
        <v>1579</v>
      </c>
      <c r="E917" s="2" t="s">
        <v>431</v>
      </c>
      <c r="F917" s="11" t="s">
        <v>1368</v>
      </c>
      <c r="G917" t="s">
        <v>38</v>
      </c>
      <c r="H917" t="s">
        <v>1369</v>
      </c>
      <c r="I917" t="s">
        <v>1593</v>
      </c>
      <c r="J917" s="6" t="str">
        <f>HYPERLINK("https://www.biovista.com/db/link/%5B%5B%22Disease%7CGTPCH%20deficiency%22%5D,%20%5B%22Human%20Phenotype%7CAbnormality%20of%20movement%22%5D%5D?strength-weight-map=%257B%2522MEDLINE_STRENGTH_AB%2522:1.0,%2522HPO%2522:100.0%257D", "Show Evidence...")</f>
        <v>Show Evidence...</v>
      </c>
    </row>
    <row r="918" spans="1:10" ht="12.75">
      <c r="A918" s="2" t="s">
        <v>50</v>
      </c>
      <c r="B918" s="2" t="s">
        <v>1578</v>
      </c>
      <c r="C918" s="2" t="s">
        <v>24</v>
      </c>
      <c r="D918" s="2" t="s">
        <v>1579</v>
      </c>
      <c r="E918" s="2" t="s">
        <v>431</v>
      </c>
      <c r="F918" s="11" t="s">
        <v>1406</v>
      </c>
      <c r="G918" t="s">
        <v>38</v>
      </c>
      <c r="H918" t="s">
        <v>1407</v>
      </c>
      <c r="I918" t="s">
        <v>1593</v>
      </c>
      <c r="J918" s="6" t="str">
        <f>HYPERLINK("https://www.biovista.com/db/link/%5B%5B%22Disease%7CGTPCH%20deficiency%22%5D,%20%5B%22Human%20Phenotype%7CDyskinesia%22%5D%5D?strength-weight-map=%257B%2522MEDLINE_STRENGTH_AB%2522:1.0,%2522HPO%2522:100.0%257D", "Show Evidence...")</f>
        <v>Show Evidence...</v>
      </c>
    </row>
    <row r="919" spans="1:10" ht="12.75">
      <c r="A919" s="2" t="s">
        <v>50</v>
      </c>
      <c r="B919" s="2" t="s">
        <v>1578</v>
      </c>
      <c r="C919" s="2" t="s">
        <v>24</v>
      </c>
      <c r="D919" s="2" t="s">
        <v>1579</v>
      </c>
      <c r="E919" s="2" t="s">
        <v>431</v>
      </c>
      <c r="F919" s="11" t="s">
        <v>617</v>
      </c>
      <c r="G919" t="s">
        <v>38</v>
      </c>
      <c r="H919" t="s">
        <v>618</v>
      </c>
      <c r="I919" t="s">
        <v>1593</v>
      </c>
      <c r="J919" s="6" t="str">
        <f>HYPERLINK("https://www.biovista.com/db/link/%5B%5B%22Disease%7CGTPCH%20deficiency%22%5D,%20%5B%22Human%20Phenotype%7CHealthy%22%5D%5D?strength-weight-map=%257B%2522MEDLINE_STRENGTH_AB%2522:1.0,%2522HPO%2522:100.0%257D", "Show Evidence...")</f>
        <v>Show Evidence...</v>
      </c>
    </row>
    <row r="920" spans="1:10" ht="12.75">
      <c r="A920" s="2" t="s">
        <v>50</v>
      </c>
      <c r="B920" s="2" t="s">
        <v>1578</v>
      </c>
      <c r="C920" s="2" t="s">
        <v>24</v>
      </c>
      <c r="D920" s="2" t="s">
        <v>1579</v>
      </c>
      <c r="E920" s="2" t="s">
        <v>431</v>
      </c>
      <c r="F920" s="11" t="s">
        <v>520</v>
      </c>
      <c r="G920" t="s">
        <v>38</v>
      </c>
      <c r="H920" t="s">
        <v>521</v>
      </c>
      <c r="I920" t="s">
        <v>1593</v>
      </c>
      <c r="J920" s="6" t="str">
        <f>HYPERLINK("https://www.biovista.com/db/link/%5B%5B%22Disease%7CGTPCH%20deficiency%22%5D,%20%5B%22Human%20Phenotype%7CMotor%20delay%22%5D%5D?strength-weight-map=%257B%2522MEDLINE_STRENGTH_AB%2522:1.0,%2522HPO%2522:100.0%257D", "Show Evidence...")</f>
        <v>Show Evidence...</v>
      </c>
    </row>
    <row r="921" spans="1:10" ht="12.75">
      <c r="A921" s="2" t="s">
        <v>50</v>
      </c>
      <c r="B921" s="2" t="s">
        <v>1578</v>
      </c>
      <c r="C921" s="2" t="s">
        <v>24</v>
      </c>
      <c r="D921" s="2" t="s">
        <v>1579</v>
      </c>
      <c r="E921" s="2" t="s">
        <v>431</v>
      </c>
      <c r="F921" s="11" t="s">
        <v>1715</v>
      </c>
      <c r="G921" t="s">
        <v>38</v>
      </c>
      <c r="H921" t="s">
        <v>1716</v>
      </c>
      <c r="I921" t="s">
        <v>1593</v>
      </c>
      <c r="J921" s="6" t="str">
        <f>HYPERLINK("https://www.biovista.com/db/link/%5B%5B%22Disease%7CGTPCH%20deficiency%22%5D,%20%5B%22Human%20Phenotype%7CParkinsonism%22%5D%5D?strength-weight-map=%257B%2522MEDLINE_STRENGTH_AB%2522:1.0,%2522HPO%2522:100.0%257D", "Show Evidence...")</f>
        <v>Show Evidence...</v>
      </c>
    </row>
    <row r="922" spans="1:10" ht="12.75">
      <c r="A922" s="2" t="s">
        <v>50</v>
      </c>
      <c r="B922" s="2" t="s">
        <v>1578</v>
      </c>
      <c r="C922" s="2" t="s">
        <v>24</v>
      </c>
      <c r="D922" s="2" t="s">
        <v>1579</v>
      </c>
      <c r="E922" s="2" t="s">
        <v>431</v>
      </c>
      <c r="F922" s="11" t="s">
        <v>1717</v>
      </c>
      <c r="G922" t="s">
        <v>38</v>
      </c>
      <c r="H922" t="s">
        <v>1718</v>
      </c>
      <c r="I922" t="s">
        <v>1719</v>
      </c>
      <c r="J922" s="6" t="str">
        <f>HYPERLINK("https://www.biovista.com/db/link/%5B%5B%22Disease%7CGTPCH%20deficiency%22%5D,%20%5B%22Human%20Phenotype%7CAutosomal%20recessive%20inheritance%22%5D%5D?strength-weight-map=%257B%2522MEDLINE_STRENGTH_AB%2522:1.0,%2522HPO%2522:100.0%257D", "Show Evidence...")</f>
        <v>Show Evidence...</v>
      </c>
    </row>
    <row r="923" spans="1:10" ht="12.75">
      <c r="A923" s="2" t="s">
        <v>50</v>
      </c>
      <c r="B923" s="2" t="s">
        <v>1578</v>
      </c>
      <c r="C923" s="2" t="s">
        <v>24</v>
      </c>
      <c r="D923" s="2" t="s">
        <v>1579</v>
      </c>
      <c r="E923" s="2" t="s">
        <v>431</v>
      </c>
      <c r="F923" s="11" t="s">
        <v>1445</v>
      </c>
      <c r="G923" t="s">
        <v>38</v>
      </c>
      <c r="H923" t="s">
        <v>1446</v>
      </c>
      <c r="I923" t="s">
        <v>1596</v>
      </c>
      <c r="J923" s="6" t="str">
        <f>HYPERLINK("https://www.biovista.com/db/link/%5B%5B%22Disease%7CGTPCH%20deficiency%22%5D,%20%5B%22Human%20Phenotype%7CAbnormality%20of%20extrapyramidal%20motor%20function%22%5D%5D?strength-weight-map=%257B%2522MEDLINE_STRENGTH_AB%2522:1.0,%2522HPO%2522:100.0%257D", "Show Evidence...")</f>
        <v>Show Evidence...</v>
      </c>
    </row>
    <row r="924" spans="1:10" ht="12.75">
      <c r="A924" s="2" t="s">
        <v>50</v>
      </c>
      <c r="B924" s="2" t="s">
        <v>1578</v>
      </c>
      <c r="C924" s="2" t="s">
        <v>24</v>
      </c>
      <c r="D924" s="2" t="s">
        <v>1579</v>
      </c>
      <c r="E924" s="2" t="s">
        <v>431</v>
      </c>
      <c r="F924" s="11" t="s">
        <v>1413</v>
      </c>
      <c r="G924" t="s">
        <v>38</v>
      </c>
      <c r="H924" t="s">
        <v>1414</v>
      </c>
      <c r="I924" t="s">
        <v>1596</v>
      </c>
      <c r="J924" s="6" t="str">
        <f>HYPERLINK("https://www.biovista.com/db/link/%5B%5B%22Disease%7CGTPCH%20deficiency%22%5D,%20%5B%22Human%20Phenotype%7CFever%22%5D%5D?strength-weight-map=%257B%2522MEDLINE_STRENGTH_AB%2522:1.0,%2522HPO%2522:100.0%257D", "Show Evidence...")</f>
        <v>Show Evidence...</v>
      </c>
    </row>
    <row r="925" spans="1:10" ht="12.75">
      <c r="A925" s="2" t="s">
        <v>50</v>
      </c>
      <c r="B925" s="2" t="s">
        <v>1578</v>
      </c>
      <c r="C925" s="2" t="s">
        <v>24</v>
      </c>
      <c r="D925" s="2" t="s">
        <v>1579</v>
      </c>
      <c r="E925" s="2" t="s">
        <v>431</v>
      </c>
      <c r="F925" s="11" t="s">
        <v>1720</v>
      </c>
      <c r="G925" t="s">
        <v>38</v>
      </c>
      <c r="H925" t="s">
        <v>1721</v>
      </c>
      <c r="I925" t="s">
        <v>1596</v>
      </c>
      <c r="J925" s="6" t="str">
        <f>HYPERLINK("https://www.biovista.com/db/link/%5B%5B%22Disease%7CGTPCH%20deficiency%22%5D,%20%5B%22Human%20Phenotype%7CHypertonia%22%5D%5D?strength-weight-map=%257B%2522MEDLINE_STRENGTH_AB%2522:1.0,%2522HPO%2522:100.0%257D", "Show Evidence...")</f>
        <v>Show Evidence...</v>
      </c>
    </row>
    <row r="926" spans="1:10" ht="12.75">
      <c r="A926" s="2" t="s">
        <v>50</v>
      </c>
      <c r="B926" s="2" t="s">
        <v>1578</v>
      </c>
      <c r="C926" s="2" t="s">
        <v>24</v>
      </c>
      <c r="D926" s="2" t="s">
        <v>1579</v>
      </c>
      <c r="E926" s="2" t="s">
        <v>431</v>
      </c>
      <c r="F926" s="11" t="s">
        <v>1722</v>
      </c>
      <c r="G926" t="s">
        <v>38</v>
      </c>
      <c r="H926" t="s">
        <v>1723</v>
      </c>
      <c r="I926" t="s">
        <v>1596</v>
      </c>
      <c r="J926" s="6" t="str">
        <f>HYPERLINK("https://www.biovista.com/db/link/%5B%5B%22Disease%7CGTPCH%20deficiency%22%5D,%20%5B%22Human%20Phenotype%7CProgressive%20encephalopathy%22%5D%5D?strength-weight-map=%257B%2522MEDLINE_STRENGTH_AB%2522:1.0,%2522HPO%2522:100.0%257D", "Show Evidence...")</f>
        <v>Show Evidence...</v>
      </c>
    </row>
    <row r="927" spans="1:10" ht="12.75">
      <c r="A927" s="2" t="s">
        <v>50</v>
      </c>
      <c r="B927" s="2" t="s">
        <v>1578</v>
      </c>
      <c r="C927" s="2" t="s">
        <v>24</v>
      </c>
      <c r="D927" s="2" t="s">
        <v>1579</v>
      </c>
      <c r="E927" s="2" t="s">
        <v>431</v>
      </c>
      <c r="F927" s="11" t="s">
        <v>640</v>
      </c>
      <c r="G927" t="s">
        <v>38</v>
      </c>
      <c r="H927" t="s">
        <v>641</v>
      </c>
      <c r="I927" t="s">
        <v>1596</v>
      </c>
      <c r="J927" s="6" t="str">
        <f>HYPERLINK("https://www.biovista.com/db/link/%5B%5B%22Disease%7CGTPCH%20deficiency%22%5D,%20%5B%22Human%20Phenotype%7CRecurrent%22%5D%5D?strength-weight-map=%257B%2522MEDLINE_STRENGTH_AB%2522:1.0,%2522HPO%2522:100.0%257D", "Show Evidence...")</f>
        <v>Show Evidence...</v>
      </c>
    </row>
    <row r="928" spans="1:10" ht="12.75">
      <c r="A928" s="2" t="s">
        <v>50</v>
      </c>
      <c r="B928" s="2" t="s">
        <v>1578</v>
      </c>
      <c r="C928" s="2" t="s">
        <v>24</v>
      </c>
      <c r="D928" s="2" t="s">
        <v>1579</v>
      </c>
      <c r="E928" s="2" t="s">
        <v>431</v>
      </c>
      <c r="F928" s="11" t="s">
        <v>1724</v>
      </c>
      <c r="G928" t="s">
        <v>38</v>
      </c>
      <c r="H928" t="s">
        <v>1725</v>
      </c>
      <c r="I928" t="s">
        <v>1596</v>
      </c>
      <c r="J928" s="6" t="str">
        <f>HYPERLINK("https://www.biovista.com/db/link/%5B%5B%22Disease%7CGTPCH%20deficiency%22%5D,%20%5B%22Human%20Phenotype%7CVomiting%22%5D%5D?strength-weight-map=%257B%2522MEDLINE_STRENGTH_AB%2522:1.0,%2522HPO%2522:100.0%257D", "Show Evidence...")</f>
        <v>Show Evidence...</v>
      </c>
    </row>
    <row r="929" spans="1:10" ht="12.75">
      <c r="A929" s="2" t="s">
        <v>50</v>
      </c>
      <c r="B929" s="2" t="s">
        <v>1578</v>
      </c>
      <c r="C929" s="2" t="s">
        <v>24</v>
      </c>
      <c r="D929" s="2" t="s">
        <v>1579</v>
      </c>
      <c r="E929" s="2" t="s">
        <v>431</v>
      </c>
      <c r="F929" s="11" t="s">
        <v>441</v>
      </c>
      <c r="G929" t="s">
        <v>38</v>
      </c>
      <c r="H929" t="s">
        <v>442</v>
      </c>
      <c r="I929" t="s">
        <v>1726</v>
      </c>
      <c r="J929" s="6" t="str">
        <f>HYPERLINK("https://www.biovista.com/db/link/%5B%5B%22Disease%7CGTPCH%20deficiency%22%5D,%20%5B%22Human%20Phenotype%7CDysphagia%22%5D%5D?strength-weight-map=%257B%2522MEDLINE_STRENGTH_AB%2522:1.0,%2522HPO%2522:100.0%257D", "Show Evidence...")</f>
        <v>Show Evidence...</v>
      </c>
    </row>
    <row r="930" spans="1:10" ht="12.75">
      <c r="A930" s="2" t="s">
        <v>50</v>
      </c>
      <c r="B930" s="2" t="s">
        <v>1578</v>
      </c>
      <c r="C930" s="2" t="s">
        <v>24</v>
      </c>
      <c r="D930" s="2" t="s">
        <v>1579</v>
      </c>
      <c r="E930" s="2" t="s">
        <v>431</v>
      </c>
      <c r="F930" s="11" t="s">
        <v>1315</v>
      </c>
      <c r="G930" t="s">
        <v>38</v>
      </c>
      <c r="H930" t="s">
        <v>1316</v>
      </c>
      <c r="I930" t="s">
        <v>1726</v>
      </c>
      <c r="J930" s="6" t="str">
        <f>HYPERLINK("https://www.biovista.com/db/link/%5B%5B%22Disease%7CGTPCH%20deficiency%22%5D,%20%5B%22Human%20Phenotype%7CRigidity%22%5D%5D?strength-weight-map=%257B%2522MEDLINE_STRENGTH_AB%2522:1.0,%2522HPO%2522:100.0%257D", "Show Evidence...")</f>
        <v>Show Evidence...</v>
      </c>
    </row>
    <row r="931" spans="1:10" ht="12.75">
      <c r="A931" s="2" t="s">
        <v>50</v>
      </c>
      <c r="B931" s="2" t="s">
        <v>1578</v>
      </c>
      <c r="C931" s="2" t="s">
        <v>24</v>
      </c>
      <c r="D931" s="2" t="s">
        <v>1579</v>
      </c>
      <c r="E931" s="2" t="s">
        <v>431</v>
      </c>
      <c r="F931" s="11" t="s">
        <v>1346</v>
      </c>
      <c r="G931" t="s">
        <v>38</v>
      </c>
      <c r="H931" t="s">
        <v>1347</v>
      </c>
      <c r="I931" t="s">
        <v>1726</v>
      </c>
      <c r="J931" s="6" t="str">
        <f>HYPERLINK("https://www.biovista.com/db/link/%5B%5B%22Disease%7CGTPCH%20deficiency%22%5D,%20%5B%22Human%20Phenotype%7CSevere%20muscular%20hypotonia%22%5D%5D?strength-weight-map=%257B%2522MEDLINE_STRENGTH_AB%2522:1.0,%2522HPO%2522:100.0%257D", "Show Evidence...")</f>
        <v>Show Evidence...</v>
      </c>
    </row>
    <row r="932" spans="1:10" ht="12.75">
      <c r="A932" s="2" t="s">
        <v>50</v>
      </c>
      <c r="B932" s="2" t="s">
        <v>1578</v>
      </c>
      <c r="C932" s="2" t="s">
        <v>24</v>
      </c>
      <c r="D932" s="2" t="s">
        <v>1579</v>
      </c>
      <c r="E932" s="2" t="s">
        <v>431</v>
      </c>
      <c r="F932" s="11" t="s">
        <v>1727</v>
      </c>
      <c r="G932" t="s">
        <v>38</v>
      </c>
      <c r="H932" t="s">
        <v>1728</v>
      </c>
      <c r="I932" t="s">
        <v>1603</v>
      </c>
      <c r="J932" s="6" t="str">
        <f>HYPERLINK("https://www.biovista.com/db/link/%5B%5B%22Disease%7CGTPCH%20deficiency%22%5D,%20%5B%22Human%20Phenotype%7CAbnormal%20autonomic%20nervous%20system%20physiology%22%5D%5D?strength-weight-map=%257B%2522MEDLINE_STRENGTH_AB%2522:1.0,%2522HPO%2522:100.0%257D", "Show Evidence...")</f>
        <v>Show Evidence...</v>
      </c>
    </row>
    <row r="933" spans="1:10" ht="12.75">
      <c r="A933" s="2" t="s">
        <v>50</v>
      </c>
      <c r="B933" s="2" t="s">
        <v>1578</v>
      </c>
      <c r="C933" s="2" t="s">
        <v>24</v>
      </c>
      <c r="D933" s="2" t="s">
        <v>1579</v>
      </c>
      <c r="E933" s="2" t="s">
        <v>431</v>
      </c>
      <c r="F933" s="11" t="s">
        <v>1729</v>
      </c>
      <c r="G933" t="s">
        <v>38</v>
      </c>
      <c r="H933" t="s">
        <v>1730</v>
      </c>
      <c r="I933" t="s">
        <v>1603</v>
      </c>
      <c r="J933" s="6" t="str">
        <f>HYPERLINK("https://www.biovista.com/db/link/%5B%5B%22Disease%7CGTPCH%20deficiency%22%5D,%20%5B%22Human%20Phenotype%7CAggressive%20behavior%22%5D%5D?strength-weight-map=%257B%2522MEDLINE_STRENGTH_AB%2522:1.0,%2522HPO%2522:100.0%257D", "Show Evidence...")</f>
        <v>Show Evidence...</v>
      </c>
    </row>
    <row r="934" spans="1:10" ht="12.75">
      <c r="A934" s="2" t="s">
        <v>50</v>
      </c>
      <c r="B934" s="2" t="s">
        <v>1578</v>
      </c>
      <c r="C934" s="2" t="s">
        <v>24</v>
      </c>
      <c r="D934" s="2" t="s">
        <v>1579</v>
      </c>
      <c r="E934" s="2" t="s">
        <v>431</v>
      </c>
      <c r="F934" s="11" t="s">
        <v>1731</v>
      </c>
      <c r="G934" t="s">
        <v>38</v>
      </c>
      <c r="H934" t="s">
        <v>1732</v>
      </c>
      <c r="I934" t="s">
        <v>1603</v>
      </c>
      <c r="J934" s="6" t="str">
        <f>HYPERLINK("https://www.biovista.com/db/link/%5B%5B%22Disease%7CGTPCH%20deficiency%22%5D,%20%5B%22Human%20Phenotype%7CAlzheimer%20disease%22%5D%5D?strength-weight-map=%257B%2522MEDLINE_STRENGTH_AB%2522:1.0,%2522HPO%2522:100.0%257D", "Show Evidence...")</f>
        <v>Show Evidence...</v>
      </c>
    </row>
    <row r="935" spans="1:10" ht="12.75">
      <c r="A935" s="2" t="s">
        <v>50</v>
      </c>
      <c r="B935" s="2" t="s">
        <v>1578</v>
      </c>
      <c r="C935" s="2" t="s">
        <v>24</v>
      </c>
      <c r="D935" s="2" t="s">
        <v>1579</v>
      </c>
      <c r="E935" s="2" t="s">
        <v>431</v>
      </c>
      <c r="F935" s="11" t="s">
        <v>631</v>
      </c>
      <c r="G935" t="s">
        <v>38</v>
      </c>
      <c r="H935" t="s">
        <v>632</v>
      </c>
      <c r="I935" t="s">
        <v>1603</v>
      </c>
      <c r="J935" s="6" t="str">
        <f>HYPERLINK("https://www.biovista.com/db/link/%5B%5B%22Disease%7CGTPCH%20deficiency%22%5D,%20%5B%22Human%20Phenotype%7CAsthenia%22%5D%5D?strength-weight-map=%257B%2522MEDLINE_STRENGTH_AB%2522:1.0,%2522HPO%2522:100.0%257D", "Show Evidence...")</f>
        <v>Show Evidence...</v>
      </c>
    </row>
    <row r="936" spans="1:10" ht="12.75">
      <c r="A936" s="2" t="s">
        <v>50</v>
      </c>
      <c r="B936" s="2" t="s">
        <v>1578</v>
      </c>
      <c r="C936" s="2" t="s">
        <v>24</v>
      </c>
      <c r="D936" s="2" t="s">
        <v>1579</v>
      </c>
      <c r="E936" s="2" t="s">
        <v>431</v>
      </c>
      <c r="F936" s="11" t="s">
        <v>660</v>
      </c>
      <c r="G936" t="s">
        <v>38</v>
      </c>
      <c r="H936" t="s">
        <v>661</v>
      </c>
      <c r="I936" t="s">
        <v>1603</v>
      </c>
      <c r="J936" s="6" t="str">
        <f>HYPERLINK("https://www.biovista.com/db/link/%5B%5B%22Disease%7CGTPCH%20deficiency%22%5D,%20%5B%22Human%20Phenotype%7CAtypical%20behavior%22%5D%5D?strength-weight-map=%257B%2522MEDLINE_STRENGTH_AB%2522:1.0,%2522HPO%2522:100.0%257D", "Show Evidence...")</f>
        <v>Show Evidence...</v>
      </c>
    </row>
    <row r="937" spans="1:10" ht="12.75">
      <c r="A937" s="2" t="s">
        <v>50</v>
      </c>
      <c r="B937" s="2" t="s">
        <v>1578</v>
      </c>
      <c r="C937" s="2" t="s">
        <v>24</v>
      </c>
      <c r="D937" s="2" t="s">
        <v>1579</v>
      </c>
      <c r="E937" s="2" t="s">
        <v>431</v>
      </c>
      <c r="F937" s="11" t="s">
        <v>1733</v>
      </c>
      <c r="G937" t="s">
        <v>38</v>
      </c>
      <c r="H937" t="s">
        <v>1734</v>
      </c>
      <c r="I937" t="s">
        <v>1603</v>
      </c>
      <c r="J937" s="6" t="str">
        <f>HYPERLINK("https://www.biovista.com/db/link/%5B%5B%22Disease%7CGTPCH%20deficiency%22%5D,%20%5B%22Human%20Phenotype%7CBradycardia%22%5D%5D?strength-weight-map=%257B%2522MEDLINE_STRENGTH_AB%2522:1.0,%2522HPO%2522:100.0%257D", "Show Evidence...")</f>
        <v>Show Evidence...</v>
      </c>
    </row>
    <row r="938" spans="1:10" ht="12.75">
      <c r="A938" s="2" t="s">
        <v>50</v>
      </c>
      <c r="B938" s="2" t="s">
        <v>1578</v>
      </c>
      <c r="C938" s="2" t="s">
        <v>24</v>
      </c>
      <c r="D938" s="2" t="s">
        <v>1579</v>
      </c>
      <c r="E938" s="2" t="s">
        <v>431</v>
      </c>
      <c r="F938" s="11" t="s">
        <v>1735</v>
      </c>
      <c r="G938" t="s">
        <v>38</v>
      </c>
      <c r="H938" t="s">
        <v>1736</v>
      </c>
      <c r="I938" t="s">
        <v>1603</v>
      </c>
      <c r="J938" s="6" t="str">
        <f>HYPERLINK("https://www.biovista.com/db/link/%5B%5B%22Disease%7CGTPCH%20deficiency%22%5D,%20%5B%22Human%20Phenotype%7CBradykinesia%22%5D%5D?strength-weight-map=%257B%2522MEDLINE_STRENGTH_AB%2522:1.0,%2522HPO%2522:100.0%257D", "Show Evidence...")</f>
        <v>Show Evidence...</v>
      </c>
    </row>
    <row r="939" spans="1:10" ht="12.75">
      <c r="A939" s="2" t="s">
        <v>50</v>
      </c>
      <c r="B939" s="2" t="s">
        <v>1578</v>
      </c>
      <c r="C939" s="2" t="s">
        <v>24</v>
      </c>
      <c r="D939" s="2" t="s">
        <v>1579</v>
      </c>
      <c r="E939" s="2" t="s">
        <v>431</v>
      </c>
      <c r="F939" s="11" t="s">
        <v>1737</v>
      </c>
      <c r="G939" t="s">
        <v>38</v>
      </c>
      <c r="H939" t="s">
        <v>1738</v>
      </c>
      <c r="I939" t="s">
        <v>1603</v>
      </c>
      <c r="J939" s="6" t="str">
        <f>HYPERLINK("https://www.biovista.com/db/link/%5B%5B%22Disease%7CGTPCH%20deficiency%22%5D,%20%5B%22Human%20Phenotype%7CBrisk%20reflexes%22%5D%5D?strength-weight-map=%257B%2522MEDLINE_STRENGTH_AB%2522:1.0,%2522HPO%2522:100.0%257D", "Show Evidence...")</f>
        <v>Show Evidence...</v>
      </c>
    </row>
    <row r="940" spans="1:10" ht="12.75">
      <c r="A940" s="2" t="s">
        <v>50</v>
      </c>
      <c r="B940" s="2" t="s">
        <v>1578</v>
      </c>
      <c r="C940" s="2" t="s">
        <v>24</v>
      </c>
      <c r="D940" s="2" t="s">
        <v>1579</v>
      </c>
      <c r="E940" s="2" t="s">
        <v>431</v>
      </c>
      <c r="F940" s="11" t="s">
        <v>1309</v>
      </c>
      <c r="G940" t="s">
        <v>38</v>
      </c>
      <c r="H940" t="s">
        <v>1310</v>
      </c>
      <c r="I940" t="s">
        <v>1603</v>
      </c>
      <c r="J940" s="6" t="str">
        <f>HYPERLINK("https://www.biovista.com/db/link/%5B%5B%22Disease%7CGTPCH%20deficiency%22%5D,%20%5B%22Human%20Phenotype%7CChildhood%20onset%22%5D%5D?strength-weight-map=%257B%2522MEDLINE_STRENGTH_AB%2522:1.0,%2522HPO%2522:100.0%257D", "Show Evidence...")</f>
        <v>Show Evidence...</v>
      </c>
    </row>
    <row r="941" spans="1:10" ht="12.75">
      <c r="A941" s="2" t="s">
        <v>50</v>
      </c>
      <c r="B941" s="2" t="s">
        <v>1578</v>
      </c>
      <c r="C941" s="2" t="s">
        <v>24</v>
      </c>
      <c r="D941" s="2" t="s">
        <v>1579</v>
      </c>
      <c r="E941" s="2" t="s">
        <v>431</v>
      </c>
      <c r="F941" s="11" t="s">
        <v>1324</v>
      </c>
      <c r="G941" t="s">
        <v>38</v>
      </c>
      <c r="H941" t="s">
        <v>1325</v>
      </c>
      <c r="I941" t="s">
        <v>1603</v>
      </c>
      <c r="J941" s="6" t="str">
        <f>HYPERLINK("https://www.biovista.com/db/link/%5B%5B%22Disease%7CGTPCH%20deficiency%22%5D,%20%5B%22Human%20Phenotype%7CChorea%22%5D%5D?strength-weight-map=%257B%2522MEDLINE_STRENGTH_AB%2522:1.0,%2522HPO%2522:100.0%257D", "Show Evidence...")</f>
        <v>Show Evidence...</v>
      </c>
    </row>
    <row r="942" spans="1:10" ht="12.75">
      <c r="A942" s="2" t="s">
        <v>50</v>
      </c>
      <c r="B942" s="2" t="s">
        <v>1578</v>
      </c>
      <c r="C942" s="2" t="s">
        <v>24</v>
      </c>
      <c r="D942" s="2" t="s">
        <v>1579</v>
      </c>
      <c r="E942" s="2" t="s">
        <v>431</v>
      </c>
      <c r="F942" s="11" t="s">
        <v>1739</v>
      </c>
      <c r="G942" t="s">
        <v>38</v>
      </c>
      <c r="H942" t="s">
        <v>1740</v>
      </c>
      <c r="I942" t="s">
        <v>1603</v>
      </c>
      <c r="J942" s="6" t="str">
        <f>HYPERLINK("https://www.biovista.com/db/link/%5B%5B%22Disease%7CGTPCH%20deficiency%22%5D,%20%5B%22Human%20Phenotype%7CCleft%20lip%22%5D%5D?strength-weight-map=%257B%2522MEDLINE_STRENGTH_AB%2522:1.0,%2522HPO%2522:100.0%257D", "Show Evidence...")</f>
        <v>Show Evidence...</v>
      </c>
    </row>
    <row r="943" spans="1:10" ht="12.75">
      <c r="A943" s="2" t="s">
        <v>50</v>
      </c>
      <c r="B943" s="2" t="s">
        <v>1578</v>
      </c>
      <c r="C943" s="2" t="s">
        <v>24</v>
      </c>
      <c r="D943" s="2" t="s">
        <v>1579</v>
      </c>
      <c r="E943" s="2" t="s">
        <v>431</v>
      </c>
      <c r="F943" s="11" t="s">
        <v>1741</v>
      </c>
      <c r="G943" t="s">
        <v>38</v>
      </c>
      <c r="H943" t="s">
        <v>1742</v>
      </c>
      <c r="I943" t="s">
        <v>1603</v>
      </c>
      <c r="J943" s="6" t="str">
        <f>HYPERLINK("https://www.biovista.com/db/link/%5B%5B%22Disease%7CGTPCH%20deficiency%22%5D,%20%5B%22Human%20Phenotype%7CCleft%20palate%22%5D%5D?strength-weight-map=%257B%2522MEDLINE_STRENGTH_AB%2522:1.0,%2522HPO%2522:100.0%257D", "Show Evidence...")</f>
        <v>Show Evidence...</v>
      </c>
    </row>
    <row r="944" spans="1:10" ht="12.75">
      <c r="A944" s="2" t="s">
        <v>50</v>
      </c>
      <c r="B944" s="2" t="s">
        <v>1578</v>
      </c>
      <c r="C944" s="2" t="s">
        <v>24</v>
      </c>
      <c r="D944" s="2" t="s">
        <v>1579</v>
      </c>
      <c r="E944" s="2" t="s">
        <v>431</v>
      </c>
      <c r="F944" s="11" t="s">
        <v>628</v>
      </c>
      <c r="G944" t="s">
        <v>38</v>
      </c>
      <c r="H944" t="s">
        <v>629</v>
      </c>
      <c r="I944" t="s">
        <v>1603</v>
      </c>
      <c r="J944" s="6" t="str">
        <f>HYPERLINK("https://www.biovista.com/db/link/%5B%5B%22Disease%7CGTPCH%20deficiency%22%5D,%20%5B%22Human%20Phenotype%7CCongestive%20heart%20failure%22%5D%5D?strength-weight-map=%257B%2522MEDLINE_STRENGTH_AB%2522:1.0,%2522HPO%2522:100.0%257D", "Show Evidence...")</f>
        <v>Show Evidence...</v>
      </c>
    </row>
    <row r="945" spans="1:10" ht="12.75">
      <c r="A945" s="2" t="s">
        <v>50</v>
      </c>
      <c r="B945" s="2" t="s">
        <v>1578</v>
      </c>
      <c r="C945" s="2" t="s">
        <v>24</v>
      </c>
      <c r="D945" s="2" t="s">
        <v>1579</v>
      </c>
      <c r="E945" s="2" t="s">
        <v>431</v>
      </c>
      <c r="F945" s="11" t="s">
        <v>566</v>
      </c>
      <c r="G945" t="s">
        <v>38</v>
      </c>
      <c r="H945" t="s">
        <v>567</v>
      </c>
      <c r="I945" t="s">
        <v>1603</v>
      </c>
      <c r="J945" s="6" t="str">
        <f>HYPERLINK("https://www.biovista.com/db/link/%5B%5B%22Disease%7CGTPCH%20deficiency%22%5D,%20%5B%22Human%20Phenotype%7CDepression%22%5D%5D?strength-weight-map=%257B%2522MEDLINE_STRENGTH_AB%2522:1.0,%2522HPO%2522:100.0%257D", "Show Evidence...")</f>
        <v>Show Evidence...</v>
      </c>
    </row>
    <row r="946" spans="1:10" ht="12.75">
      <c r="A946" s="2" t="s">
        <v>50</v>
      </c>
      <c r="B946" s="2" t="s">
        <v>1578</v>
      </c>
      <c r="C946" s="2" t="s">
        <v>24</v>
      </c>
      <c r="D946" s="2" t="s">
        <v>1579</v>
      </c>
      <c r="E946" s="2" t="s">
        <v>431</v>
      </c>
      <c r="F946" s="11" t="s">
        <v>1297</v>
      </c>
      <c r="G946" t="s">
        <v>38</v>
      </c>
      <c r="H946" t="s">
        <v>1298</v>
      </c>
      <c r="I946" t="s">
        <v>1603</v>
      </c>
      <c r="J946" s="6" t="str">
        <f>HYPERLINK("https://www.biovista.com/db/link/%5B%5B%22Disease%7CGTPCH%20deficiency%22%5D,%20%5B%22Human%20Phenotype%7CDevelopmental%20regression%22%5D%5D?strength-weight-map=%257B%2522MEDLINE_STRENGTH_AB%2522:1.0,%2522HPO%2522:100.0%257D", "Show Evidence...")</f>
        <v>Show Evidence...</v>
      </c>
    </row>
    <row r="947" spans="1:10" ht="12.75">
      <c r="A947" s="2" t="s">
        <v>50</v>
      </c>
      <c r="B947" s="2" t="s">
        <v>1578</v>
      </c>
      <c r="C947" s="2" t="s">
        <v>24</v>
      </c>
      <c r="D947" s="2" t="s">
        <v>1579</v>
      </c>
      <c r="E947" s="2" t="s">
        <v>431</v>
      </c>
      <c r="F947" s="11" t="s">
        <v>1743</v>
      </c>
      <c r="G947" t="s">
        <v>38</v>
      </c>
      <c r="H947" t="s">
        <v>1744</v>
      </c>
      <c r="I947" t="s">
        <v>1603</v>
      </c>
      <c r="J947" s="6" t="str">
        <f>HYPERLINK("https://www.biovista.com/db/link/%5B%5B%22Disease%7CGTPCH%20deficiency%22%5D,%20%5B%22Human%20Phenotype%7CDevelopmental%20stagnation%22%5D%5D?strength-weight-map=%257B%2522MEDLINE_STRENGTH_AB%2522:1.0,%2522HPO%2522:100.0%257D", "Show Evidence...")</f>
        <v>Show Evidence...</v>
      </c>
    </row>
    <row r="948" spans="1:10" ht="12.75">
      <c r="A948" s="2" t="s">
        <v>50</v>
      </c>
      <c r="B948" s="2" t="s">
        <v>1578</v>
      </c>
      <c r="C948" s="2" t="s">
        <v>24</v>
      </c>
      <c r="D948" s="2" t="s">
        <v>1579</v>
      </c>
      <c r="E948" s="2" t="s">
        <v>431</v>
      </c>
      <c r="F948" s="11" t="s">
        <v>1745</v>
      </c>
      <c r="G948" t="s">
        <v>38</v>
      </c>
      <c r="H948" t="s">
        <v>1746</v>
      </c>
      <c r="I948" t="s">
        <v>1603</v>
      </c>
      <c r="J948" s="6" t="str">
        <f>HYPERLINK("https://www.biovista.com/db/link/%5B%5B%22Disease%7CGTPCH%20deficiency%22%5D,%20%5B%22Human%20Phenotype%7CDrooling%22%5D%5D?strength-weight-map=%257B%2522MEDLINE_STRENGTH_AB%2522:1.0,%2522HPO%2522:100.0%257D", "Show Evidence...")</f>
        <v>Show Evidence...</v>
      </c>
    </row>
    <row r="949" spans="1:10" ht="12.75">
      <c r="A949" s="2" t="s">
        <v>50</v>
      </c>
      <c r="B949" s="2" t="s">
        <v>1578</v>
      </c>
      <c r="C949" s="2" t="s">
        <v>24</v>
      </c>
      <c r="D949" s="2" t="s">
        <v>1579</v>
      </c>
      <c r="E949" s="2" t="s">
        <v>431</v>
      </c>
      <c r="F949" s="11" t="s">
        <v>1747</v>
      </c>
      <c r="G949" t="s">
        <v>38</v>
      </c>
      <c r="H949" t="s">
        <v>1748</v>
      </c>
      <c r="I949" t="s">
        <v>1603</v>
      </c>
      <c r="J949" s="6" t="str">
        <f>HYPERLINK("https://www.biovista.com/db/link/%5B%5B%22Disease%7CGTPCH%20deficiency%22%5D,%20%5B%22Human%20Phenotype%7CEmotional%20hypersensitivity%22%5D%5D?strength-weight-map=%257B%2522MEDLINE_STRENGTH_AB%2522:1.0,%2522HPO%2522:100.0%257D", "Show Evidence...")</f>
        <v>Show Evidence...</v>
      </c>
    </row>
    <row r="950" spans="1:10" ht="12.75">
      <c r="A950" s="2" t="s">
        <v>50</v>
      </c>
      <c r="B950" s="2" t="s">
        <v>1578</v>
      </c>
      <c r="C950" s="2" t="s">
        <v>24</v>
      </c>
      <c r="D950" s="2" t="s">
        <v>1579</v>
      </c>
      <c r="E950" s="2" t="s">
        <v>431</v>
      </c>
      <c r="F950" s="11" t="s">
        <v>1749</v>
      </c>
      <c r="G950" t="s">
        <v>38</v>
      </c>
      <c r="H950" t="s">
        <v>1750</v>
      </c>
      <c r="I950" t="s">
        <v>1603</v>
      </c>
      <c r="J950" s="6" t="str">
        <f>HYPERLINK("https://www.biovista.com/db/link/%5B%5B%22Disease%7CGTPCH%20deficiency%22%5D,%20%5B%22Human%20Phenotype%7CFluctuating%22%5D%5D?strength-weight-map=%257B%2522MEDLINE_STRENGTH_AB%2522:1.0,%2522HPO%2522:100.0%257D", "Show Evidence...")</f>
        <v>Show Evidence...</v>
      </c>
    </row>
    <row r="951" spans="1:10" ht="12.75">
      <c r="A951" s="2" t="s">
        <v>50</v>
      </c>
      <c r="B951" s="2" t="s">
        <v>1578</v>
      </c>
      <c r="C951" s="2" t="s">
        <v>24</v>
      </c>
      <c r="D951" s="2" t="s">
        <v>1579</v>
      </c>
      <c r="E951" s="2" t="s">
        <v>431</v>
      </c>
      <c r="F951" s="11" t="s">
        <v>1751</v>
      </c>
      <c r="G951" t="s">
        <v>38</v>
      </c>
      <c r="H951" t="s">
        <v>1752</v>
      </c>
      <c r="I951" t="s">
        <v>1603</v>
      </c>
      <c r="J951" s="6" t="str">
        <f>HYPERLINK("https://www.biovista.com/db/link/%5B%5B%22Disease%7CGTPCH%20deficiency%22%5D,%20%5B%22Human%20Phenotype%7CGrowth%20delay%22%5D%5D?strength-weight-map=%257B%2522MEDLINE_STRENGTH_AB%2522:1.0,%2522HPO%2522:100.0%257D", "Show Evidence...")</f>
        <v>Show Evidence...</v>
      </c>
    </row>
    <row r="952" spans="1:10" ht="12.75">
      <c r="A952" s="2" t="s">
        <v>50</v>
      </c>
      <c r="B952" s="2" t="s">
        <v>1578</v>
      </c>
      <c r="C952" s="2" t="s">
        <v>24</v>
      </c>
      <c r="D952" s="2" t="s">
        <v>1579</v>
      </c>
      <c r="E952" s="2" t="s">
        <v>431</v>
      </c>
      <c r="F952" s="11" t="s">
        <v>1753</v>
      </c>
      <c r="G952" t="s">
        <v>38</v>
      </c>
      <c r="H952" t="s">
        <v>1754</v>
      </c>
      <c r="I952" t="s">
        <v>1603</v>
      </c>
      <c r="J952" s="6" t="str">
        <f>HYPERLINK("https://www.biovista.com/db/link/%5B%5B%22Disease%7CGTPCH%20deficiency%22%5D,%20%5B%22Human%20Phenotype%7CHypertyrosinemia%22%5D%5D?strength-weight-map=%257B%2522MEDLINE_STRENGTH_AB%2522:1.0,%2522HPO%2522:100.0%257D", "Show Evidence...")</f>
        <v>Show Evidence...</v>
      </c>
    </row>
    <row r="953" spans="1:10" ht="12.75">
      <c r="A953" s="2" t="s">
        <v>50</v>
      </c>
      <c r="B953" s="2" t="s">
        <v>1578</v>
      </c>
      <c r="C953" s="2" t="s">
        <v>24</v>
      </c>
      <c r="D953" s="2" t="s">
        <v>1579</v>
      </c>
      <c r="E953" s="2" t="s">
        <v>431</v>
      </c>
      <c r="F953" s="11" t="s">
        <v>1755</v>
      </c>
      <c r="G953" t="s">
        <v>38</v>
      </c>
      <c r="H953" t="s">
        <v>1756</v>
      </c>
      <c r="I953" t="s">
        <v>1603</v>
      </c>
      <c r="J953" s="6" t="str">
        <f>HYPERLINK("https://www.biovista.com/db/link/%5B%5B%22Disease%7CGTPCH%20deficiency%22%5D,%20%5B%22Human%20Phenotype%7CHypokinesia%22%5D%5D?strength-weight-map=%257B%2522MEDLINE_STRENGTH_AB%2522:1.0,%2522HPO%2522:100.0%257D", "Show Evidence...")</f>
        <v>Show Evidence...</v>
      </c>
    </row>
    <row r="954" spans="1:10" ht="12.75">
      <c r="A954" s="2" t="s">
        <v>50</v>
      </c>
      <c r="B954" s="2" t="s">
        <v>1578</v>
      </c>
      <c r="C954" s="2" t="s">
        <v>24</v>
      </c>
      <c r="D954" s="2" t="s">
        <v>1579</v>
      </c>
      <c r="E954" s="2" t="s">
        <v>431</v>
      </c>
      <c r="F954" s="11" t="s">
        <v>1757</v>
      </c>
      <c r="G954" t="s">
        <v>38</v>
      </c>
      <c r="H954" t="s">
        <v>1758</v>
      </c>
      <c r="I954" t="s">
        <v>1603</v>
      </c>
      <c r="J954" s="6" t="str">
        <f>HYPERLINK("https://www.biovista.com/db/link/%5B%5B%22Disease%7CGTPCH%20deficiency%22%5D,%20%5B%22Human%20Phenotype%7CHypomimic%20face%22%5D%5D?strength-weight-map=%257B%2522MEDLINE_STRENGTH_AB%2522:1.0,%2522HPO%2522:100.0%257D", "Show Evidence...")</f>
        <v>Show Evidence...</v>
      </c>
    </row>
    <row r="955" spans="1:10" ht="12.75">
      <c r="A955" s="2" t="s">
        <v>50</v>
      </c>
      <c r="B955" s="2" t="s">
        <v>1578</v>
      </c>
      <c r="C955" s="2" t="s">
        <v>24</v>
      </c>
      <c r="D955" s="2" t="s">
        <v>1579</v>
      </c>
      <c r="E955" s="2" t="s">
        <v>431</v>
      </c>
      <c r="F955" s="11" t="s">
        <v>1759</v>
      </c>
      <c r="G955" t="s">
        <v>38</v>
      </c>
      <c r="H955" t="s">
        <v>1760</v>
      </c>
      <c r="I955" t="s">
        <v>1603</v>
      </c>
      <c r="J955" s="6" t="str">
        <f>HYPERLINK("https://www.biovista.com/db/link/%5B%5B%22Disease%7CGTPCH%20deficiency%22%5D,%20%5B%22Human%20Phenotype%7CImpaired%20flow-mediated%20arterial%20dilatation%22%5D%5D?strength-weight-map=%257B%2522MEDLINE_STRENGTH_AB%2522:1.0,%2522HPO%2522:100.0%257D", "Show Evidence...")</f>
        <v>Show Evidence...</v>
      </c>
    </row>
    <row r="956" spans="1:10" ht="12.75">
      <c r="A956" s="2" t="s">
        <v>50</v>
      </c>
      <c r="B956" s="2" t="s">
        <v>1578</v>
      </c>
      <c r="C956" s="2" t="s">
        <v>24</v>
      </c>
      <c r="D956" s="2" t="s">
        <v>1579</v>
      </c>
      <c r="E956" s="2" t="s">
        <v>431</v>
      </c>
      <c r="F956" s="11" t="s">
        <v>643</v>
      </c>
      <c r="G956" t="s">
        <v>38</v>
      </c>
      <c r="H956" t="s">
        <v>644</v>
      </c>
      <c r="I956" t="s">
        <v>1603</v>
      </c>
      <c r="J956" s="6" t="str">
        <f>HYPERLINK("https://www.biovista.com/db/link/%5B%5B%22Disease%7CGTPCH%20deficiency%22%5D,%20%5B%22Human%20Phenotype%7CIncreased%20reactive%20oxygen%20species%20production%22%5D%5D?strength-weight-map=%257B%2522MEDLINE_STRENGTH_AB%2522:1.0,%2522HPO%2522:100.0%257D", "Show Evidence...")</f>
        <v>Show Evidence...</v>
      </c>
    </row>
    <row r="957" spans="1:10" ht="12.75">
      <c r="A957" s="2" t="s">
        <v>50</v>
      </c>
      <c r="B957" s="2" t="s">
        <v>1578</v>
      </c>
      <c r="C957" s="2" t="s">
        <v>24</v>
      </c>
      <c r="D957" s="2" t="s">
        <v>1579</v>
      </c>
      <c r="E957" s="2" t="s">
        <v>431</v>
      </c>
      <c r="F957" s="11" t="s">
        <v>1761</v>
      </c>
      <c r="G957" t="s">
        <v>38</v>
      </c>
      <c r="H957" t="s">
        <v>1762</v>
      </c>
      <c r="I957" t="s">
        <v>1603</v>
      </c>
      <c r="J957" s="6" t="str">
        <f>HYPERLINK("https://www.biovista.com/db/link/%5B%5B%22Disease%7CGTPCH%20deficiency%22%5D,%20%5B%22Human%20Phenotype%7CInfantile%20encephalopathy%22%5D%5D?strength-weight-map=%257B%2522MEDLINE_STRENGTH_AB%2522:1.0,%2522HPO%2522:100.0%257D", "Show Evidence...")</f>
        <v>Show Evidence...</v>
      </c>
    </row>
    <row r="958" spans="1:10" ht="12.75">
      <c r="A958" s="2" t="s">
        <v>50</v>
      </c>
      <c r="B958" s="2" t="s">
        <v>1578</v>
      </c>
      <c r="C958" s="2" t="s">
        <v>24</v>
      </c>
      <c r="D958" s="2" t="s">
        <v>1579</v>
      </c>
      <c r="E958" s="2" t="s">
        <v>431</v>
      </c>
      <c r="F958" s="11" t="s">
        <v>1344</v>
      </c>
      <c r="G958" t="s">
        <v>38</v>
      </c>
      <c r="H958" t="s">
        <v>1345</v>
      </c>
      <c r="I958" t="s">
        <v>1603</v>
      </c>
      <c r="J958" s="6" t="str">
        <f>HYPERLINK("https://www.biovista.com/db/link/%5B%5B%22Disease%7CGTPCH%20deficiency%22%5D,%20%5B%22Human%20Phenotype%7CLimb%20dystonia%22%5D%5D?strength-weight-map=%257B%2522MEDLINE_STRENGTH_AB%2522:1.0,%2522HPO%2522:100.0%257D", "Show Evidence...")</f>
        <v>Show Evidence...</v>
      </c>
    </row>
    <row r="959" spans="1:10" ht="12.75">
      <c r="A959" s="2" t="s">
        <v>50</v>
      </c>
      <c r="B959" s="2" t="s">
        <v>1578</v>
      </c>
      <c r="C959" s="2" t="s">
        <v>24</v>
      </c>
      <c r="D959" s="2" t="s">
        <v>1579</v>
      </c>
      <c r="E959" s="2" t="s">
        <v>431</v>
      </c>
      <c r="F959" s="11" t="s">
        <v>1763</v>
      </c>
      <c r="G959" t="s">
        <v>38</v>
      </c>
      <c r="H959" t="s">
        <v>1764</v>
      </c>
      <c r="I959" t="s">
        <v>1603</v>
      </c>
      <c r="J959" s="6" t="str">
        <f>HYPERLINK("https://www.biovista.com/db/link/%5B%5B%22Disease%7CGTPCH%20deficiency%22%5D,%20%5B%22Human%20Phenotype%7CMemory%20impairment%22%5D%5D?strength-weight-map=%257B%2522MEDLINE_STRENGTH_AB%2522:1.0,%2522HPO%2522:100.0%257D", "Show Evidence...")</f>
        <v>Show Evidence...</v>
      </c>
    </row>
    <row r="960" spans="1:10" ht="12.75">
      <c r="A960" s="2" t="s">
        <v>50</v>
      </c>
      <c r="B960" s="2" t="s">
        <v>1578</v>
      </c>
      <c r="C960" s="2" t="s">
        <v>24</v>
      </c>
      <c r="D960" s="2" t="s">
        <v>1579</v>
      </c>
      <c r="E960" s="2" t="s">
        <v>431</v>
      </c>
      <c r="F960" s="11" t="s">
        <v>1765</v>
      </c>
      <c r="G960" t="s">
        <v>38</v>
      </c>
      <c r="H960" t="s">
        <v>1766</v>
      </c>
      <c r="I960" t="s">
        <v>1603</v>
      </c>
      <c r="J960" s="6" t="str">
        <f>HYPERLINK("https://www.biovista.com/db/link/%5B%5B%22Disease%7CGTPCH%20deficiency%22%5D,%20%5B%22Human%20Phenotype%7CMicrocephaly%22%5D%5D?strength-weight-map=%257B%2522MEDLINE_STRENGTH_AB%2522:1.0,%2522HPO%2522:100.0%257D", "Show Evidence...")</f>
        <v>Show Evidence...</v>
      </c>
    </row>
    <row r="961" spans="1:10" ht="12.75">
      <c r="A961" s="2" t="s">
        <v>50</v>
      </c>
      <c r="B961" s="2" t="s">
        <v>1578</v>
      </c>
      <c r="C961" s="2" t="s">
        <v>24</v>
      </c>
      <c r="D961" s="2" t="s">
        <v>1579</v>
      </c>
      <c r="E961" s="2" t="s">
        <v>431</v>
      </c>
      <c r="F961" s="11" t="s">
        <v>622</v>
      </c>
      <c r="G961" t="s">
        <v>38</v>
      </c>
      <c r="H961" t="s">
        <v>623</v>
      </c>
      <c r="I961" t="s">
        <v>1603</v>
      </c>
      <c r="J961" s="6" t="str">
        <f>HYPERLINK("https://www.biovista.com/db/link/%5B%5B%22Disease%7CGTPCH%20deficiency%22%5D,%20%5B%22Human%20Phenotype%7CMuscle%20weakness%22%5D%5D?strength-weight-map=%257B%2522MEDLINE_STRENGTH_AB%2522:1.0,%2522HPO%2522:100.0%257D", "Show Evidence...")</f>
        <v>Show Evidence...</v>
      </c>
    </row>
    <row r="962" spans="1:10" ht="12.75">
      <c r="A962" s="2" t="s">
        <v>50</v>
      </c>
      <c r="B962" s="2" t="s">
        <v>1578</v>
      </c>
      <c r="C962" s="2" t="s">
        <v>24</v>
      </c>
      <c r="D962" s="2" t="s">
        <v>1579</v>
      </c>
      <c r="E962" s="2" t="s">
        <v>431</v>
      </c>
      <c r="F962" s="11" t="s">
        <v>1767</v>
      </c>
      <c r="G962" t="s">
        <v>38</v>
      </c>
      <c r="H962" t="s">
        <v>1768</v>
      </c>
      <c r="I962" t="s">
        <v>1603</v>
      </c>
      <c r="J962" s="6" t="str">
        <f>HYPERLINK("https://www.biovista.com/db/link/%5B%5B%22Disease%7CGTPCH%20deficiency%22%5D,%20%5B%22Human%20Phenotype%7CMyoclonus%22%5D%5D?strength-weight-map=%257B%2522MEDLINE_STRENGTH_AB%2522:1.0,%2522HPO%2522:100.0%257D", "Show Evidence...")</f>
        <v>Show Evidence...</v>
      </c>
    </row>
    <row r="963" spans="1:10" ht="12.75">
      <c r="A963" s="2" t="s">
        <v>50</v>
      </c>
      <c r="B963" s="2" t="s">
        <v>1578</v>
      </c>
      <c r="C963" s="2" t="s">
        <v>24</v>
      </c>
      <c r="D963" s="2" t="s">
        <v>1579</v>
      </c>
      <c r="E963" s="2" t="s">
        <v>431</v>
      </c>
      <c r="F963" s="11" t="s">
        <v>1769</v>
      </c>
      <c r="G963" t="s">
        <v>38</v>
      </c>
      <c r="H963" t="s">
        <v>1770</v>
      </c>
      <c r="I963" t="s">
        <v>1603</v>
      </c>
      <c r="J963" s="6" t="str">
        <f>HYPERLINK("https://www.biovista.com/db/link/%5B%5B%22Disease%7CGTPCH%20deficiency%22%5D,%20%5B%22Human%20Phenotype%7COppositional%20defiant%20disorder%22%5D%5D?strength-weight-map=%257B%2522MEDLINE_STRENGTH_AB%2522:1.0,%2522HPO%2522:100.0%257D", "Show Evidence...")</f>
        <v>Show Evidence...</v>
      </c>
    </row>
    <row r="964" spans="1:10" ht="12.75">
      <c r="A964" s="2" t="s">
        <v>50</v>
      </c>
      <c r="B964" s="2" t="s">
        <v>1578</v>
      </c>
      <c r="C964" s="2" t="s">
        <v>24</v>
      </c>
      <c r="D964" s="2" t="s">
        <v>1579</v>
      </c>
      <c r="E964" s="2" t="s">
        <v>431</v>
      </c>
      <c r="F964" s="11" t="s">
        <v>1771</v>
      </c>
      <c r="G964" t="s">
        <v>38</v>
      </c>
      <c r="H964" t="s">
        <v>1772</v>
      </c>
      <c r="I964" t="s">
        <v>1603</v>
      </c>
      <c r="J964" s="6" t="str">
        <f>HYPERLINK("https://www.biovista.com/db/link/%5B%5B%22Disease%7CGTPCH%20deficiency%22%5D,%20%5B%22Human%20Phenotype%7CPostnatal%20growth%20retardation%22%5D%5D?strength-weight-map=%257B%2522MEDLINE_STRENGTH_AB%2522:1.0,%2522HPO%2522:100.0%257D", "Show Evidence...")</f>
        <v>Show Evidence...</v>
      </c>
    </row>
    <row r="965" spans="1:10" ht="12.75">
      <c r="A965" s="2" t="s">
        <v>50</v>
      </c>
      <c r="B965" s="2" t="s">
        <v>1578</v>
      </c>
      <c r="C965" s="2" t="s">
        <v>24</v>
      </c>
      <c r="D965" s="2" t="s">
        <v>1579</v>
      </c>
      <c r="E965" s="2" t="s">
        <v>431</v>
      </c>
      <c r="F965" s="11" t="s">
        <v>1431</v>
      </c>
      <c r="G965" t="s">
        <v>38</v>
      </c>
      <c r="H965" t="s">
        <v>1432</v>
      </c>
      <c r="I965" t="s">
        <v>1603</v>
      </c>
      <c r="J965" s="6" t="str">
        <f>HYPERLINK("https://www.biovista.com/db/link/%5B%5B%22Disease%7CGTPCH%20deficiency%22%5D,%20%5B%22Human%20Phenotype%7CPostural%20instability%22%5D%5D?strength-weight-map=%257B%2522MEDLINE_STRENGTH_AB%2522:1.0,%2522HPO%2522:100.0%257D", "Show Evidence...")</f>
        <v>Show Evidence...</v>
      </c>
    </row>
    <row r="966" spans="1:10" ht="12.75">
      <c r="A966" s="2" t="s">
        <v>50</v>
      </c>
      <c r="B966" s="2" t="s">
        <v>1578</v>
      </c>
      <c r="C966" s="2" t="s">
        <v>24</v>
      </c>
      <c r="D966" s="2" t="s">
        <v>1579</v>
      </c>
      <c r="E966" s="2" t="s">
        <v>431</v>
      </c>
      <c r="F966" s="11" t="s">
        <v>1773</v>
      </c>
      <c r="G966" t="s">
        <v>38</v>
      </c>
      <c r="H966" t="s">
        <v>1774</v>
      </c>
      <c r="I966" t="s">
        <v>1603</v>
      </c>
      <c r="J966" s="6" t="str">
        <f>HYPERLINK("https://www.biovista.com/db/link/%5B%5B%22Disease%7CGTPCH%20deficiency%22%5D,%20%5B%22Human%20Phenotype%7CProgressive%20spasticity%22%5D%5D?strength-weight-map=%257B%2522MEDLINE_STRENGTH_AB%2522:1.0,%2522HPO%2522:100.0%257D", "Show Evidence...")</f>
        <v>Show Evidence...</v>
      </c>
    </row>
    <row r="967" spans="1:10" ht="12.75">
      <c r="A967" s="2" t="s">
        <v>50</v>
      </c>
      <c r="B967" s="2" t="s">
        <v>1578</v>
      </c>
      <c r="C967" s="2" t="s">
        <v>24</v>
      </c>
      <c r="D967" s="2" t="s">
        <v>1579</v>
      </c>
      <c r="E967" s="2" t="s">
        <v>431</v>
      </c>
      <c r="F967" s="11" t="s">
        <v>1775</v>
      </c>
      <c r="G967" t="s">
        <v>38</v>
      </c>
      <c r="H967" t="s">
        <v>1776</v>
      </c>
      <c r="I967" t="s">
        <v>1603</v>
      </c>
      <c r="J967" s="6" t="str">
        <f>HYPERLINK("https://www.biovista.com/db/link/%5B%5B%22Disease%7CGTPCH%20deficiency%22%5D,%20%5B%22Human%20Phenotype%7CRed%20hair%22%5D%5D?strength-weight-map=%257B%2522MEDLINE_STRENGTH_AB%2522:1.0,%2522HPO%2522:100.0%257D", "Show Evidence...")</f>
        <v>Show Evidence...</v>
      </c>
    </row>
    <row r="968" spans="1:10" ht="12.75">
      <c r="A968" s="2" t="s">
        <v>50</v>
      </c>
      <c r="B968" s="2" t="s">
        <v>1578</v>
      </c>
      <c r="C968" s="2" t="s">
        <v>24</v>
      </c>
      <c r="D968" s="2" t="s">
        <v>1579</v>
      </c>
      <c r="E968" s="2" t="s">
        <v>431</v>
      </c>
      <c r="F968" s="11" t="s">
        <v>1420</v>
      </c>
      <c r="G968" t="s">
        <v>38</v>
      </c>
      <c r="H968" t="s">
        <v>1421</v>
      </c>
      <c r="I968" t="s">
        <v>1603</v>
      </c>
      <c r="J968" s="6" t="str">
        <f>HYPERLINK("https://www.biovista.com/db/link/%5B%5B%22Disease%7CGTPCH%20deficiency%22%5D,%20%5B%22Human%20Phenotype%7CSevere%20short%20stature%22%5D%5D?strength-weight-map=%257B%2522MEDLINE_STRENGTH_AB%2522:1.0,%2522HPO%2522:100.0%257D", "Show Evidence...")</f>
        <v>Show Evidence...</v>
      </c>
    </row>
    <row r="969" spans="1:10" ht="12.75">
      <c r="A969" s="2" t="s">
        <v>50</v>
      </c>
      <c r="B969" s="2" t="s">
        <v>1578</v>
      </c>
      <c r="C969" s="2" t="s">
        <v>24</v>
      </c>
      <c r="D969" s="2" t="s">
        <v>1579</v>
      </c>
      <c r="E969" s="2" t="s">
        <v>431</v>
      </c>
      <c r="F969" s="11" t="s">
        <v>1427</v>
      </c>
      <c r="G969" t="s">
        <v>38</v>
      </c>
      <c r="H969" t="s">
        <v>1428</v>
      </c>
      <c r="I969" t="s">
        <v>1603</v>
      </c>
      <c r="J969" s="6" t="str">
        <f>HYPERLINK("https://www.biovista.com/db/link/%5B%5B%22Disease%7CGTPCH%20deficiency%22%5D,%20%5B%22Human%20Phenotype%7CSpasticity%22%5D%5D?strength-weight-map=%257B%2522MEDLINE_STRENGTH_AB%2522:1.0,%2522HPO%2522:100.0%257D", "Show Evidence...")</f>
        <v>Show Evidence...</v>
      </c>
    </row>
    <row r="970" spans="1:10" ht="12.75">
      <c r="A970" s="2" t="s">
        <v>50</v>
      </c>
      <c r="B970" s="2" t="s">
        <v>1578</v>
      </c>
      <c r="C970" s="2" t="s">
        <v>24</v>
      </c>
      <c r="D970" s="2" t="s">
        <v>1579</v>
      </c>
      <c r="E970" s="2" t="s">
        <v>431</v>
      </c>
      <c r="F970" s="11" t="s">
        <v>1777</v>
      </c>
      <c r="G970" t="s">
        <v>38</v>
      </c>
      <c r="H970" t="s">
        <v>1778</v>
      </c>
      <c r="I970" t="s">
        <v>1603</v>
      </c>
      <c r="J970" s="6" t="str">
        <f>HYPERLINK("https://www.biovista.com/db/link/%5B%5B%22Disease%7CGTPCH%20deficiency%22%5D,%20%5B%22Human%20Phenotype%7CTorticollis%22%5D%5D?strength-weight-map=%257B%2522MEDLINE_STRENGTH_AB%2522:1.0,%2522HPO%2522:100.0%257D", "Show Evidence...")</f>
        <v>Show Evidence...</v>
      </c>
    </row>
    <row r="971" spans="1:10" ht="12.75">
      <c r="A971" s="2" t="s">
        <v>50</v>
      </c>
      <c r="B971" s="2" t="s">
        <v>1578</v>
      </c>
      <c r="C971" s="2" t="s">
        <v>24</v>
      </c>
      <c r="D971" s="2" t="s">
        <v>1579</v>
      </c>
      <c r="E971" s="2" t="s">
        <v>431</v>
      </c>
      <c r="F971" s="11" t="s">
        <v>538</v>
      </c>
      <c r="G971" t="s">
        <v>38</v>
      </c>
      <c r="H971" t="s">
        <v>539</v>
      </c>
      <c r="I971" t="s">
        <v>1603</v>
      </c>
      <c r="J971" s="6" t="str">
        <f>HYPERLINK("https://www.biovista.com/db/link/%5B%5B%22Disease%7CGTPCH%20deficiency%22%5D,%20%5B%22Human%20Phenotype%7CWaddling%20gait%22%5D%5D?strength-weight-map=%257B%2522MEDLINE_STRENGTH_AB%2522:1.0,%2522HPO%2522:100.0%257D", "Show Evidence...")</f>
        <v>Show Evidence...</v>
      </c>
    </row>
    <row r="972" spans="1:10" ht="12.75">
      <c r="A972" s="2" t="s">
        <v>50</v>
      </c>
      <c r="B972" s="2" t="s">
        <v>1578</v>
      </c>
      <c r="C972" s="2" t="s">
        <v>24</v>
      </c>
      <c r="D972" s="2" t="s">
        <v>1579</v>
      </c>
      <c r="E972" s="2" t="s">
        <v>431</v>
      </c>
      <c r="F972" s="11" t="s">
        <v>1779</v>
      </c>
      <c r="G972" t="s">
        <v>38</v>
      </c>
      <c r="H972" t="s">
        <v>1780</v>
      </c>
      <c r="I972" t="s">
        <v>1781</v>
      </c>
      <c r="J972" s="6" t="str">
        <f>HYPERLINK("https://www.biovista.com/db/link/%5B%5B%22Disease%7CGTPCH%20deficiency%22%5D,%20%5B%22Human%20Phenotype%7CAbnormality%20of%20eye%20movement%22%5D%5D?strength-weight-map=%257B%2522MEDLINE_STRENGTH_AB%2522:1.0,%2522HPO%2522:100.0%257D", "Show Evidence...")</f>
        <v>Show Evidence...</v>
      </c>
    </row>
    <row r="973" spans="1:10" ht="12.75">
      <c r="A973" s="2" t="s">
        <v>50</v>
      </c>
      <c r="B973" s="2" t="s">
        <v>1578</v>
      </c>
      <c r="C973" s="2" t="s">
        <v>24</v>
      </c>
      <c r="D973" s="2" t="s">
        <v>1579</v>
      </c>
      <c r="E973" s="2" t="s">
        <v>431</v>
      </c>
      <c r="F973" s="11" t="s">
        <v>1782</v>
      </c>
      <c r="G973" t="s">
        <v>38</v>
      </c>
      <c r="H973" t="s">
        <v>1783</v>
      </c>
      <c r="I973" t="s">
        <v>1781</v>
      </c>
      <c r="J973" s="6" t="str">
        <f>HYPERLINK("https://www.biovista.com/db/link/%5B%5B%22Disease%7CGTPCH%20deficiency%22%5D,%20%5B%22Human%20Phenotype%7CElevated%20urinary%20sulfatide%20level%22%5D%5D?strength-weight-map=%257B%2522MEDLINE_STRENGTH_AB%2522:1.0,%2522HPO%2522:100.0%257D", "Show Evidence...")</f>
        <v>Show Evidence...</v>
      </c>
    </row>
    <row r="974" spans="1:10" ht="12.75">
      <c r="A974" s="2" t="s">
        <v>50</v>
      </c>
      <c r="B974" s="2" t="s">
        <v>1578</v>
      </c>
      <c r="C974" s="2" t="s">
        <v>24</v>
      </c>
      <c r="D974" s="2" t="s">
        <v>1579</v>
      </c>
      <c r="E974" s="2" t="s">
        <v>431</v>
      </c>
      <c r="F974" s="11" t="s">
        <v>1784</v>
      </c>
      <c r="G974" t="s">
        <v>38</v>
      </c>
      <c r="H974" t="s">
        <v>1785</v>
      </c>
      <c r="I974" t="s">
        <v>1781</v>
      </c>
      <c r="J974" s="6" t="str">
        <f>HYPERLINK("https://www.biovista.com/db/link/%5B%5B%22Disease%7CGTPCH%20deficiency%22%5D,%20%5B%22Human%20Phenotype%7CExcessive%20salivation%22%5D%5D?strength-weight-map=%257B%2522MEDLINE_STRENGTH_AB%2522:1.0,%2522HPO%2522:100.0%257D", "Show Evidence...")</f>
        <v>Show Evidence...</v>
      </c>
    </row>
    <row r="975" spans="1:10" ht="12.75">
      <c r="A975" s="2" t="s">
        <v>50</v>
      </c>
      <c r="B975" s="2" t="s">
        <v>1578</v>
      </c>
      <c r="C975" s="2" t="s">
        <v>24</v>
      </c>
      <c r="D975" s="2" t="s">
        <v>1579</v>
      </c>
      <c r="E975" s="2" t="s">
        <v>431</v>
      </c>
      <c r="F975" s="11" t="s">
        <v>1786</v>
      </c>
      <c r="G975" t="s">
        <v>38</v>
      </c>
      <c r="H975" t="s">
        <v>1787</v>
      </c>
      <c r="I975" t="s">
        <v>1781</v>
      </c>
      <c r="J975" s="6" t="str">
        <f>HYPERLINK("https://www.biovista.com/db/link/%5B%5B%22Disease%7CGTPCH%20deficiency%22%5D,%20%5B%22Human%20Phenotype%7CHyperkinetic%20movements%22%5D%5D?strength-weight-map=%257B%2522MEDLINE_STRENGTH_AB%2522:1.0,%2522HPO%2522:100.0%257D", "Show Evidence...")</f>
        <v>Show Evidence...</v>
      </c>
    </row>
    <row r="976" spans="1:10" ht="12.75">
      <c r="A976" s="2" t="s">
        <v>50</v>
      </c>
      <c r="B976" s="2" t="s">
        <v>1578</v>
      </c>
      <c r="C976" s="2" t="s">
        <v>24</v>
      </c>
      <c r="D976" s="2" t="s">
        <v>1579</v>
      </c>
      <c r="E976" s="2" t="s">
        <v>431</v>
      </c>
      <c r="F976" s="11" t="s">
        <v>1788</v>
      </c>
      <c r="G976" t="s">
        <v>38</v>
      </c>
      <c r="H976" t="s">
        <v>1789</v>
      </c>
      <c r="I976" t="s">
        <v>1781</v>
      </c>
      <c r="J976" s="6" t="str">
        <f>HYPERLINK("https://www.biovista.com/db/link/%5B%5B%22Disease%7CGTPCH%20deficiency%22%5D,%20%5B%22Human%20Phenotype%7CIntellectual%20disability,%20progressive%22%5D%5D?strength-weight-map=%257B%2522MEDLINE_STRENGTH_AB%2522:1.0,%2522HPO%2522:100.0%257D", "Show Evidence...")</f>
        <v>Show Evidence...</v>
      </c>
    </row>
    <row r="977" spans="1:10" ht="12.75">
      <c r="A977" s="2" t="s">
        <v>50</v>
      </c>
      <c r="B977" s="2" t="s">
        <v>1578</v>
      </c>
      <c r="C977" s="2" t="s">
        <v>24</v>
      </c>
      <c r="D977" s="2" t="s">
        <v>1579</v>
      </c>
      <c r="E977" s="2" t="s">
        <v>431</v>
      </c>
      <c r="F977" s="11" t="s">
        <v>1303</v>
      </c>
      <c r="G977" t="s">
        <v>38</v>
      </c>
      <c r="H977" t="s">
        <v>1304</v>
      </c>
      <c r="I977" t="s">
        <v>1781</v>
      </c>
      <c r="J977" s="6" t="str">
        <f>HYPERLINK("https://www.biovista.com/db/link/%5B%5B%22Disease%7CGTPCH%20deficiency%22%5D,%20%5B%22Human%20Phenotype%7CIrritability%22%5D%5D?strength-weight-map=%257B%2522MEDLINE_STRENGTH_AB%2522:1.0,%2522HPO%2522:100.0%257D", "Show Evidence...")</f>
        <v>Show Evidence...</v>
      </c>
    </row>
    <row r="978" spans="1:10" ht="12.75">
      <c r="A978" s="2" t="s">
        <v>50</v>
      </c>
      <c r="B978" s="2" t="s">
        <v>1578</v>
      </c>
      <c r="C978" s="2" t="s">
        <v>24</v>
      </c>
      <c r="D978" s="2" t="s">
        <v>1579</v>
      </c>
      <c r="E978" s="2" t="s">
        <v>431</v>
      </c>
      <c r="F978" s="11" t="s">
        <v>1790</v>
      </c>
      <c r="G978" t="s">
        <v>38</v>
      </c>
      <c r="H978" t="s">
        <v>1791</v>
      </c>
      <c r="I978" t="s">
        <v>1781</v>
      </c>
      <c r="J978" s="6" t="str">
        <f>HYPERLINK("https://www.biovista.com/db/link/%5B%5B%22Disease%7CGTPCH%20deficiency%22%5D,%20%5B%22Human%20Phenotype%7CLethargy%22%5D%5D?strength-weight-map=%257B%2522MEDLINE_STRENGTH_AB%2522:1.0,%2522HPO%2522:100.0%257D", "Show Evidence...")</f>
        <v>Show Evidence...</v>
      </c>
    </row>
    <row r="979" spans="1:10" ht="12.75">
      <c r="A979" s="2" t="s">
        <v>50</v>
      </c>
      <c r="B979" s="2" t="s">
        <v>1578</v>
      </c>
      <c r="C979" s="2" t="s">
        <v>24</v>
      </c>
      <c r="D979" s="2" t="s">
        <v>1579</v>
      </c>
      <c r="E979" s="2" t="s">
        <v>431</v>
      </c>
      <c r="F979" s="11" t="s">
        <v>1792</v>
      </c>
      <c r="G979" t="s">
        <v>38</v>
      </c>
      <c r="H979" t="s">
        <v>1793</v>
      </c>
      <c r="I979" t="s">
        <v>1781</v>
      </c>
      <c r="J979" s="6" t="str">
        <f>HYPERLINK("https://www.biovista.com/db/link/%5B%5B%22Disease%7CGTPCH%20deficiency%22%5D,%20%5B%22Human%20Phenotype%7CLimb%20hypertonia%22%5D%5D?strength-weight-map=%257B%2522MEDLINE_STRENGTH_AB%2522:1.0,%2522HPO%2522:100.0%257D", "Show Evidence...")</f>
        <v>Show Evidence...</v>
      </c>
    </row>
    <row r="980" spans="1:10" ht="12.75">
      <c r="A980" s="2" t="s">
        <v>50</v>
      </c>
      <c r="B980" s="2" t="s">
        <v>1578</v>
      </c>
      <c r="C980" s="2" t="s">
        <v>24</v>
      </c>
      <c r="D980" s="2" t="s">
        <v>1579</v>
      </c>
      <c r="E980" s="2" t="s">
        <v>431</v>
      </c>
      <c r="F980" s="11" t="s">
        <v>1794</v>
      </c>
      <c r="G980" t="s">
        <v>38</v>
      </c>
      <c r="H980" t="s">
        <v>1795</v>
      </c>
      <c r="I980" t="s">
        <v>1781</v>
      </c>
      <c r="J980" s="6" t="str">
        <f>HYPERLINK("https://www.biovista.com/db/link/%5B%5B%22Disease%7CGTPCH%20deficiency%22%5D,%20%5B%22Human%20Phenotype%7CProgressive%20neurologic%20deterioration%22%5D%5D?strength-weight-map=%257B%2522MEDLINE_STRENGTH_AB%2522:1.0,%2522HPO%2522:100.0%257D", "Show Evidence...")</f>
        <v>Show Evidence...</v>
      </c>
    </row>
    <row r="981" spans="1:10" ht="12.75">
      <c r="A981" s="2" t="s">
        <v>50</v>
      </c>
      <c r="B981" s="2" t="s">
        <v>1578</v>
      </c>
      <c r="C981" s="2" t="s">
        <v>24</v>
      </c>
      <c r="D981" s="2" t="s">
        <v>1579</v>
      </c>
      <c r="E981" s="2" t="s">
        <v>431</v>
      </c>
      <c r="F981" s="11" t="s">
        <v>1796</v>
      </c>
      <c r="G981" t="s">
        <v>38</v>
      </c>
      <c r="H981" t="s">
        <v>1797</v>
      </c>
      <c r="I981" t="s">
        <v>1781</v>
      </c>
      <c r="J981" s="6" t="str">
        <f>HYPERLINK("https://www.biovista.com/db/link/%5B%5B%22Disease%7CGTPCH%20deficiency%22%5D,%20%5B%22Human%20Phenotype%7CRecurrent%20fever%22%5D%5D?strength-weight-map=%257B%2522MEDLINE_STRENGTH_AB%2522:1.0,%2522HPO%2522:100.0%257D", "Show Evidence...")</f>
        <v>Show Evidence...</v>
      </c>
    </row>
    <row r="982" spans="1:10" ht="12.75">
      <c r="A982" s="2" t="s">
        <v>50</v>
      </c>
      <c r="B982" s="2" t="s">
        <v>1578</v>
      </c>
      <c r="C982" s="2" t="s">
        <v>24</v>
      </c>
      <c r="D982" s="2" t="s">
        <v>1579</v>
      </c>
      <c r="E982" s="2" t="s">
        <v>704</v>
      </c>
      <c r="F982" s="11" t="s">
        <v>708</v>
      </c>
      <c r="G982" t="s">
        <v>37</v>
      </c>
      <c r="H982" t="s">
        <v>709</v>
      </c>
      <c r="I982" t="s">
        <v>1596</v>
      </c>
      <c r="J982" s="6" t="str">
        <f>HYPERLINK("https://www.biovista.com/db/link/%5B%5B%22Disease%7CGTPCH%20deficiency%22%5D,%20%5B%22Pathway%7Cchemical%20synaptic%20transmission%22%5D%5D?strength-weight-map=%257B%2522MEDLINE_STRENGTH_AB%2522:1.0,%2522HPO%2522:100.0%257D", "Show Evidence...")</f>
        <v>Show Evidence...</v>
      </c>
    </row>
    <row r="983" spans="1:10" ht="12.75">
      <c r="A983" s="2" t="s">
        <v>50</v>
      </c>
      <c r="B983" s="2" t="s">
        <v>1578</v>
      </c>
      <c r="C983" s="2" t="s">
        <v>24</v>
      </c>
      <c r="D983" s="2" t="s">
        <v>1579</v>
      </c>
      <c r="E983" s="2" t="s">
        <v>704</v>
      </c>
      <c r="F983" s="11" t="s">
        <v>760</v>
      </c>
      <c r="G983" t="s">
        <v>37</v>
      </c>
      <c r="H983" t="s">
        <v>761</v>
      </c>
      <c r="I983" t="s">
        <v>1596</v>
      </c>
      <c r="J983" s="6" t="str">
        <f>HYPERLINK("https://www.biovista.com/db/link/%5B%5B%22Disease%7CGTPCH%20deficiency%22%5D,%20%5B%22Pathway%7Chomeostatic%20process%22%5D%5D?strength-weight-map=%257B%2522MEDLINE_STRENGTH_AB%2522:1.0,%2522HPO%2522:100.0%257D", "Show Evidence...")</f>
        <v>Show Evidence...</v>
      </c>
    </row>
    <row r="984" spans="1:10" ht="12.75">
      <c r="A984" s="2" t="s">
        <v>50</v>
      </c>
      <c r="B984" s="2" t="s">
        <v>1578</v>
      </c>
      <c r="C984" s="2" t="s">
        <v>24</v>
      </c>
      <c r="D984" s="2" t="s">
        <v>1579</v>
      </c>
      <c r="E984" s="2" t="s">
        <v>717</v>
      </c>
      <c r="F984" s="11" t="s">
        <v>1798</v>
      </c>
      <c r="G984" t="s">
        <v>37</v>
      </c>
      <c r="H984" t="s">
        <v>1799</v>
      </c>
      <c r="I984" t="s">
        <v>1596</v>
      </c>
      <c r="J984" s="6" t="str">
        <f>HYPERLINK("https://www.biovista.com/db/link/%5B%5B%22Disease%7CGTPCH%20deficiency%22%5D,%20%5B%22Pathway%7Cneurotransmitter%20metabolic%20process%22%5D%5D?strength-weight-map=%257B%2522MEDLINE_STRENGTH_AB%2522:1.0,%2522HPO%2522:100.0%257D", "Show Evidence...")</f>
        <v>Show Evidence...</v>
      </c>
    </row>
    <row r="985" spans="1:10" ht="12.75">
      <c r="A985" s="2" t="s">
        <v>50</v>
      </c>
      <c r="B985" s="2" t="s">
        <v>1578</v>
      </c>
      <c r="C985" s="2" t="s">
        <v>24</v>
      </c>
      <c r="D985" s="2" t="s">
        <v>1579</v>
      </c>
      <c r="E985" s="2" t="s">
        <v>704</v>
      </c>
      <c r="F985" s="11" t="s">
        <v>768</v>
      </c>
      <c r="G985" t="s">
        <v>37</v>
      </c>
      <c r="H985" t="s">
        <v>769</v>
      </c>
      <c r="I985" t="s">
        <v>1596</v>
      </c>
      <c r="J985" s="6" t="str">
        <f>HYPERLINK("https://www.biovista.com/db/link/%5B%5B%22Disease%7CGTPCH%20deficiency%22%5D,%20%5B%22Pathway%7Cregeneration%22%5D%5D?strength-weight-map=%257B%2522MEDLINE_STRENGTH_AB%2522:1.0,%2522HPO%2522:100.0%257D", "Show Evidence...")</f>
        <v>Show Evidence...</v>
      </c>
    </row>
    <row r="986" spans="1:10" ht="12.75">
      <c r="A986" s="2" t="s">
        <v>50</v>
      </c>
      <c r="B986" s="2" t="s">
        <v>1578</v>
      </c>
      <c r="C986" s="2" t="s">
        <v>24</v>
      </c>
      <c r="D986" s="2" t="s">
        <v>1579</v>
      </c>
      <c r="E986" s="2" t="s">
        <v>704</v>
      </c>
      <c r="F986" s="11" t="s">
        <v>1800</v>
      </c>
      <c r="G986" t="s">
        <v>37</v>
      </c>
      <c r="H986" t="s">
        <v>1801</v>
      </c>
      <c r="I986" t="s">
        <v>1596</v>
      </c>
      <c r="J986" s="6" t="str">
        <f>HYPERLINK("https://www.biovista.com/db/link/%5B%5B%22Disease%7CGTPCH%20deficiency%22%5D,%20%5B%22Pathway%7Cresponse%20to%20acetylcholine%22%5D%5D?strength-weight-map=%257B%2522MEDLINE_STRENGTH_AB%2522:1.0,%2522HPO%2522:100.0%257D", "Show Evidence...")</f>
        <v>Show Evidence...</v>
      </c>
    </row>
    <row r="987" spans="1:10" ht="12.75">
      <c r="A987" s="2" t="s">
        <v>50</v>
      </c>
      <c r="B987" s="2" t="s">
        <v>1578</v>
      </c>
      <c r="C987" s="2" t="s">
        <v>24</v>
      </c>
      <c r="D987" s="2" t="s">
        <v>1579</v>
      </c>
      <c r="E987" s="2" t="s">
        <v>704</v>
      </c>
      <c r="F987" s="11" t="s">
        <v>1802</v>
      </c>
      <c r="G987" t="s">
        <v>37</v>
      </c>
      <c r="H987" t="s">
        <v>1803</v>
      </c>
      <c r="I987" t="s">
        <v>1596</v>
      </c>
      <c r="J987" s="6" t="str">
        <f>HYPERLINK("https://www.biovista.com/db/link/%5B%5B%22Disease%7CGTPCH%20deficiency%22%5D,%20%5B%22Pathway%7Csequestering%20of%20neurotransmitter%22%5D%5D?strength-weight-map=%257B%2522MEDLINE_STRENGTH_AB%2522:1.0,%2522HPO%2522:100.0%257D", "Show Evidence...")</f>
        <v>Show Evidence...</v>
      </c>
    </row>
    <row r="988" spans="1:10" ht="12.75">
      <c r="A988" s="2" t="s">
        <v>50</v>
      </c>
      <c r="B988" s="2" t="s">
        <v>1578</v>
      </c>
      <c r="C988" s="2" t="s">
        <v>24</v>
      </c>
      <c r="D988" s="2" t="s">
        <v>1579</v>
      </c>
      <c r="E988" s="2" t="s">
        <v>704</v>
      </c>
      <c r="F988" s="11" t="s">
        <v>1804</v>
      </c>
      <c r="G988" t="s">
        <v>37</v>
      </c>
      <c r="H988" t="s">
        <v>1805</v>
      </c>
      <c r="I988" t="s">
        <v>1596</v>
      </c>
      <c r="J988" s="6" t="str">
        <f>HYPERLINK("https://www.biovista.com/db/link/%5B%5B%22Disease%7CGTPCH%20deficiency%22%5D,%20%5B%22Pathway%7Cserotonin%20biosynthetic%20process%22%5D%5D?strength-weight-map=%257B%2522MEDLINE_STRENGTH_AB%2522:1.0,%2522HPO%2522:100.0%257D", "Show Evidence...")</f>
        <v>Show Evidence...</v>
      </c>
    </row>
    <row r="989" spans="1:10" ht="12.75">
      <c r="A989" s="2" t="s">
        <v>50</v>
      </c>
      <c r="B989" s="2" t="s">
        <v>1578</v>
      </c>
      <c r="C989" s="2" t="s">
        <v>24</v>
      </c>
      <c r="D989" s="2" t="s">
        <v>1579</v>
      </c>
      <c r="E989" s="2" t="s">
        <v>704</v>
      </c>
      <c r="F989" s="11" t="s">
        <v>904</v>
      </c>
      <c r="G989" t="s">
        <v>37</v>
      </c>
      <c r="H989" t="s">
        <v>905</v>
      </c>
      <c r="I989" t="s">
        <v>1596</v>
      </c>
      <c r="J989" s="6" t="str">
        <f>HYPERLINK("https://www.biovista.com/db/link/%5B%5B%22Disease%7CGTPCH%20deficiency%22%5D,%20%5B%22Pathway%7Cvasodilation%22%5D%5D?strength-weight-map=%257B%2522MEDLINE_STRENGTH_AB%2522:1.0,%2522HPO%2522:100.0%257D", "Show Evidence...")</f>
        <v>Show Evidence...</v>
      </c>
    </row>
    <row r="990" spans="1:10" ht="12.75">
      <c r="A990" s="2" t="s">
        <v>50</v>
      </c>
      <c r="B990" s="2" t="s">
        <v>1578</v>
      </c>
      <c r="C990" s="2" t="s">
        <v>24</v>
      </c>
      <c r="D990" s="2" t="s">
        <v>1579</v>
      </c>
      <c r="E990" s="2" t="s">
        <v>704</v>
      </c>
      <c r="F990" s="11" t="s">
        <v>1806</v>
      </c>
      <c r="G990" t="s">
        <v>37</v>
      </c>
      <c r="H990" t="s">
        <v>1807</v>
      </c>
      <c r="I990" t="s">
        <v>1603</v>
      </c>
      <c r="J990" s="6" t="str">
        <f>HYPERLINK("https://www.biovista.com/db/link/%5B%5B%22Disease%7CGTPCH%20deficiency%22%5D,%20%5B%22Pathway%7Caggressive%20behavior%22%5D%5D?strength-weight-map=%257B%2522MEDLINE_STRENGTH_AB%2522:1.0,%2522HPO%2522:100.0%257D", "Show Evidence...")</f>
        <v>Show Evidence...</v>
      </c>
    </row>
    <row r="991" spans="1:10" ht="12.75">
      <c r="A991" s="2" t="s">
        <v>50</v>
      </c>
      <c r="B991" s="2" t="s">
        <v>1578</v>
      </c>
      <c r="C991" s="2" t="s">
        <v>24</v>
      </c>
      <c r="D991" s="2" t="s">
        <v>1579</v>
      </c>
      <c r="E991" s="2" t="s">
        <v>717</v>
      </c>
      <c r="F991" s="11" t="s">
        <v>718</v>
      </c>
      <c r="G991" t="s">
        <v>37</v>
      </c>
      <c r="H991" t="s">
        <v>719</v>
      </c>
      <c r="I991" t="s">
        <v>1603</v>
      </c>
      <c r="J991" s="6" t="str">
        <f>HYPERLINK("https://www.biovista.com/db/link/%5B%5B%22Disease%7CGTPCH%20deficiency%22%5D,%20%5B%22Pathway%7Caging%22%5D%5D?strength-weight-map=%257B%2522MEDLINE_STRENGTH_AB%2522:1.0,%2522HPO%2522:100.0%257D", "Show Evidence...")</f>
        <v>Show Evidence...</v>
      </c>
    </row>
    <row r="992" spans="1:10" ht="12.75">
      <c r="A992" s="2" t="s">
        <v>50</v>
      </c>
      <c r="B992" s="2" t="s">
        <v>1578</v>
      </c>
      <c r="C992" s="2" t="s">
        <v>24</v>
      </c>
      <c r="D992" s="2" t="s">
        <v>1579</v>
      </c>
      <c r="E992" s="2" t="s">
        <v>704</v>
      </c>
      <c r="F992" s="11" t="s">
        <v>1470</v>
      </c>
      <c r="G992" t="s">
        <v>37</v>
      </c>
      <c r="H992" t="s">
        <v>1471</v>
      </c>
      <c r="I992" t="s">
        <v>1603</v>
      </c>
      <c r="J992" s="6" t="str">
        <f>HYPERLINK("https://www.biovista.com/db/link/%5B%5B%22Disease%7CGTPCH%20deficiency%22%5D,%20%5B%22Pathway%7Cbrain%20development%22%5D%5D?strength-weight-map=%257B%2522MEDLINE_STRENGTH_AB%2522:1.0,%2522HPO%2522:100.0%257D", "Show Evidence...")</f>
        <v>Show Evidence...</v>
      </c>
    </row>
    <row r="993" spans="1:10" ht="12.75">
      <c r="A993" s="2" t="s">
        <v>50</v>
      </c>
      <c r="B993" s="2" t="s">
        <v>1578</v>
      </c>
      <c r="C993" s="2" t="s">
        <v>24</v>
      </c>
      <c r="D993" s="2" t="s">
        <v>1579</v>
      </c>
      <c r="E993" s="2" t="s">
        <v>704</v>
      </c>
      <c r="F993" s="11" t="s">
        <v>1460</v>
      </c>
      <c r="G993" t="s">
        <v>37</v>
      </c>
      <c r="H993" t="s">
        <v>1461</v>
      </c>
      <c r="I993" t="s">
        <v>1603</v>
      </c>
      <c r="J993" s="6" t="str">
        <f>HYPERLINK("https://www.biovista.com/db/link/%5B%5B%22Disease%7CGTPCH%20deficiency%22%5D,%20%5B%22Pathway%7Ccatabolic%20process%22%5D%5D?strength-weight-map=%257B%2522MEDLINE_STRENGTH_AB%2522:1.0,%2522HPO%2522:100.0%257D", "Show Evidence...")</f>
        <v>Show Evidence...</v>
      </c>
    </row>
    <row r="994" spans="1:10" ht="12.75">
      <c r="A994" s="2" t="s">
        <v>50</v>
      </c>
      <c r="B994" s="2" t="s">
        <v>1578</v>
      </c>
      <c r="C994" s="2" t="s">
        <v>24</v>
      </c>
      <c r="D994" s="2" t="s">
        <v>1579</v>
      </c>
      <c r="E994" s="2" t="s">
        <v>704</v>
      </c>
      <c r="F994" s="11" t="s">
        <v>1808</v>
      </c>
      <c r="G994" t="s">
        <v>37</v>
      </c>
      <c r="H994" t="s">
        <v>1809</v>
      </c>
      <c r="I994" t="s">
        <v>1603</v>
      </c>
      <c r="J994" s="6" t="str">
        <f>HYPERLINK("https://www.biovista.com/db/link/%5B%5B%22Disease%7CGTPCH%20deficiency%22%5D,%20%5B%22Pathway%7Ccatecholamine%20biosynthetic%20process%22%5D%5D?strength-weight-map=%257B%2522MEDLINE_STRENGTH_AB%2522:1.0,%2522HPO%2522:100.0%257D", "Show Evidence...")</f>
        <v>Show Evidence...</v>
      </c>
    </row>
    <row r="995" spans="1:10" ht="12.75">
      <c r="A995" s="2" t="s">
        <v>50</v>
      </c>
      <c r="B995" s="2" t="s">
        <v>1578</v>
      </c>
      <c r="C995" s="2" t="s">
        <v>24</v>
      </c>
      <c r="D995" s="2" t="s">
        <v>1579</v>
      </c>
      <c r="E995" s="2" t="s">
        <v>704</v>
      </c>
      <c r="F995" s="11" t="s">
        <v>753</v>
      </c>
      <c r="G995" t="s">
        <v>37</v>
      </c>
      <c r="H995" t="s">
        <v>754</v>
      </c>
      <c r="I995" t="s">
        <v>1603</v>
      </c>
      <c r="J995" s="6" t="str">
        <f>HYPERLINK("https://www.biovista.com/db/link/%5B%5B%22Disease%7CGTPCH%20deficiency%22%5D,%20%5B%22Pathway%7Ccell%20differentiation%22%5D%5D?strength-weight-map=%257B%2522MEDLINE_STRENGTH_AB%2522:1.0,%2522HPO%2522:100.0%257D", "Show Evidence...")</f>
        <v>Show Evidence...</v>
      </c>
    </row>
    <row r="996" spans="1:10" ht="12.75">
      <c r="A996" s="2" t="s">
        <v>50</v>
      </c>
      <c r="B996" s="2" t="s">
        <v>1578</v>
      </c>
      <c r="C996" s="2" t="s">
        <v>24</v>
      </c>
      <c r="D996" s="2" t="s">
        <v>1579</v>
      </c>
      <c r="E996" s="2" t="s">
        <v>704</v>
      </c>
      <c r="F996" s="11" t="s">
        <v>815</v>
      </c>
      <c r="G996" t="s">
        <v>37</v>
      </c>
      <c r="H996" t="s">
        <v>816</v>
      </c>
      <c r="I996" t="s">
        <v>1603</v>
      </c>
      <c r="J996" s="6" t="str">
        <f>HYPERLINK("https://www.biovista.com/db/link/%5B%5B%22Disease%7CGTPCH%20deficiency%22%5D,%20%5B%22Pathway%7Ccircadian%20rhythm%22%5D%5D?strength-weight-map=%257B%2522MEDLINE_STRENGTH_AB%2522:1.0,%2522HPO%2522:100.0%257D", "Show Evidence...")</f>
        <v>Show Evidence...</v>
      </c>
    </row>
    <row r="997" spans="1:10" ht="12.75">
      <c r="A997" s="2" t="s">
        <v>50</v>
      </c>
      <c r="B997" s="2" t="s">
        <v>1578</v>
      </c>
      <c r="C997" s="2" t="s">
        <v>24</v>
      </c>
      <c r="D997" s="2" t="s">
        <v>1579</v>
      </c>
      <c r="E997" s="2" t="s">
        <v>717</v>
      </c>
      <c r="F997" s="11" t="s">
        <v>1810</v>
      </c>
      <c r="G997" t="s">
        <v>37</v>
      </c>
      <c r="H997" t="s">
        <v>1811</v>
      </c>
      <c r="I997" t="s">
        <v>1603</v>
      </c>
      <c r="J997" s="6" t="str">
        <f>HYPERLINK("https://www.biovista.com/db/link/%5B%5B%22Disease%7CGTPCH%20deficiency%22%5D,%20%5B%22Pathway%7Ccofactor%20biosynthetic%20process%22%5D%5D?strength-weight-map=%257B%2522MEDLINE_STRENGTH_AB%2522:1.0,%2522HPO%2522:100.0%257D", "Show Evidence...")</f>
        <v>Show Evidence...</v>
      </c>
    </row>
    <row r="998" spans="1:10" ht="12.75">
      <c r="A998" s="2" t="s">
        <v>50</v>
      </c>
      <c r="B998" s="2" t="s">
        <v>1578</v>
      </c>
      <c r="C998" s="2" t="s">
        <v>24</v>
      </c>
      <c r="D998" s="2" t="s">
        <v>1579</v>
      </c>
      <c r="E998" s="2" t="s">
        <v>704</v>
      </c>
      <c r="F998" s="11" t="s">
        <v>726</v>
      </c>
      <c r="G998" t="s">
        <v>37</v>
      </c>
      <c r="H998" t="s">
        <v>727</v>
      </c>
      <c r="I998" t="s">
        <v>1603</v>
      </c>
      <c r="J998" s="6" t="str">
        <f>HYPERLINK("https://www.biovista.com/db/link/%5B%5B%22Disease%7CGTPCH%20deficiency%22%5D,%20%5B%22Pathway%7Ccognition%22%5D%5D?strength-weight-map=%257B%2522MEDLINE_STRENGTH_AB%2522:1.0,%2522HPO%2522:100.0%257D", "Show Evidence...")</f>
        <v>Show Evidence...</v>
      </c>
    </row>
    <row r="999" spans="1:10" ht="12.75">
      <c r="A999" s="2" t="s">
        <v>50</v>
      </c>
      <c r="B999" s="2" t="s">
        <v>1578</v>
      </c>
      <c r="C999" s="2" t="s">
        <v>24</v>
      </c>
      <c r="D999" s="2" t="s">
        <v>1579</v>
      </c>
      <c r="E999" s="2" t="s">
        <v>704</v>
      </c>
      <c r="F999" s="11" t="s">
        <v>1812</v>
      </c>
      <c r="G999" t="s">
        <v>37</v>
      </c>
      <c r="H999" t="s">
        <v>1813</v>
      </c>
      <c r="I999" t="s">
        <v>1603</v>
      </c>
      <c r="J999" s="6" t="str">
        <f>HYPERLINK("https://www.biovista.com/db/link/%5B%5B%22Disease%7CGTPCH%20deficiency%22%5D,%20%5B%22Pathway%7Cdopamine%20biosynthetic%20process%22%5D%5D?strength-weight-map=%257B%2522MEDLINE_STRENGTH_AB%2522:1.0,%2522HPO%2522:100.0%257D", "Show Evidence...")</f>
        <v>Show Evidence...</v>
      </c>
    </row>
    <row r="1000" spans="1:10" ht="12.75">
      <c r="A1000" s="2" t="s">
        <v>50</v>
      </c>
      <c r="B1000" s="2" t="s">
        <v>1578</v>
      </c>
      <c r="C1000" s="2" t="s">
        <v>24</v>
      </c>
      <c r="D1000" s="2" t="s">
        <v>1579</v>
      </c>
      <c r="E1000" s="2" t="s">
        <v>704</v>
      </c>
      <c r="F1000" s="11" t="s">
        <v>1454</v>
      </c>
      <c r="G1000" t="s">
        <v>37</v>
      </c>
      <c r="H1000" t="s">
        <v>1455</v>
      </c>
      <c r="I1000" t="s">
        <v>1603</v>
      </c>
      <c r="J1000" s="6" t="str">
        <f>HYPERLINK("https://www.biovista.com/db/link/%5B%5B%22Disease%7CGTPCH%20deficiency%22%5D,%20%5B%22Pathway%7Cexcretion%22%5D%5D?strength-weight-map=%257B%2522MEDLINE_STRENGTH_AB%2522:1.0,%2522HPO%2522:100.0%257D", "Show Evidence...")</f>
        <v>Show Evidence...</v>
      </c>
    </row>
    <row r="1001" spans="1:10" ht="12.75">
      <c r="A1001" s="2" t="s">
        <v>50</v>
      </c>
      <c r="B1001" s="2" t="s">
        <v>1578</v>
      </c>
      <c r="C1001" s="2" t="s">
        <v>24</v>
      </c>
      <c r="D1001" s="2" t="s">
        <v>1579</v>
      </c>
      <c r="E1001" s="2" t="s">
        <v>704</v>
      </c>
      <c r="F1001" s="11" t="s">
        <v>868</v>
      </c>
      <c r="G1001" t="s">
        <v>37</v>
      </c>
      <c r="H1001" t="s">
        <v>869</v>
      </c>
      <c r="I1001" t="s">
        <v>1603</v>
      </c>
      <c r="J1001" s="6" t="str">
        <f>HYPERLINK("https://www.biovista.com/db/link/%5B%5B%22Disease%7CGTPCH%20deficiency%22%5D,%20%5B%22Pathway%7Cexocytosis%22%5D%5D?strength-weight-map=%257B%2522MEDLINE_STRENGTH_AB%2522:1.0,%2522HPO%2522:100.0%257D", "Show Evidence...")</f>
        <v>Show Evidence...</v>
      </c>
    </row>
    <row r="1002" spans="1:10" ht="12.75">
      <c r="A1002" s="2" t="s">
        <v>50</v>
      </c>
      <c r="B1002" s="2" t="s">
        <v>1578</v>
      </c>
      <c r="C1002" s="2" t="s">
        <v>24</v>
      </c>
      <c r="D1002" s="2" t="s">
        <v>1579</v>
      </c>
      <c r="E1002" s="2" t="s">
        <v>704</v>
      </c>
      <c r="F1002" s="11" t="s">
        <v>821</v>
      </c>
      <c r="G1002" t="s">
        <v>37</v>
      </c>
      <c r="H1002" t="s">
        <v>822</v>
      </c>
      <c r="I1002" t="s">
        <v>1603</v>
      </c>
      <c r="J1002" s="6" t="str">
        <f>HYPERLINK("https://www.biovista.com/db/link/%5B%5B%22Disease%7CGTPCH%20deficiency%22%5D,%20%5B%22Pathway%7Cfemale%20pregnancy%22%5D%5D?strength-weight-map=%257B%2522MEDLINE_STRENGTH_AB%2522:1.0,%2522HPO%2522:100.0%257D", "Show Evidence...")</f>
        <v>Show Evidence...</v>
      </c>
    </row>
    <row r="1003" spans="1:10" ht="12.75">
      <c r="A1003" s="2" t="s">
        <v>50</v>
      </c>
      <c r="B1003" s="2" t="s">
        <v>1578</v>
      </c>
      <c r="C1003" s="2" t="s">
        <v>24</v>
      </c>
      <c r="D1003" s="2" t="s">
        <v>1579</v>
      </c>
      <c r="E1003" s="2" t="s">
        <v>704</v>
      </c>
      <c r="F1003" s="11" t="s">
        <v>1814</v>
      </c>
      <c r="G1003" t="s">
        <v>37</v>
      </c>
      <c r="H1003" t="s">
        <v>1815</v>
      </c>
      <c r="I1003" t="s">
        <v>1603</v>
      </c>
      <c r="J1003" s="6" t="str">
        <f>HYPERLINK("https://www.biovista.com/db/link/%5B%5B%22Disease%7CGTPCH%20deficiency%22%5D,%20%5B%22Pathway%7CL-phenylalanine%20catabolic%20process%22%5D%5D?strength-weight-map=%257B%2522MEDLINE_STRENGTH_AB%2522:1.0,%2522HPO%2522:100.0%257D", "Show Evidence...")</f>
        <v>Show Evidence...</v>
      </c>
    </row>
    <row r="1004" spans="1:10" ht="12.75">
      <c r="A1004" s="2" t="s">
        <v>50</v>
      </c>
      <c r="B1004" s="2" t="s">
        <v>1578</v>
      </c>
      <c r="C1004" s="2" t="s">
        <v>24</v>
      </c>
      <c r="D1004" s="2" t="s">
        <v>1579</v>
      </c>
      <c r="E1004" s="2" t="s">
        <v>704</v>
      </c>
      <c r="F1004" s="11" t="s">
        <v>1816</v>
      </c>
      <c r="G1004" t="s">
        <v>37</v>
      </c>
      <c r="H1004" t="s">
        <v>1817</v>
      </c>
      <c r="I1004" t="s">
        <v>1603</v>
      </c>
      <c r="J1004" s="6" t="str">
        <f>HYPERLINK("https://www.biovista.com/db/link/%5B%5B%22Disease%7CGTPCH%20deficiency%22%5D,%20%5B%22Pathway%7CL-phenylalanine%20metabolic%20process%22%5D%5D?strength-weight-map=%257B%2522MEDLINE_STRENGTH_AB%2522:1.0,%2522HPO%2522:100.0%257D", "Show Evidence...")</f>
        <v>Show Evidence...</v>
      </c>
    </row>
    <row r="1005" spans="1:10" ht="12.75">
      <c r="A1005" s="2" t="s">
        <v>50</v>
      </c>
      <c r="B1005" s="2" t="s">
        <v>1578</v>
      </c>
      <c r="C1005" s="2" t="s">
        <v>24</v>
      </c>
      <c r="D1005" s="2" t="s">
        <v>1579</v>
      </c>
      <c r="E1005" s="2" t="s">
        <v>704</v>
      </c>
      <c r="F1005" s="11" t="s">
        <v>1818</v>
      </c>
      <c r="G1005" t="s">
        <v>37</v>
      </c>
      <c r="H1005" t="s">
        <v>1819</v>
      </c>
      <c r="I1005" t="s">
        <v>1603</v>
      </c>
      <c r="J1005" s="6" t="str">
        <f>HYPERLINK("https://www.biovista.com/db/link/%5B%5B%22Disease%7CGTPCH%20deficiency%22%5D,%20%5B%22Pathway%7Clocalization%22%5D%5D?strength-weight-map=%257B%2522MEDLINE_STRENGTH_AB%2522:1.0,%2522HPO%2522:100.0%257D", "Show Evidence...")</f>
        <v>Show Evidence...</v>
      </c>
    </row>
    <row r="1006" spans="1:10" ht="12.75">
      <c r="A1006" s="2" t="s">
        <v>50</v>
      </c>
      <c r="B1006" s="2" t="s">
        <v>1578</v>
      </c>
      <c r="C1006" s="2" t="s">
        <v>24</v>
      </c>
      <c r="D1006" s="2" t="s">
        <v>1579</v>
      </c>
      <c r="E1006" s="2" t="s">
        <v>704</v>
      </c>
      <c r="F1006" s="11" t="s">
        <v>737</v>
      </c>
      <c r="G1006" t="s">
        <v>37</v>
      </c>
      <c r="H1006" t="s">
        <v>738</v>
      </c>
      <c r="I1006" t="s">
        <v>1603</v>
      </c>
      <c r="J1006" s="6" t="str">
        <f>HYPERLINK("https://www.biovista.com/db/link/%5B%5B%22Disease%7CGTPCH%20deficiency%22%5D,%20%5B%22Pathway%7CmRNA%20cis%20splicing,%20via%20spliceosome%22%5D%5D?strength-weight-map=%257B%2522MEDLINE_STRENGTH_AB%2522:1.0,%2522HPO%2522:100.0%257D", "Show Evidence...")</f>
        <v>Show Evidence...</v>
      </c>
    </row>
    <row r="1007" spans="1:10" ht="12.75">
      <c r="A1007" s="2" t="s">
        <v>50</v>
      </c>
      <c r="B1007" s="2" t="s">
        <v>1578</v>
      </c>
      <c r="C1007" s="2" t="s">
        <v>24</v>
      </c>
      <c r="D1007" s="2" t="s">
        <v>1579</v>
      </c>
      <c r="E1007" s="2" t="s">
        <v>704</v>
      </c>
      <c r="F1007" s="11" t="s">
        <v>1820</v>
      </c>
      <c r="G1007" t="s">
        <v>37</v>
      </c>
      <c r="H1007" t="s">
        <v>1821</v>
      </c>
      <c r="I1007" t="s">
        <v>1603</v>
      </c>
      <c r="J1007" s="6" t="str">
        <f>HYPERLINK("https://www.biovista.com/db/link/%5B%5B%22Disease%7CGTPCH%20deficiency%22%5D,%20%5B%22Pathway%7Cpteridine%20metabolic%20process%22%5D%5D?strength-weight-map=%257B%2522MEDLINE_STRENGTH_AB%2522:1.0,%2522HPO%2522:100.0%257D", "Show Evidence...")</f>
        <v>Show Evidence...</v>
      </c>
    </row>
    <row r="1008" spans="1:10" ht="12.75">
      <c r="A1008" s="2" t="s">
        <v>50</v>
      </c>
      <c r="B1008" s="2" t="s">
        <v>1578</v>
      </c>
      <c r="C1008" s="2" t="s">
        <v>24</v>
      </c>
      <c r="D1008" s="2" t="s">
        <v>1579</v>
      </c>
      <c r="E1008" s="2" t="s">
        <v>704</v>
      </c>
      <c r="F1008" s="11" t="s">
        <v>1822</v>
      </c>
      <c r="G1008" t="s">
        <v>37</v>
      </c>
      <c r="H1008" t="s">
        <v>1823</v>
      </c>
      <c r="I1008" t="s">
        <v>1603</v>
      </c>
      <c r="J1008" s="6" t="str">
        <f>HYPERLINK("https://www.biovista.com/db/link/%5B%5B%22Disease%7CGTPCH%20deficiency%22%5D,%20%5B%22Pathway%7Ctetrahydrobiopterin%20biosynthetic%20process%22%5D%5D?strength-weight-map=%257B%2522MEDLINE_STRENGTH_AB%2522:1.0,%2522HPO%2522:100.0%257D", "Show Evidence...")</f>
        <v>Show Evidence...</v>
      </c>
    </row>
    <row r="1009" spans="1:10" ht="12.75">
      <c r="A1009" s="2" t="s">
        <v>50</v>
      </c>
      <c r="B1009" s="2" t="s">
        <v>1578</v>
      </c>
      <c r="C1009" s="2" t="s">
        <v>24</v>
      </c>
      <c r="D1009" s="2" t="s">
        <v>1579</v>
      </c>
      <c r="E1009" s="2" t="s">
        <v>704</v>
      </c>
      <c r="F1009" s="11" t="s">
        <v>1824</v>
      </c>
      <c r="G1009" t="s">
        <v>37</v>
      </c>
      <c r="H1009" t="s">
        <v>1825</v>
      </c>
      <c r="I1009" t="s">
        <v>1603</v>
      </c>
      <c r="J1009" s="6" t="str">
        <f>HYPERLINK("https://www.biovista.com/db/link/%5B%5B%22Disease%7CGTPCH%20deficiency%22%5D,%20%5B%22Pathway%7Ctetrahydrobiopterin%20metabolic%20process%22%5D%5D?strength-weight-map=%257B%2522MEDLINE_STRENGTH_AB%2522:1.0,%2522HPO%2522:100.0%257D", "Show Evidence...")</f>
        <v>Show Evidence...</v>
      </c>
    </row>
    <row r="1010" spans="1:10" ht="12.75">
      <c r="A1010" s="2" t="s">
        <v>50</v>
      </c>
      <c r="B1010" s="2" t="s">
        <v>1826</v>
      </c>
      <c r="C1010" s="2" t="s">
        <v>24</v>
      </c>
      <c r="D1010" s="2" t="s">
        <v>1827</v>
      </c>
      <c r="E1010" s="2" t="s">
        <v>53</v>
      </c>
      <c r="F1010" s="11" t="s">
        <v>138</v>
      </c>
      <c r="G1010" t="s">
        <v>39</v>
      </c>
      <c r="H1010" t="s">
        <v>139</v>
      </c>
      <c r="I1010" t="s">
        <v>1828</v>
      </c>
      <c r="J1010" s="6" t="str">
        <f>HYPERLINK("https://www.biovista.com/db/link/%5B%5B%22Disease%7CLeigh%20Syndrome%22%5D,%20%5B%22Drug%7CLactic%20Acid%22%5D%5D?strength-weight-map=%257B%2522MEDLINE_STRENGTH_AB%2522:1.0,%2522HPO%2522:100.0%257D", "Show Evidence...")</f>
        <v>Show Evidence...</v>
      </c>
    </row>
    <row r="1011" spans="1:10" ht="12.75">
      <c r="A1011" s="2" t="s">
        <v>50</v>
      </c>
      <c r="B1011" s="2" t="s">
        <v>1826</v>
      </c>
      <c r="C1011" s="2" t="s">
        <v>24</v>
      </c>
      <c r="D1011" s="2" t="s">
        <v>1827</v>
      </c>
      <c r="E1011" s="2" t="s">
        <v>53</v>
      </c>
      <c r="F1011" s="11" t="s">
        <v>1829</v>
      </c>
      <c r="G1011" t="s">
        <v>39</v>
      </c>
      <c r="H1011" t="s">
        <v>1830</v>
      </c>
      <c r="I1011" t="s">
        <v>1831</v>
      </c>
      <c r="J1011" s="6" t="str">
        <f>HYPERLINK("https://www.biovista.com/db/link/%5B%5B%22Disease%7CLeigh%20Syndrome%22%5D,%20%5B%22Drug%7CThiamine%22%5D%5D?strength-weight-map=%257B%2522MEDLINE_STRENGTH_AB%2522:1.0,%2522HPO%2522:100.0%257D", "Show Evidence...")</f>
        <v>Show Evidence...</v>
      </c>
    </row>
    <row r="1012" spans="1:10" ht="12.75">
      <c r="A1012" s="2" t="s">
        <v>50</v>
      </c>
      <c r="B1012" s="2" t="s">
        <v>1826</v>
      </c>
      <c r="C1012" s="2" t="s">
        <v>24</v>
      </c>
      <c r="D1012" s="2" t="s">
        <v>1827</v>
      </c>
      <c r="E1012" s="2" t="s">
        <v>53</v>
      </c>
      <c r="F1012" s="11" t="s">
        <v>922</v>
      </c>
      <c r="G1012" t="s">
        <v>39</v>
      </c>
      <c r="H1012" t="s">
        <v>923</v>
      </c>
      <c r="I1012" t="s">
        <v>1832</v>
      </c>
      <c r="J1012" s="6" t="str">
        <f>HYPERLINK("https://www.biovista.com/db/link/%5B%5B%22Disease%7CLeigh%20Syndrome%22%5D,%20%5B%22Drug%7CCarnitine%22%5D%5D?strength-weight-map=%257B%2522MEDLINE_STRENGTH_AB%2522:1.0,%2522HPO%2522:100.0%257D", "Show Evidence...")</f>
        <v>Show Evidence...</v>
      </c>
    </row>
    <row r="1013" spans="1:10" ht="12.75">
      <c r="A1013" s="2" t="s">
        <v>50</v>
      </c>
      <c r="B1013" s="2" t="s">
        <v>1826</v>
      </c>
      <c r="C1013" s="2" t="s">
        <v>24</v>
      </c>
      <c r="D1013" s="2" t="s">
        <v>1827</v>
      </c>
      <c r="E1013" s="2" t="s">
        <v>53</v>
      </c>
      <c r="F1013" s="11" t="s">
        <v>1833</v>
      </c>
      <c r="G1013" t="s">
        <v>39</v>
      </c>
      <c r="H1013" t="s">
        <v>1834</v>
      </c>
      <c r="I1013" t="s">
        <v>1835</v>
      </c>
      <c r="J1013" s="6" t="str">
        <f>HYPERLINK("https://www.biovista.com/db/link/%5B%5B%22Disease%7CLeigh%20Syndrome%22%5D,%20%5B%22Drug%7CThiamine%20Pyrophosphate%22%5D%5D?strength-weight-map=%257B%2522MEDLINE_STRENGTH_AB%2522:1.0,%2522HPO%2522:100.0%257D", "Show Evidence...")</f>
        <v>Show Evidence...</v>
      </c>
    </row>
    <row r="1014" spans="1:10" ht="12.75">
      <c r="A1014" s="2" t="s">
        <v>50</v>
      </c>
      <c r="B1014" s="2" t="s">
        <v>1826</v>
      </c>
      <c r="C1014" s="2" t="s">
        <v>24</v>
      </c>
      <c r="D1014" s="2" t="s">
        <v>1827</v>
      </c>
      <c r="E1014" s="2" t="s">
        <v>53</v>
      </c>
      <c r="F1014" s="11" t="s">
        <v>1836</v>
      </c>
      <c r="G1014" t="s">
        <v>39</v>
      </c>
      <c r="H1014" t="s">
        <v>1837</v>
      </c>
      <c r="I1014" t="s">
        <v>1838</v>
      </c>
      <c r="J1014" s="6" t="str">
        <f>HYPERLINK("https://www.biovista.com/db/link/%5B%5B%22Disease%7CLeigh%20Syndrome%22%5D,%20%5B%22Drug%7Ccoenzyme%20Q10%22%5D%5D?strength-weight-map=%257B%2522MEDLINE_STRENGTH_AB%2522:1.0,%2522HPO%2522:100.0%257D", "Show Evidence...")</f>
        <v>Show Evidence...</v>
      </c>
    </row>
    <row r="1015" spans="1:10" ht="12.75">
      <c r="A1015" s="2" t="s">
        <v>50</v>
      </c>
      <c r="B1015" s="2" t="s">
        <v>1826</v>
      </c>
      <c r="C1015" s="2" t="s">
        <v>24</v>
      </c>
      <c r="D1015" s="2" t="s">
        <v>1827</v>
      </c>
      <c r="E1015" s="2" t="s">
        <v>53</v>
      </c>
      <c r="F1015" s="11" t="s">
        <v>1839</v>
      </c>
      <c r="G1015" t="s">
        <v>39</v>
      </c>
      <c r="H1015" t="s">
        <v>1840</v>
      </c>
      <c r="I1015" t="s">
        <v>1841</v>
      </c>
      <c r="J1015" s="6" t="str">
        <f>HYPERLINK("https://www.biovista.com/db/link/%5B%5B%22Disease%7CLeigh%20Syndrome%22%5D,%20%5B%22Drug%7CThiamine%20Triphosphate%22%5D%5D?strength-weight-map=%257B%2522MEDLINE_STRENGTH_AB%2522:1.0,%2522HPO%2522:100.0%257D", "Show Evidence...")</f>
        <v>Show Evidence...</v>
      </c>
    </row>
    <row r="1016" spans="1:10" ht="12.75">
      <c r="A1016" s="2" t="s">
        <v>50</v>
      </c>
      <c r="B1016" s="2" t="s">
        <v>1826</v>
      </c>
      <c r="C1016" s="2" t="s">
        <v>24</v>
      </c>
      <c r="D1016" s="2" t="s">
        <v>1827</v>
      </c>
      <c r="E1016" s="2" t="s">
        <v>53</v>
      </c>
      <c r="F1016" s="11" t="s">
        <v>1842</v>
      </c>
      <c r="G1016" t="s">
        <v>39</v>
      </c>
      <c r="H1016" t="s">
        <v>1843</v>
      </c>
      <c r="I1016" t="s">
        <v>1844</v>
      </c>
      <c r="J1016" s="6" t="str">
        <f>HYPERLINK("https://www.biovista.com/db/link/%5B%5B%22Disease%7CLeigh%20Syndrome%22%5D,%20%5B%22Drug%7Cpyruvate%20dehydrogenase%20E1alpha%20subunit%22%5D%5D?strength-weight-map=%257B%2522MEDLINE_STRENGTH_AB%2522:1.0,%2522HPO%2522:100.0%257D", "Show Evidence...")</f>
        <v>Show Evidence...</v>
      </c>
    </row>
    <row r="1017" spans="1:10" ht="12.75">
      <c r="A1017" s="2" t="s">
        <v>50</v>
      </c>
      <c r="B1017" s="2" t="s">
        <v>1826</v>
      </c>
      <c r="C1017" s="2" t="s">
        <v>24</v>
      </c>
      <c r="D1017" s="2" t="s">
        <v>1827</v>
      </c>
      <c r="E1017" s="2" t="s">
        <v>53</v>
      </c>
      <c r="F1017" s="11" t="s">
        <v>261</v>
      </c>
      <c r="G1017" t="s">
        <v>39</v>
      </c>
      <c r="H1017" t="s">
        <v>262</v>
      </c>
      <c r="I1017" t="s">
        <v>1845</v>
      </c>
      <c r="J1017" s="6" t="str">
        <f>HYPERLINK("https://www.biovista.com/db/link/%5B%5B%22Disease%7CLeigh%20Syndrome%22%5D,%20%5B%22Drug%7CSirolimus%22%5D%5D?strength-weight-map=%257B%2522MEDLINE_STRENGTH_AB%2522:1.0,%2522HPO%2522:100.0%257D", "Show Evidence...")</f>
        <v>Show Evidence...</v>
      </c>
    </row>
    <row r="1018" spans="1:10" ht="12.75">
      <c r="A1018" s="2" t="s">
        <v>50</v>
      </c>
      <c r="B1018" s="2" t="s">
        <v>1826</v>
      </c>
      <c r="C1018" s="2" t="s">
        <v>24</v>
      </c>
      <c r="D1018" s="2" t="s">
        <v>1827</v>
      </c>
      <c r="E1018" s="2" t="s">
        <v>53</v>
      </c>
      <c r="F1018" s="11" t="s">
        <v>1846</v>
      </c>
      <c r="G1018" t="s">
        <v>39</v>
      </c>
      <c r="H1018" t="s">
        <v>1847</v>
      </c>
      <c r="I1018" t="s">
        <v>1848</v>
      </c>
      <c r="J1018" s="6" t="str">
        <f>HYPERLINK("https://www.biovista.com/db/link/%5B%5B%22Disease%7CLeigh%20Syndrome%22%5D,%20%5B%22Drug%7CThioctic%20Acid%22%5D%5D?strength-weight-map=%257B%2522MEDLINE_STRENGTH_AB%2522:1.0,%2522HPO%2522:100.0%257D", "Show Evidence...")</f>
        <v>Show Evidence...</v>
      </c>
    </row>
    <row r="1019" spans="1:10" ht="12.75">
      <c r="A1019" s="2" t="s">
        <v>50</v>
      </c>
      <c r="B1019" s="2" t="s">
        <v>1826</v>
      </c>
      <c r="C1019" s="2" t="s">
        <v>24</v>
      </c>
      <c r="D1019" s="2" t="s">
        <v>1827</v>
      </c>
      <c r="E1019" s="2" t="s">
        <v>53</v>
      </c>
      <c r="F1019" s="11" t="s">
        <v>926</v>
      </c>
      <c r="G1019" t="s">
        <v>39</v>
      </c>
      <c r="H1019" t="s">
        <v>927</v>
      </c>
      <c r="I1019" t="s">
        <v>1849</v>
      </c>
      <c r="J1019" s="6" t="str">
        <f>HYPERLINK("https://www.biovista.com/db/link/%5B%5B%22Disease%7CLeigh%20Syndrome%22%5D,%20%5B%22Drug%7CRiboflavin%22%5D%5D?strength-weight-map=%257B%2522MEDLINE_STRENGTH_AB%2522:1.0,%2522HPO%2522:100.0%257D", "Show Evidence...")</f>
        <v>Show Evidence...</v>
      </c>
    </row>
    <row r="1020" spans="1:10" ht="12.75">
      <c r="A1020" s="2" t="s">
        <v>50</v>
      </c>
      <c r="B1020" s="2" t="s">
        <v>1826</v>
      </c>
      <c r="C1020" s="2" t="s">
        <v>24</v>
      </c>
      <c r="D1020" s="2" t="s">
        <v>1827</v>
      </c>
      <c r="E1020" s="2" t="s">
        <v>53</v>
      </c>
      <c r="F1020" s="11" t="s">
        <v>1850</v>
      </c>
      <c r="G1020" t="s">
        <v>39</v>
      </c>
      <c r="H1020" t="s">
        <v>1851</v>
      </c>
      <c r="I1020" t="s">
        <v>1852</v>
      </c>
      <c r="J1020" s="6" t="str">
        <f>HYPERLINK("https://www.biovista.com/db/link/%5B%5B%22Disease%7CLeigh%20Syndrome%22%5D,%20%5B%22Drug%7Cidebenone%22%5D%5D?strength-weight-map=%257B%2522MEDLINE_STRENGTH_AB%2522:1.0,%2522HPO%2522:100.0%257D", "Show Evidence...")</f>
        <v>Show Evidence...</v>
      </c>
    </row>
    <row r="1021" spans="1:10" ht="12.75">
      <c r="A1021" s="2" t="s">
        <v>50</v>
      </c>
      <c r="B1021" s="2" t="s">
        <v>1826</v>
      </c>
      <c r="C1021" s="2" t="s">
        <v>24</v>
      </c>
      <c r="D1021" s="2" t="s">
        <v>1827</v>
      </c>
      <c r="E1021" s="2" t="s">
        <v>53</v>
      </c>
      <c r="F1021" s="11" t="s">
        <v>108</v>
      </c>
      <c r="G1021" t="s">
        <v>39</v>
      </c>
      <c r="H1021" t="s">
        <v>109</v>
      </c>
      <c r="I1021" t="s">
        <v>1853</v>
      </c>
      <c r="J1021" s="6" t="str">
        <f>HYPERLINK("https://www.biovista.com/db/link/%5B%5B%22Disease%7CLeigh%20Syndrome%22%5D,%20%5B%22Drug%7CNitric%20Oxide%22%5D%5D?strength-weight-map=%257B%2522MEDLINE_STRENGTH_AB%2522:1.0,%2522HPO%2522:100.0%257D", "Show Evidence...")</f>
        <v>Show Evidence...</v>
      </c>
    </row>
    <row r="1022" spans="1:10" ht="12.75">
      <c r="A1022" s="2" t="s">
        <v>50</v>
      </c>
      <c r="B1022" s="2" t="s">
        <v>1826</v>
      </c>
      <c r="C1022" s="2" t="s">
        <v>24</v>
      </c>
      <c r="D1022" s="2" t="s">
        <v>1827</v>
      </c>
      <c r="E1022" s="2" t="s">
        <v>53</v>
      </c>
      <c r="F1022" s="11" t="s">
        <v>1001</v>
      </c>
      <c r="G1022" t="s">
        <v>39</v>
      </c>
      <c r="H1022" t="s">
        <v>1002</v>
      </c>
      <c r="I1022" t="s">
        <v>1853</v>
      </c>
      <c r="J1022" s="6" t="str">
        <f>HYPERLINK("https://www.biovista.com/db/link/%5B%5B%22Disease%7CLeigh%20Syndrome%22%5D,%20%5B%22Drug%7CPropofol%22%5D%5D?strength-weight-map=%257B%2522MEDLINE_STRENGTH_AB%2522:1.0,%2522HPO%2522:100.0%257D", "Show Evidence...")</f>
        <v>Show Evidence...</v>
      </c>
    </row>
    <row r="1023" spans="1:10" ht="12.75">
      <c r="A1023" s="2" t="s">
        <v>50</v>
      </c>
      <c r="B1023" s="2" t="s">
        <v>1826</v>
      </c>
      <c r="C1023" s="2" t="s">
        <v>24</v>
      </c>
      <c r="D1023" s="2" t="s">
        <v>1827</v>
      </c>
      <c r="E1023" s="2" t="s">
        <v>53</v>
      </c>
      <c r="F1023" s="11" t="s">
        <v>1854</v>
      </c>
      <c r="G1023" t="s">
        <v>39</v>
      </c>
      <c r="H1023" t="s">
        <v>1855</v>
      </c>
      <c r="I1023" t="s">
        <v>1853</v>
      </c>
      <c r="J1023" s="6" t="str">
        <f>HYPERLINK("https://www.biovista.com/db/link/%5B%5B%22Disease%7CLeigh%20Syndrome%22%5D,%20%5B%22Drug%7CRotenone%22%5D%5D?strength-weight-map=%257B%2522MEDLINE_STRENGTH_AB%2522:1.0,%2522HPO%2522:100.0%257D", "Show Evidence...")</f>
        <v>Show Evidence...</v>
      </c>
    </row>
    <row r="1024" spans="1:10" ht="12.75">
      <c r="A1024" s="2" t="s">
        <v>50</v>
      </c>
      <c r="B1024" s="2" t="s">
        <v>1826</v>
      </c>
      <c r="C1024" s="2" t="s">
        <v>24</v>
      </c>
      <c r="D1024" s="2" t="s">
        <v>1827</v>
      </c>
      <c r="E1024" s="2" t="s">
        <v>53</v>
      </c>
      <c r="F1024" s="11" t="s">
        <v>152</v>
      </c>
      <c r="G1024" t="s">
        <v>39</v>
      </c>
      <c r="H1024" t="s">
        <v>153</v>
      </c>
      <c r="I1024" t="s">
        <v>1853</v>
      </c>
      <c r="J1024" s="6" t="str">
        <f>HYPERLINK("https://www.biovista.com/db/link/%5B%5B%22Disease%7CLeigh%20Syndrome%22%5D,%20%5B%22Drug%7CTryptophan%22%5D%5D?strength-weight-map=%257B%2522MEDLINE_STRENGTH_AB%2522:1.0,%2522HPO%2522:100.0%257D", "Show Evidence...")</f>
        <v>Show Evidence...</v>
      </c>
    </row>
    <row r="1025" spans="1:10" ht="12.75">
      <c r="A1025" s="2" t="s">
        <v>50</v>
      </c>
      <c r="B1025" s="2" t="s">
        <v>1826</v>
      </c>
      <c r="C1025" s="2" t="s">
        <v>24</v>
      </c>
      <c r="D1025" s="2" t="s">
        <v>1827</v>
      </c>
      <c r="E1025" s="2" t="s">
        <v>53</v>
      </c>
      <c r="F1025" s="11" t="s">
        <v>964</v>
      </c>
      <c r="G1025" t="s">
        <v>39</v>
      </c>
      <c r="H1025" t="s">
        <v>965</v>
      </c>
      <c r="I1025" t="s">
        <v>1856</v>
      </c>
      <c r="J1025" s="6" t="str">
        <f>HYPERLINK("https://www.biovista.com/db/link/%5B%5B%22Disease%7CLeigh%20Syndrome%22%5D,%20%5B%22Drug%7CAcetylcysteine%22%5D%5D?strength-weight-map=%257B%2522MEDLINE_STRENGTH_AB%2522:1.0,%2522HPO%2522:100.0%257D", "Show Evidence...")</f>
        <v>Show Evidence...</v>
      </c>
    </row>
    <row r="1026" spans="1:10" ht="12.75">
      <c r="A1026" s="2" t="s">
        <v>50</v>
      </c>
      <c r="B1026" s="2" t="s">
        <v>1826</v>
      </c>
      <c r="C1026" s="2" t="s">
        <v>24</v>
      </c>
      <c r="D1026" s="2" t="s">
        <v>1827</v>
      </c>
      <c r="E1026" s="2" t="s">
        <v>53</v>
      </c>
      <c r="F1026" s="11" t="s">
        <v>155</v>
      </c>
      <c r="G1026" t="s">
        <v>39</v>
      </c>
      <c r="H1026" t="s">
        <v>156</v>
      </c>
      <c r="I1026" t="s">
        <v>1856</v>
      </c>
      <c r="J1026" s="6" t="str">
        <f>HYPERLINK("https://www.biovista.com/db/link/%5B%5B%22Disease%7CLeigh%20Syndrome%22%5D,%20%5B%22Drug%7CCholine%22%5D%5D?strength-weight-map=%257B%2522MEDLINE_STRENGTH_AB%2522:1.0,%2522HPO%2522:100.0%257D", "Show Evidence...")</f>
        <v>Show Evidence...</v>
      </c>
    </row>
    <row r="1027" spans="1:10" ht="12.75">
      <c r="A1027" s="2" t="s">
        <v>50</v>
      </c>
      <c r="B1027" s="2" t="s">
        <v>1826</v>
      </c>
      <c r="C1027" s="2" t="s">
        <v>24</v>
      </c>
      <c r="D1027" s="2" t="s">
        <v>1827</v>
      </c>
      <c r="E1027" s="2" t="s">
        <v>53</v>
      </c>
      <c r="F1027" s="11" t="s">
        <v>1857</v>
      </c>
      <c r="G1027" t="s">
        <v>39</v>
      </c>
      <c r="H1027" t="s">
        <v>1858</v>
      </c>
      <c r="I1027" t="s">
        <v>1856</v>
      </c>
      <c r="J1027" s="6" t="str">
        <f>HYPERLINK("https://www.biovista.com/db/link/%5B%5B%22Disease%7CLeigh%20Syndrome%22%5D,%20%5B%22Drug%7COligomycins%22%5D%5D?strength-weight-map=%257B%2522MEDLINE_STRENGTH_AB%2522:1.0,%2522HPO%2522:100.0%257D", "Show Evidence...")</f>
        <v>Show Evidence...</v>
      </c>
    </row>
    <row r="1028" spans="1:10" ht="12.75">
      <c r="A1028" s="2" t="s">
        <v>50</v>
      </c>
      <c r="B1028" s="2" t="s">
        <v>1826</v>
      </c>
      <c r="C1028" s="2" t="s">
        <v>24</v>
      </c>
      <c r="D1028" s="2" t="s">
        <v>1827</v>
      </c>
      <c r="E1028" s="2" t="s">
        <v>53</v>
      </c>
      <c r="F1028" s="11" t="s">
        <v>90</v>
      </c>
      <c r="G1028" t="s">
        <v>39</v>
      </c>
      <c r="H1028" t="s">
        <v>91</v>
      </c>
      <c r="I1028" t="s">
        <v>1856</v>
      </c>
      <c r="J1028" s="6" t="str">
        <f>HYPERLINK("https://www.biovista.com/db/link/%5B%5B%22Disease%7CLeigh%20Syndrome%22%5D,%20%5B%22Drug%7CSuperoxide%20Dismutase%22%5D%5D?strength-weight-map=%257B%2522MEDLINE_STRENGTH_AB%2522:1.0,%2522HPO%2522:100.0%257D", "Show Evidence...")</f>
        <v>Show Evidence...</v>
      </c>
    </row>
    <row r="1029" spans="1:10" ht="12.75">
      <c r="A1029" s="2" t="s">
        <v>50</v>
      </c>
      <c r="B1029" s="2" t="s">
        <v>1826</v>
      </c>
      <c r="C1029" s="2" t="s">
        <v>24</v>
      </c>
      <c r="D1029" s="2" t="s">
        <v>1827</v>
      </c>
      <c r="E1029" s="2" t="s">
        <v>53</v>
      </c>
      <c r="F1029" s="11" t="s">
        <v>1014</v>
      </c>
      <c r="G1029" t="s">
        <v>39</v>
      </c>
      <c r="H1029" t="s">
        <v>1015</v>
      </c>
      <c r="I1029" t="s">
        <v>1859</v>
      </c>
      <c r="J1029" s="6" t="str">
        <f>HYPERLINK("https://www.biovista.com/db/link/%5B%5B%22Disease%7CLeigh%20Syndrome%22%5D,%20%5B%22Drug%7C6-hydroxy-2,5,7,8-tetramethylchroman-2-carboxylic%20acid%22%5D%5D?strength-weight-map=%257B%2522MEDLINE_STRENGTH_AB%2522:1.0,%2522HPO%2522:100.0%257D", "Show Evidence...")</f>
        <v>Show Evidence...</v>
      </c>
    </row>
    <row r="1030" spans="1:10" ht="12.75">
      <c r="A1030" s="2" t="s">
        <v>50</v>
      </c>
      <c r="B1030" s="2" t="s">
        <v>1826</v>
      </c>
      <c r="C1030" s="2" t="s">
        <v>24</v>
      </c>
      <c r="D1030" s="2" t="s">
        <v>1827</v>
      </c>
      <c r="E1030" s="2" t="s">
        <v>53</v>
      </c>
      <c r="F1030" s="11" t="s">
        <v>936</v>
      </c>
      <c r="G1030" t="s">
        <v>39</v>
      </c>
      <c r="H1030" t="s">
        <v>937</v>
      </c>
      <c r="I1030" t="s">
        <v>1859</v>
      </c>
      <c r="J1030" s="6" t="str">
        <f>HYPERLINK("https://www.biovista.com/db/link/%5B%5B%22Disease%7CLeigh%20Syndrome%22%5D,%20%5B%22Drug%7CBaclofen%22%5D%5D?strength-weight-map=%257B%2522MEDLINE_STRENGTH_AB%2522:1.0,%2522HPO%2522:100.0%257D", "Show Evidence...")</f>
        <v>Show Evidence...</v>
      </c>
    </row>
    <row r="1031" spans="1:10" ht="12.75">
      <c r="A1031" s="2" t="s">
        <v>50</v>
      </c>
      <c r="B1031" s="2" t="s">
        <v>1826</v>
      </c>
      <c r="C1031" s="2" t="s">
        <v>24</v>
      </c>
      <c r="D1031" s="2" t="s">
        <v>1827</v>
      </c>
      <c r="E1031" s="2" t="s">
        <v>53</v>
      </c>
      <c r="F1031" s="11" t="s">
        <v>1860</v>
      </c>
      <c r="G1031" t="s">
        <v>39</v>
      </c>
      <c r="H1031" t="s">
        <v>1861</v>
      </c>
      <c r="I1031" t="s">
        <v>1859</v>
      </c>
      <c r="J1031" s="6" t="str">
        <f>HYPERLINK("https://www.biovista.com/db/link/%5B%5B%22Disease%7CLeigh%20Syndrome%22%5D,%20%5B%22Drug%7CCysteamine%22%5D%5D?strength-weight-map=%257B%2522MEDLINE_STRENGTH_AB%2522:1.0,%2522HPO%2522:100.0%257D", "Show Evidence...")</f>
        <v>Show Evidence...</v>
      </c>
    </row>
    <row r="1032" spans="1:10" ht="12.75">
      <c r="A1032" s="2" t="s">
        <v>50</v>
      </c>
      <c r="B1032" s="2" t="s">
        <v>1826</v>
      </c>
      <c r="C1032" s="2" t="s">
        <v>24</v>
      </c>
      <c r="D1032" s="2" t="s">
        <v>1827</v>
      </c>
      <c r="E1032" s="2" t="s">
        <v>53</v>
      </c>
      <c r="F1032" s="11" t="s">
        <v>1024</v>
      </c>
      <c r="G1032" t="s">
        <v>39</v>
      </c>
      <c r="H1032" t="s">
        <v>1025</v>
      </c>
      <c r="I1032" t="s">
        <v>1859</v>
      </c>
      <c r="J1032" s="6" t="str">
        <f>HYPERLINK("https://www.biovista.com/db/link/%5B%5B%22Disease%7CLeigh%20Syndrome%22%5D,%20%5B%22Drug%7CFlavin%20Mononucleotide%22%5D%5D?strength-weight-map=%257B%2522MEDLINE_STRENGTH_AB%2522:1.0,%2522HPO%2522:100.0%257D", "Show Evidence...")</f>
        <v>Show Evidence...</v>
      </c>
    </row>
    <row r="1033" spans="1:10" ht="12.75">
      <c r="A1033" s="2" t="s">
        <v>50</v>
      </c>
      <c r="B1033" s="2" t="s">
        <v>1826</v>
      </c>
      <c r="C1033" s="2" t="s">
        <v>24</v>
      </c>
      <c r="D1033" s="2" t="s">
        <v>1827</v>
      </c>
      <c r="E1033" s="2" t="s">
        <v>53</v>
      </c>
      <c r="F1033" s="11" t="s">
        <v>1862</v>
      </c>
      <c r="G1033" t="s">
        <v>39</v>
      </c>
      <c r="H1033" t="s">
        <v>1863</v>
      </c>
      <c r="I1033" t="s">
        <v>1859</v>
      </c>
      <c r="J1033" s="6" t="str">
        <f>HYPERLINK("https://www.biovista.com/db/link/%5B%5B%22Disease%7CLeigh%20Syndrome%22%5D,%20%5B%22Drug%7CHydrogen%20Sulfide%22%5D%5D?strength-weight-map=%257B%2522MEDLINE_STRENGTH_AB%2522:1.0,%2522HPO%2522:100.0%257D", "Show Evidence...")</f>
        <v>Show Evidence...</v>
      </c>
    </row>
    <row r="1034" spans="1:10" ht="12.75">
      <c r="A1034" s="2" t="s">
        <v>50</v>
      </c>
      <c r="B1034" s="2" t="s">
        <v>1826</v>
      </c>
      <c r="C1034" s="2" t="s">
        <v>24</v>
      </c>
      <c r="D1034" s="2" t="s">
        <v>1827</v>
      </c>
      <c r="E1034" s="2" t="s">
        <v>53</v>
      </c>
      <c r="F1034" s="11" t="s">
        <v>1864</v>
      </c>
      <c r="G1034" t="s">
        <v>39</v>
      </c>
      <c r="H1034" t="s">
        <v>1865</v>
      </c>
      <c r="I1034" t="s">
        <v>1859</v>
      </c>
      <c r="J1034" s="6" t="str">
        <f>HYPERLINK("https://www.biovista.com/db/link/%5B%5B%22Disease%7CLeigh%20Syndrome%22%5D,%20%5B%22Drug%7CIsoflurane%22%5D%5D?strength-weight-map=%257B%2522MEDLINE_STRENGTH_AB%2522:1.0,%2522HPO%2522:100.0%257D", "Show Evidence...")</f>
        <v>Show Evidence...</v>
      </c>
    </row>
    <row r="1035" spans="1:10" ht="12.75">
      <c r="A1035" s="2" t="s">
        <v>50</v>
      </c>
      <c r="B1035" s="2" t="s">
        <v>1826</v>
      </c>
      <c r="C1035" s="2" t="s">
        <v>24</v>
      </c>
      <c r="D1035" s="2" t="s">
        <v>1827</v>
      </c>
      <c r="E1035" s="2" t="s">
        <v>53</v>
      </c>
      <c r="F1035" s="11" t="s">
        <v>1866</v>
      </c>
      <c r="G1035" t="s">
        <v>39</v>
      </c>
      <c r="H1035" t="s">
        <v>1867</v>
      </c>
      <c r="I1035" t="s">
        <v>1859</v>
      </c>
      <c r="J1035" s="6" t="str">
        <f>HYPERLINK("https://www.biovista.com/db/link/%5B%5B%22Disease%7CLeigh%20Syndrome%22%5D,%20%5B%22Drug%7CMethylprednisolone%22%5D%5D?strength-weight-map=%257B%2522MEDLINE_STRENGTH_AB%2522:1.0,%2522HPO%2522:100.0%257D", "Show Evidence...")</f>
        <v>Show Evidence...</v>
      </c>
    </row>
    <row r="1036" spans="1:10" ht="12.75">
      <c r="A1036" s="2" t="s">
        <v>50</v>
      </c>
      <c r="B1036" s="2" t="s">
        <v>1826</v>
      </c>
      <c r="C1036" s="2" t="s">
        <v>24</v>
      </c>
      <c r="D1036" s="2" t="s">
        <v>1827</v>
      </c>
      <c r="E1036" s="2" t="s">
        <v>53</v>
      </c>
      <c r="F1036" s="11" t="s">
        <v>1868</v>
      </c>
      <c r="G1036" t="s">
        <v>39</v>
      </c>
      <c r="H1036" t="s">
        <v>1869</v>
      </c>
      <c r="I1036" t="s">
        <v>1859</v>
      </c>
      <c r="J1036" s="6" t="str">
        <f>HYPERLINK("https://www.biovista.com/db/link/%5B%5B%22Disease%7CLeigh%20Syndrome%22%5D,%20%5B%22Drug%7Cpexidartinib%22%5D%5D?strength-weight-map=%257B%2522MEDLINE_STRENGTH_AB%2522:1.0,%2522HPO%2522:100.0%257D", "Show Evidence...")</f>
        <v>Show Evidence...</v>
      </c>
    </row>
    <row r="1037" spans="1:10" ht="12.75">
      <c r="A1037" s="2" t="s">
        <v>50</v>
      </c>
      <c r="B1037" s="2" t="s">
        <v>1826</v>
      </c>
      <c r="C1037" s="2" t="s">
        <v>24</v>
      </c>
      <c r="D1037" s="2" t="s">
        <v>1827</v>
      </c>
      <c r="E1037" s="2" t="s">
        <v>53</v>
      </c>
      <c r="F1037" s="11" t="s">
        <v>1007</v>
      </c>
      <c r="G1037" t="s">
        <v>39</v>
      </c>
      <c r="H1037" t="s">
        <v>1008</v>
      </c>
      <c r="I1037" t="s">
        <v>1859</v>
      </c>
      <c r="J1037" s="6" t="str">
        <f>HYPERLINK("https://www.biovista.com/db/link/%5B%5B%22Disease%7CLeigh%20Syndrome%22%5D,%20%5B%22Drug%7CValproic%20Acid%22%5D%5D?strength-weight-map=%257B%2522MEDLINE_STRENGTH_AB%2522:1.0,%2522HPO%2522:100.0%257D", "Show Evidence...")</f>
        <v>Show Evidence...</v>
      </c>
    </row>
    <row r="1038" spans="1:10" ht="12.75">
      <c r="A1038" s="2" t="s">
        <v>50</v>
      </c>
      <c r="B1038" s="2" t="s">
        <v>1826</v>
      </c>
      <c r="C1038" s="2" t="s">
        <v>24</v>
      </c>
      <c r="D1038" s="2" t="s">
        <v>1827</v>
      </c>
      <c r="E1038" s="2" t="s">
        <v>53</v>
      </c>
      <c r="F1038" s="11" t="s">
        <v>110</v>
      </c>
      <c r="G1038" t="s">
        <v>39</v>
      </c>
      <c r="H1038" t="s">
        <v>111</v>
      </c>
      <c r="I1038" t="s">
        <v>1870</v>
      </c>
      <c r="J1038" s="6" t="str">
        <f>HYPERLINK("https://www.biovista.com/db/link/%5B%5B%22Disease%7CLeigh%20Syndrome%22%5D,%20%5B%22Drug%7CAdrenocorticotropic%20Hormone%22%5D%5D?strength-weight-map=%257B%2522MEDLINE_STRENGTH_AB%2522:1.0,%2522HPO%2522:100.0%257D", "Show Evidence...")</f>
        <v>Show Evidence...</v>
      </c>
    </row>
    <row r="1039" spans="1:10" ht="12.75">
      <c r="A1039" s="2" t="s">
        <v>50</v>
      </c>
      <c r="B1039" s="2" t="s">
        <v>1826</v>
      </c>
      <c r="C1039" s="2" t="s">
        <v>24</v>
      </c>
      <c r="D1039" s="2" t="s">
        <v>1827</v>
      </c>
      <c r="E1039" s="2" t="s">
        <v>53</v>
      </c>
      <c r="F1039" s="11" t="s">
        <v>184</v>
      </c>
      <c r="G1039" t="s">
        <v>39</v>
      </c>
      <c r="H1039" t="s">
        <v>185</v>
      </c>
      <c r="I1039" t="s">
        <v>1870</v>
      </c>
      <c r="J1039" s="6" t="str">
        <f>HYPERLINK("https://www.biovista.com/db/link/%5B%5B%22Disease%7CLeigh%20Syndrome%22%5D,%20%5B%22Drug%7CAscorbic%20Acid%22%5D%5D?strength-weight-map=%257B%2522MEDLINE_STRENGTH_AB%2522:1.0,%2522HPO%2522:100.0%257D", "Show Evidence...")</f>
        <v>Show Evidence...</v>
      </c>
    </row>
    <row r="1040" spans="1:10" ht="12.75">
      <c r="A1040" s="2" t="s">
        <v>50</v>
      </c>
      <c r="B1040" s="2" t="s">
        <v>1826</v>
      </c>
      <c r="C1040" s="2" t="s">
        <v>24</v>
      </c>
      <c r="D1040" s="2" t="s">
        <v>1827</v>
      </c>
      <c r="E1040" s="2" t="s">
        <v>53</v>
      </c>
      <c r="F1040" s="11" t="s">
        <v>1871</v>
      </c>
      <c r="G1040" t="s">
        <v>39</v>
      </c>
      <c r="H1040" t="s">
        <v>1872</v>
      </c>
      <c r="I1040" t="s">
        <v>1870</v>
      </c>
      <c r="J1040" s="6" t="str">
        <f>HYPERLINK("https://www.biovista.com/db/link/%5B%5B%22Disease%7CLeigh%20Syndrome%22%5D,%20%5B%22Drug%7CBezafibrate%22%5D%5D?strength-weight-map=%257B%2522MEDLINE_STRENGTH_AB%2522:1.0,%2522HPO%2522:100.0%257D", "Show Evidence...")</f>
        <v>Show Evidence...</v>
      </c>
    </row>
    <row r="1041" spans="1:10" ht="12.75">
      <c r="A1041" s="2" t="s">
        <v>50</v>
      </c>
      <c r="B1041" s="2" t="s">
        <v>1826</v>
      </c>
      <c r="C1041" s="2" t="s">
        <v>24</v>
      </c>
      <c r="D1041" s="2" t="s">
        <v>1827</v>
      </c>
      <c r="E1041" s="2" t="s">
        <v>53</v>
      </c>
      <c r="F1041" s="11" t="s">
        <v>81</v>
      </c>
      <c r="G1041" t="s">
        <v>39</v>
      </c>
      <c r="H1041" t="s">
        <v>82</v>
      </c>
      <c r="I1041" t="s">
        <v>1870</v>
      </c>
      <c r="J1041" s="6" t="str">
        <f>HYPERLINK("https://www.biovista.com/db/link/%5B%5B%22Disease%7CLeigh%20Syndrome%22%5D,%20%5B%22Drug%7CDopamine%22%5D%5D?strength-weight-map=%257B%2522MEDLINE_STRENGTH_AB%2522:1.0,%2522HPO%2522:100.0%257D", "Show Evidence...")</f>
        <v>Show Evidence...</v>
      </c>
    </row>
    <row r="1042" spans="1:10" ht="12.75">
      <c r="A1042" s="2" t="s">
        <v>50</v>
      </c>
      <c r="B1042" s="2" t="s">
        <v>1826</v>
      </c>
      <c r="C1042" s="2" t="s">
        <v>24</v>
      </c>
      <c r="D1042" s="2" t="s">
        <v>1827</v>
      </c>
      <c r="E1042" s="2" t="s">
        <v>53</v>
      </c>
      <c r="F1042" s="11" t="s">
        <v>180</v>
      </c>
      <c r="G1042" t="s">
        <v>39</v>
      </c>
      <c r="H1042" t="s">
        <v>181</v>
      </c>
      <c r="I1042" t="s">
        <v>1870</v>
      </c>
      <c r="J1042" s="6" t="str">
        <f>HYPERLINK("https://www.biovista.com/db/link/%5B%5B%22Disease%7CLeigh%20Syndrome%22%5D,%20%5B%22Drug%7CImmunoglobulins,%20Intravenous%22%5D%5D?strength-weight-map=%257B%2522MEDLINE_STRENGTH_AB%2522:1.0,%2522HPO%2522:100.0%257D", "Show Evidence...")</f>
        <v>Show Evidence...</v>
      </c>
    </row>
    <row r="1043" spans="1:10" ht="12.75">
      <c r="A1043" s="2" t="s">
        <v>50</v>
      </c>
      <c r="B1043" s="2" t="s">
        <v>1826</v>
      </c>
      <c r="C1043" s="2" t="s">
        <v>24</v>
      </c>
      <c r="D1043" s="2" t="s">
        <v>1827</v>
      </c>
      <c r="E1043" s="2" t="s">
        <v>53</v>
      </c>
      <c r="F1043" s="11" t="s">
        <v>203</v>
      </c>
      <c r="G1043" t="s">
        <v>39</v>
      </c>
      <c r="H1043" t="s">
        <v>204</v>
      </c>
      <c r="I1043" t="s">
        <v>1870</v>
      </c>
      <c r="J1043" s="6" t="str">
        <f>HYPERLINK("https://www.biovista.com/db/link/%5B%5B%22Disease%7CLeigh%20Syndrome%22%5D,%20%5B%22Drug%7CInterferon-gamma%22%5D%5D?strength-weight-map=%257B%2522MEDLINE_STRENGTH_AB%2522:1.0,%2522HPO%2522:100.0%257D", "Show Evidence...")</f>
        <v>Show Evidence...</v>
      </c>
    </row>
    <row r="1044" spans="1:10" ht="12.75">
      <c r="A1044" s="2" t="s">
        <v>50</v>
      </c>
      <c r="B1044" s="2" t="s">
        <v>1826</v>
      </c>
      <c r="C1044" s="2" t="s">
        <v>24</v>
      </c>
      <c r="D1044" s="2" t="s">
        <v>1827</v>
      </c>
      <c r="E1044" s="2" t="s">
        <v>53</v>
      </c>
      <c r="F1044" s="11" t="s">
        <v>947</v>
      </c>
      <c r="G1044" t="s">
        <v>39</v>
      </c>
      <c r="H1044" t="s">
        <v>948</v>
      </c>
      <c r="I1044" t="s">
        <v>1870</v>
      </c>
      <c r="J1044" s="6" t="str">
        <f>HYPERLINK("https://www.biovista.com/db/link/%5B%5B%22Disease%7CLeigh%20Syndrome%22%5D,%20%5B%22Drug%7CPhosphocreatine%22%5D%5D?strength-weight-map=%257B%2522MEDLINE_STRENGTH_AB%2522:1.0,%2522HPO%2522:100.0%257D", "Show Evidence...")</f>
        <v>Show Evidence...</v>
      </c>
    </row>
    <row r="1045" spans="1:10" ht="12.75">
      <c r="A1045" s="2" t="s">
        <v>50</v>
      </c>
      <c r="B1045" s="2" t="s">
        <v>1826</v>
      </c>
      <c r="C1045" s="2" t="s">
        <v>24</v>
      </c>
      <c r="D1045" s="2" t="s">
        <v>1827</v>
      </c>
      <c r="E1045" s="2" t="s">
        <v>53</v>
      </c>
      <c r="F1045" s="11" t="s">
        <v>1005</v>
      </c>
      <c r="G1045" t="s">
        <v>39</v>
      </c>
      <c r="H1045" t="s">
        <v>1006</v>
      </c>
      <c r="I1045" t="s">
        <v>1870</v>
      </c>
      <c r="J1045" s="6" t="str">
        <f>HYPERLINK("https://www.biovista.com/db/link/%5B%5B%22Disease%7CLeigh%20Syndrome%22%5D,%20%5B%22Drug%7CRemifentanil%22%5D%5D?strength-weight-map=%257B%2522MEDLINE_STRENGTH_AB%2522:1.0,%2522HPO%2522:100.0%257D", "Show Evidence...")</f>
        <v>Show Evidence...</v>
      </c>
    </row>
    <row r="1046" spans="1:10" ht="12.75">
      <c r="A1046" s="2" t="s">
        <v>50</v>
      </c>
      <c r="B1046" s="2" t="s">
        <v>1826</v>
      </c>
      <c r="C1046" s="2" t="s">
        <v>24</v>
      </c>
      <c r="D1046" s="2" t="s">
        <v>1827</v>
      </c>
      <c r="E1046" s="2" t="s">
        <v>53</v>
      </c>
      <c r="F1046" s="11" t="s">
        <v>1873</v>
      </c>
      <c r="G1046" t="s">
        <v>39</v>
      </c>
      <c r="H1046" t="s">
        <v>1874</v>
      </c>
      <c r="I1046" t="s">
        <v>1870</v>
      </c>
      <c r="J1046" s="6" t="str">
        <f>HYPERLINK("https://www.biovista.com/db/link/%5B%5B%22Disease%7CLeigh%20Syndrome%22%5D,%20%5B%22Drug%7CSevoflurane%22%5D%5D?strength-weight-map=%257B%2522MEDLINE_STRENGTH_AB%2522:1.0,%2522HPO%2522:100.0%257D", "Show Evidence...")</f>
        <v>Show Evidence...</v>
      </c>
    </row>
    <row r="1047" spans="1:10" ht="12.75">
      <c r="A1047" s="2" t="s">
        <v>50</v>
      </c>
      <c r="B1047" s="2" t="s">
        <v>1826</v>
      </c>
      <c r="C1047" s="2" t="s">
        <v>24</v>
      </c>
      <c r="D1047" s="2" t="s">
        <v>1827</v>
      </c>
      <c r="E1047" s="2" t="s">
        <v>53</v>
      </c>
      <c r="F1047" s="11" t="s">
        <v>1875</v>
      </c>
      <c r="G1047" t="s">
        <v>39</v>
      </c>
      <c r="H1047" t="s">
        <v>1876</v>
      </c>
      <c r="I1047" t="s">
        <v>1870</v>
      </c>
      <c r="J1047" s="6" t="str">
        <f>HYPERLINK("https://www.biovista.com/db/link/%5B%5B%22Disease%7CLeigh%20Syndrome%22%5D,%20%5B%22Drug%7CStreptozocin%22%5D%5D?strength-weight-map=%257B%2522MEDLINE_STRENGTH_AB%2522:1.0,%2522HPO%2522:100.0%257D", "Show Evidence...")</f>
        <v>Show Evidence...</v>
      </c>
    </row>
    <row r="1048" spans="1:10" ht="12.75">
      <c r="A1048" s="2" t="s">
        <v>50</v>
      </c>
      <c r="B1048" s="2" t="s">
        <v>1826</v>
      </c>
      <c r="C1048" s="2" t="s">
        <v>24</v>
      </c>
      <c r="D1048" s="2" t="s">
        <v>1827</v>
      </c>
      <c r="E1048" s="2" t="s">
        <v>53</v>
      </c>
      <c r="F1048" s="11" t="s">
        <v>1877</v>
      </c>
      <c r="G1048" t="s">
        <v>39</v>
      </c>
      <c r="H1048" t="s">
        <v>1878</v>
      </c>
      <c r="I1048" t="s">
        <v>1870</v>
      </c>
      <c r="J1048" s="6" t="str">
        <f>HYPERLINK("https://www.biovista.com/db/link/%5B%5B%22Disease%7CLeigh%20Syndrome%22%5D,%20%5B%22Drug%7CVitamin%20E%22%5D%5D?strength-weight-map=%257B%2522MEDLINE_STRENGTH_AB%2522:1.0,%2522HPO%2522:100.0%257D", "Show Evidence...")</f>
        <v>Show Evidence...</v>
      </c>
    </row>
    <row r="1049" spans="1:10" ht="12.75">
      <c r="A1049" s="2" t="s">
        <v>50</v>
      </c>
      <c r="B1049" s="2" t="s">
        <v>1826</v>
      </c>
      <c r="C1049" s="2" t="s">
        <v>24</v>
      </c>
      <c r="D1049" s="2" t="s">
        <v>1827</v>
      </c>
      <c r="E1049" s="2" t="s">
        <v>53</v>
      </c>
      <c r="F1049" s="11" t="s">
        <v>1879</v>
      </c>
      <c r="G1049" t="s">
        <v>39</v>
      </c>
      <c r="H1049" t="s">
        <v>1880</v>
      </c>
      <c r="I1049" t="s">
        <v>1881</v>
      </c>
      <c r="J1049" s="6" t="str">
        <f>HYPERLINK("https://www.biovista.com/db/link/%5B%5B%22Disease%7CLeigh%20Syndrome%22%5D,%20%5B%22Drug%7CApomorphine%22%5D%5D?strength-weight-map=%257B%2522MEDLINE_STRENGTH_AB%2522:1.0,%2522HPO%2522:100.0%257D", "Show Evidence...")</f>
        <v>Show Evidence...</v>
      </c>
    </row>
    <row r="1050" spans="1:10" ht="12.75">
      <c r="A1050" s="2" t="s">
        <v>50</v>
      </c>
      <c r="B1050" s="2" t="s">
        <v>1826</v>
      </c>
      <c r="C1050" s="2" t="s">
        <v>24</v>
      </c>
      <c r="D1050" s="2" t="s">
        <v>1827</v>
      </c>
      <c r="E1050" s="2" t="s">
        <v>53</v>
      </c>
      <c r="F1050" s="11" t="s">
        <v>1020</v>
      </c>
      <c r="G1050" t="s">
        <v>39</v>
      </c>
      <c r="H1050" t="s">
        <v>1021</v>
      </c>
      <c r="I1050" t="s">
        <v>1881</v>
      </c>
      <c r="J1050" s="6" t="str">
        <f>HYPERLINK("https://www.biovista.com/db/link/%5B%5B%22Disease%7CLeigh%20Syndrome%22%5D,%20%5B%22Drug%7CBotulinum%20Toxins%22%5D%5D?strength-weight-map=%257B%2522MEDLINE_STRENGTH_AB%2522:1.0,%2522HPO%2522:100.0%257D", "Show Evidence...")</f>
        <v>Show Evidence...</v>
      </c>
    </row>
    <row r="1051" spans="1:10" ht="12.75">
      <c r="A1051" s="2" t="s">
        <v>50</v>
      </c>
      <c r="B1051" s="2" t="s">
        <v>1826</v>
      </c>
      <c r="C1051" s="2" t="s">
        <v>24</v>
      </c>
      <c r="D1051" s="2" t="s">
        <v>1827</v>
      </c>
      <c r="E1051" s="2" t="s">
        <v>53</v>
      </c>
      <c r="F1051" s="11" t="s">
        <v>1083</v>
      </c>
      <c r="G1051" t="s">
        <v>39</v>
      </c>
      <c r="H1051" t="s">
        <v>1084</v>
      </c>
      <c r="I1051" t="s">
        <v>1881</v>
      </c>
      <c r="J1051" s="6" t="str">
        <f>HYPERLINK("https://www.biovista.com/db/link/%5B%5B%22Disease%7CLeigh%20Syndrome%22%5D,%20%5B%22Drug%7CClonazepam%22%5D%5D?strength-weight-map=%257B%2522MEDLINE_STRENGTH_AB%2522:1.0,%2522HPO%2522:100.0%257D", "Show Evidence...")</f>
        <v>Show Evidence...</v>
      </c>
    </row>
    <row r="1052" spans="1:10" ht="12.75">
      <c r="A1052" s="2" t="s">
        <v>50</v>
      </c>
      <c r="B1052" s="2" t="s">
        <v>1826</v>
      </c>
      <c r="C1052" s="2" t="s">
        <v>24</v>
      </c>
      <c r="D1052" s="2" t="s">
        <v>1827</v>
      </c>
      <c r="E1052" s="2" t="s">
        <v>53</v>
      </c>
      <c r="F1052" s="11" t="s">
        <v>1882</v>
      </c>
      <c r="G1052" t="s">
        <v>39</v>
      </c>
      <c r="H1052" t="s">
        <v>1883</v>
      </c>
      <c r="I1052" t="s">
        <v>1881</v>
      </c>
      <c r="J1052" s="6" t="str">
        <f>HYPERLINK("https://www.biovista.com/db/link/%5B%5B%22Disease%7CLeigh%20Syndrome%22%5D,%20%5B%22Drug%7CCyclosporine%22%5D%5D?strength-weight-map=%257B%2522MEDLINE_STRENGTH_AB%2522:1.0,%2522HPO%2522:100.0%257D", "Show Evidence...")</f>
        <v>Show Evidence...</v>
      </c>
    </row>
    <row r="1053" spans="1:10" ht="12.75">
      <c r="A1053" s="2" t="s">
        <v>50</v>
      </c>
      <c r="B1053" s="2" t="s">
        <v>1826</v>
      </c>
      <c r="C1053" s="2" t="s">
        <v>24</v>
      </c>
      <c r="D1053" s="2" t="s">
        <v>1827</v>
      </c>
      <c r="E1053" s="2" t="s">
        <v>53</v>
      </c>
      <c r="F1053" s="11" t="s">
        <v>191</v>
      </c>
      <c r="G1053" t="s">
        <v>39</v>
      </c>
      <c r="H1053" t="s">
        <v>192</v>
      </c>
      <c r="I1053" t="s">
        <v>1881</v>
      </c>
      <c r="J1053" s="6" t="str">
        <f>HYPERLINK("https://www.biovista.com/db/link/%5B%5B%22Disease%7CLeigh%20Syndrome%22%5D,%20%5B%22Drug%7CDoxorubicin%22%5D%5D?strength-weight-map=%257B%2522MEDLINE_STRENGTH_AB%2522:1.0,%2522HPO%2522:100.0%257D", "Show Evidence...")</f>
        <v>Show Evidence...</v>
      </c>
    </row>
    <row r="1054" spans="1:10" ht="12.75">
      <c r="A1054" s="2" t="s">
        <v>50</v>
      </c>
      <c r="B1054" s="2" t="s">
        <v>1826</v>
      </c>
      <c r="C1054" s="2" t="s">
        <v>24</v>
      </c>
      <c r="D1054" s="2" t="s">
        <v>1827</v>
      </c>
      <c r="E1054" s="2" t="s">
        <v>53</v>
      </c>
      <c r="F1054" s="11" t="s">
        <v>1034</v>
      </c>
      <c r="G1054" t="s">
        <v>39</v>
      </c>
      <c r="H1054" t="s">
        <v>1035</v>
      </c>
      <c r="I1054" t="s">
        <v>1881</v>
      </c>
      <c r="J1054" s="6" t="str">
        <f>HYPERLINK("https://www.biovista.com/db/link/%5B%5B%22Disease%7CLeigh%20Syndrome%22%5D,%20%5B%22Drug%7CInositol%22%5D%5D?strength-weight-map=%257B%2522MEDLINE_STRENGTH_AB%2522:1.0,%2522HPO%2522:100.0%257D", "Show Evidence...")</f>
        <v>Show Evidence...</v>
      </c>
    </row>
    <row r="1055" spans="1:10" ht="12.75">
      <c r="A1055" s="2" t="s">
        <v>50</v>
      </c>
      <c r="B1055" s="2" t="s">
        <v>1826</v>
      </c>
      <c r="C1055" s="2" t="s">
        <v>24</v>
      </c>
      <c r="D1055" s="2" t="s">
        <v>1827</v>
      </c>
      <c r="E1055" s="2" t="s">
        <v>53</v>
      </c>
      <c r="F1055" s="11" t="s">
        <v>1884</v>
      </c>
      <c r="G1055" t="s">
        <v>39</v>
      </c>
      <c r="H1055" t="s">
        <v>1885</v>
      </c>
      <c r="I1055" t="s">
        <v>1881</v>
      </c>
      <c r="J1055" s="6" t="str">
        <f>HYPERLINK("https://www.biovista.com/db/link/%5B%5B%22Disease%7CLeigh%20Syndrome%22%5D,%20%5B%22Drug%7CLinezolid%22%5D%5D?strength-weight-map=%257B%2522MEDLINE_STRENGTH_AB%2522:1.0,%2522HPO%2522:100.0%257D", "Show Evidence...")</f>
        <v>Show Evidence...</v>
      </c>
    </row>
    <row r="1056" spans="1:10" ht="12.75">
      <c r="A1056" s="2" t="s">
        <v>50</v>
      </c>
      <c r="B1056" s="2" t="s">
        <v>1826</v>
      </c>
      <c r="C1056" s="2" t="s">
        <v>24</v>
      </c>
      <c r="D1056" s="2" t="s">
        <v>1827</v>
      </c>
      <c r="E1056" s="2" t="s">
        <v>53</v>
      </c>
      <c r="F1056" s="11" t="s">
        <v>1886</v>
      </c>
      <c r="G1056" t="s">
        <v>39</v>
      </c>
      <c r="H1056" t="s">
        <v>1887</v>
      </c>
      <c r="I1056" t="s">
        <v>1881</v>
      </c>
      <c r="J1056" s="6" t="str">
        <f>HYPERLINK("https://www.biovista.com/db/link/%5B%5B%22Disease%7CLeigh%20Syndrome%22%5D,%20%5B%22Drug%7CMethotrexate%22%5D%5D?strength-weight-map=%257B%2522MEDLINE_STRENGTH_AB%2522:1.0,%2522HPO%2522:100.0%257D", "Show Evidence...")</f>
        <v>Show Evidence...</v>
      </c>
    </row>
    <row r="1057" spans="1:10" ht="12.75">
      <c r="A1057" s="2" t="s">
        <v>50</v>
      </c>
      <c r="B1057" s="2" t="s">
        <v>1826</v>
      </c>
      <c r="C1057" s="2" t="s">
        <v>24</v>
      </c>
      <c r="D1057" s="2" t="s">
        <v>1827</v>
      </c>
      <c r="E1057" s="2" t="s">
        <v>53</v>
      </c>
      <c r="F1057" s="11" t="s">
        <v>1888</v>
      </c>
      <c r="G1057" t="s">
        <v>39</v>
      </c>
      <c r="H1057" t="s">
        <v>1889</v>
      </c>
      <c r="I1057" t="s">
        <v>1881</v>
      </c>
      <c r="J1057" s="6" t="str">
        <f>HYPERLINK("https://www.biovista.com/db/link/%5B%5B%22Disease%7CLeigh%20Syndrome%22%5D,%20%5B%22Drug%7CNiacin%22%5D%5D?strength-weight-map=%257B%2522MEDLINE_STRENGTH_AB%2522:1.0,%2522HPO%2522:100.0%257D", "Show Evidence...")</f>
        <v>Show Evidence...</v>
      </c>
    </row>
    <row r="1058" spans="1:10" ht="12.75">
      <c r="A1058" s="2" t="s">
        <v>50</v>
      </c>
      <c r="B1058" s="2" t="s">
        <v>1826</v>
      </c>
      <c r="C1058" s="2" t="s">
        <v>24</v>
      </c>
      <c r="D1058" s="2" t="s">
        <v>1827</v>
      </c>
      <c r="E1058" s="2" t="s">
        <v>53</v>
      </c>
      <c r="F1058" s="11" t="s">
        <v>96</v>
      </c>
      <c r="G1058" t="s">
        <v>39</v>
      </c>
      <c r="H1058" t="s">
        <v>97</v>
      </c>
      <c r="I1058" t="s">
        <v>1881</v>
      </c>
      <c r="J1058" s="6" t="str">
        <f>HYPERLINK("https://www.biovista.com/db/link/%5B%5B%22Disease%7CLeigh%20Syndrome%22%5D,%20%5B%22Drug%7CNorepinephrine%22%5D%5D?strength-weight-map=%257B%2522MEDLINE_STRENGTH_AB%2522:1.0,%2522HPO%2522:100.0%257D", "Show Evidence...")</f>
        <v>Show Evidence...</v>
      </c>
    </row>
    <row r="1059" spans="1:10" ht="12.75">
      <c r="A1059" s="2" t="s">
        <v>50</v>
      </c>
      <c r="B1059" s="2" t="s">
        <v>1826</v>
      </c>
      <c r="C1059" s="2" t="s">
        <v>24</v>
      </c>
      <c r="D1059" s="2" t="s">
        <v>1827</v>
      </c>
      <c r="E1059" s="2" t="s">
        <v>53</v>
      </c>
      <c r="F1059" s="11" t="s">
        <v>1890</v>
      </c>
      <c r="G1059" t="s">
        <v>39</v>
      </c>
      <c r="H1059" t="s">
        <v>1891</v>
      </c>
      <c r="I1059" t="s">
        <v>1881</v>
      </c>
      <c r="J1059" s="6" t="str">
        <f>HYPERLINK("https://www.biovista.com/db/link/%5B%5B%22Disease%7CLeigh%20Syndrome%22%5D,%20%5B%22Drug%7Cperampanel%22%5D%5D?strength-weight-map=%257B%2522MEDLINE_STRENGTH_AB%2522:1.0,%2522HPO%2522:100.0%257D", "Show Evidence...")</f>
        <v>Show Evidence...</v>
      </c>
    </row>
    <row r="1060" spans="1:10" ht="12.75">
      <c r="A1060" s="2" t="s">
        <v>50</v>
      </c>
      <c r="B1060" s="2" t="s">
        <v>1826</v>
      </c>
      <c r="C1060" s="2" t="s">
        <v>24</v>
      </c>
      <c r="D1060" s="2" t="s">
        <v>1827</v>
      </c>
      <c r="E1060" s="2" t="s">
        <v>53</v>
      </c>
      <c r="F1060" s="11" t="s">
        <v>999</v>
      </c>
      <c r="G1060" t="s">
        <v>39</v>
      </c>
      <c r="H1060" t="s">
        <v>1000</v>
      </c>
      <c r="I1060" t="s">
        <v>1881</v>
      </c>
      <c r="J1060" s="6" t="str">
        <f>HYPERLINK("https://www.biovista.com/db/link/%5B%5B%22Disease%7CLeigh%20Syndrome%22%5D,%20%5B%22Drug%7Cpropionylcarnitine%22%5D%5D?strength-weight-map=%257B%2522MEDLINE_STRENGTH_AB%2522:1.0,%2522HPO%2522:100.0%257D", "Show Evidence...")</f>
        <v>Show Evidence...</v>
      </c>
    </row>
    <row r="1061" spans="1:10" ht="12.75">
      <c r="A1061" s="2" t="s">
        <v>50</v>
      </c>
      <c r="B1061" s="2" t="s">
        <v>1826</v>
      </c>
      <c r="C1061" s="2" t="s">
        <v>24</v>
      </c>
      <c r="D1061" s="2" t="s">
        <v>1827</v>
      </c>
      <c r="E1061" s="2" t="s">
        <v>53</v>
      </c>
      <c r="F1061" s="11" t="s">
        <v>72</v>
      </c>
      <c r="G1061" t="s">
        <v>39</v>
      </c>
      <c r="H1061" t="s">
        <v>73</v>
      </c>
      <c r="I1061" t="s">
        <v>1881</v>
      </c>
      <c r="J1061" s="6" t="str">
        <f>HYPERLINK("https://www.biovista.com/db/link/%5B%5B%22Disease%7CLeigh%20Syndrome%22%5D,%20%5B%22Drug%7CSerotonin%22%5D%5D?strength-weight-map=%257B%2522MEDLINE_STRENGTH_AB%2522:1.0,%2522HPO%2522:100.0%257D", "Show Evidence...")</f>
        <v>Show Evidence...</v>
      </c>
    </row>
    <row r="1062" spans="1:10" ht="12.75">
      <c r="A1062" s="2" t="s">
        <v>50</v>
      </c>
      <c r="B1062" s="2" t="s">
        <v>1826</v>
      </c>
      <c r="C1062" s="2" t="s">
        <v>24</v>
      </c>
      <c r="D1062" s="2" t="s">
        <v>1827</v>
      </c>
      <c r="E1062" s="2" t="s">
        <v>53</v>
      </c>
      <c r="F1062" s="11" t="s">
        <v>1892</v>
      </c>
      <c r="G1062" t="s">
        <v>39</v>
      </c>
      <c r="H1062" t="s">
        <v>1893</v>
      </c>
      <c r="I1062" t="s">
        <v>1881</v>
      </c>
      <c r="J1062" s="6" t="str">
        <f>HYPERLINK("https://www.biovista.com/db/link/%5B%5B%22Disease%7CLeigh%20Syndrome%22%5D,%20%5B%22Drug%7CTechnetium%20Tc%2099m%20Exametazime%22%5D%5D?strength-weight-map=%257B%2522MEDLINE_STRENGTH_AB%2522:1.0,%2522HPO%2522:100.0%257D", "Show Evidence...")</f>
        <v>Show Evidence...</v>
      </c>
    </row>
    <row r="1063" spans="1:10" ht="12.75">
      <c r="A1063" s="2" t="s">
        <v>50</v>
      </c>
      <c r="B1063" s="2" t="s">
        <v>1826</v>
      </c>
      <c r="C1063" s="2" t="s">
        <v>24</v>
      </c>
      <c r="D1063" s="2" t="s">
        <v>1827</v>
      </c>
      <c r="E1063" s="2" t="s">
        <v>53</v>
      </c>
      <c r="F1063" s="11" t="s">
        <v>974</v>
      </c>
      <c r="G1063" t="s">
        <v>39</v>
      </c>
      <c r="H1063" t="s">
        <v>975</v>
      </c>
      <c r="I1063" t="s">
        <v>1881</v>
      </c>
      <c r="J1063" s="6" t="str">
        <f>HYPERLINK("https://www.biovista.com/db/link/%5B%5B%22Disease%7CLeigh%20Syndrome%22%5D,%20%5B%22Drug%7CVigabatrin%22%5D%5D?strength-weight-map=%257B%2522MEDLINE_STRENGTH_AB%2522:1.0,%2522HPO%2522:100.0%257D", "Show Evidence...")</f>
        <v>Show Evidence...</v>
      </c>
    </row>
    <row r="1064" spans="1:10" ht="12.75">
      <c r="A1064" s="2" t="s">
        <v>50</v>
      </c>
      <c r="B1064" s="2" t="s">
        <v>1826</v>
      </c>
      <c r="C1064" s="2" t="s">
        <v>24</v>
      </c>
      <c r="D1064" s="2" t="s">
        <v>1827</v>
      </c>
      <c r="E1064" s="2" t="s">
        <v>53</v>
      </c>
      <c r="F1064" s="11" t="s">
        <v>1894</v>
      </c>
      <c r="G1064" t="s">
        <v>39</v>
      </c>
      <c r="H1064" t="s">
        <v>1895</v>
      </c>
      <c r="I1064" t="s">
        <v>1896</v>
      </c>
      <c r="J1064" s="6" t="str">
        <f>HYPERLINK("https://www.biovista.com/db/link/%5B%5B%22Disease%7CLeigh%20Syndrome%22%5D,%20%5B%22Drug%7C1-Methyl-4-phenyl-1,2,3,6-tetrahydropyridine%22%5D%5D?strength-weight-map=%257B%2522MEDLINE_STRENGTH_AB%2522:1.0,%2522HPO%2522:100.0%257D", "Show Evidence...")</f>
        <v>Show Evidence...</v>
      </c>
    </row>
    <row r="1065" spans="1:10" ht="12.75">
      <c r="A1065" s="2" t="s">
        <v>50</v>
      </c>
      <c r="B1065" s="2" t="s">
        <v>1826</v>
      </c>
      <c r="C1065" s="2" t="s">
        <v>24</v>
      </c>
      <c r="D1065" s="2" t="s">
        <v>1827</v>
      </c>
      <c r="E1065" s="2" t="s">
        <v>53</v>
      </c>
      <c r="F1065" s="11" t="s">
        <v>1897</v>
      </c>
      <c r="G1065" t="s">
        <v>39</v>
      </c>
      <c r="H1065" t="s">
        <v>1898</v>
      </c>
      <c r="I1065" t="s">
        <v>1896</v>
      </c>
      <c r="J1065" s="6" t="str">
        <f>HYPERLINK("https://www.biovista.com/db/link/%5B%5B%22Disease%7CLeigh%20Syndrome%22%5D,%20%5B%22Drug%7C2,4-Dinitrophenol%22%5D%5D?strength-weight-map=%257B%2522MEDLINE_STRENGTH_AB%2522:1.0,%2522HPO%2522:100.0%257D", "Show Evidence...")</f>
        <v>Show Evidence...</v>
      </c>
    </row>
    <row r="1066" spans="1:10" ht="12.75">
      <c r="A1066" s="2" t="s">
        <v>50</v>
      </c>
      <c r="B1066" s="2" t="s">
        <v>1826</v>
      </c>
      <c r="C1066" s="2" t="s">
        <v>24</v>
      </c>
      <c r="D1066" s="2" t="s">
        <v>1827</v>
      </c>
      <c r="E1066" s="2" t="s">
        <v>53</v>
      </c>
      <c r="F1066" s="11" t="s">
        <v>168</v>
      </c>
      <c r="G1066" t="s">
        <v>39</v>
      </c>
      <c r="H1066" t="s">
        <v>169</v>
      </c>
      <c r="I1066" t="s">
        <v>1896</v>
      </c>
      <c r="J1066" s="6" t="str">
        <f>HYPERLINK("https://www.biovista.com/db/link/%5B%5B%22Disease%7CLeigh%20Syndrome%22%5D,%20%5B%22Drug%7CAcetazolamide%22%5D%5D?strength-weight-map=%257B%2522MEDLINE_STRENGTH_AB%2522:1.0,%2522HPO%2522:100.0%257D", "Show Evidence...")</f>
        <v>Show Evidence...</v>
      </c>
    </row>
    <row r="1067" spans="1:10" ht="12.75">
      <c r="A1067" s="2" t="s">
        <v>50</v>
      </c>
      <c r="B1067" s="2" t="s">
        <v>1826</v>
      </c>
      <c r="C1067" s="2" t="s">
        <v>24</v>
      </c>
      <c r="D1067" s="2" t="s">
        <v>1827</v>
      </c>
      <c r="E1067" s="2" t="s">
        <v>53</v>
      </c>
      <c r="F1067" s="11" t="s">
        <v>1899</v>
      </c>
      <c r="G1067" t="s">
        <v>39</v>
      </c>
      <c r="H1067" t="s">
        <v>1900</v>
      </c>
      <c r="I1067" t="s">
        <v>1896</v>
      </c>
      <c r="J1067" s="6" t="str">
        <f>HYPERLINK("https://www.biovista.com/db/link/%5B%5B%22Disease%7CLeigh%20Syndrome%22%5D,%20%5B%22Drug%7CBile%20Acids%20and%20Salts%22%5D%5D?strength-weight-map=%257B%2522MEDLINE_STRENGTH_AB%2522:1.0,%2522HPO%2522:100.0%257D", "Show Evidence...")</f>
        <v>Show Evidence...</v>
      </c>
    </row>
    <row r="1068" spans="1:10" ht="12.75">
      <c r="A1068" s="2" t="s">
        <v>50</v>
      </c>
      <c r="B1068" s="2" t="s">
        <v>1826</v>
      </c>
      <c r="C1068" s="2" t="s">
        <v>24</v>
      </c>
      <c r="D1068" s="2" t="s">
        <v>1827</v>
      </c>
      <c r="E1068" s="2" t="s">
        <v>53</v>
      </c>
      <c r="F1068" s="11" t="s">
        <v>1901</v>
      </c>
      <c r="G1068" t="s">
        <v>39</v>
      </c>
      <c r="H1068" t="s">
        <v>1902</v>
      </c>
      <c r="I1068" t="s">
        <v>1896</v>
      </c>
      <c r="J1068" s="6" t="str">
        <f>HYPERLINK("https://www.biovista.com/db/link/%5B%5B%22Disease%7CLeigh%20Syndrome%22%5D,%20%5B%22Drug%7CBilirubin%22%5D%5D?strength-weight-map=%257B%2522MEDLINE_STRENGTH_AB%2522:1.0,%2522HPO%2522:100.0%257D", "Show Evidence...")</f>
        <v>Show Evidence...</v>
      </c>
    </row>
    <row r="1069" spans="1:10" ht="12.75">
      <c r="A1069" s="2" t="s">
        <v>50</v>
      </c>
      <c r="B1069" s="2" t="s">
        <v>1826</v>
      </c>
      <c r="C1069" s="2" t="s">
        <v>24</v>
      </c>
      <c r="D1069" s="2" t="s">
        <v>1827</v>
      </c>
      <c r="E1069" s="2" t="s">
        <v>53</v>
      </c>
      <c r="F1069" s="11" t="s">
        <v>1903</v>
      </c>
      <c r="G1069" t="s">
        <v>39</v>
      </c>
      <c r="H1069" t="s">
        <v>1904</v>
      </c>
      <c r="I1069" t="s">
        <v>1896</v>
      </c>
      <c r="J1069" s="6" t="str">
        <f>HYPERLINK("https://www.biovista.com/db/link/%5B%5B%22Disease%7CLeigh%20Syndrome%22%5D,%20%5B%22Drug%7CBotulinum%20Toxins,%20Type%20A%22%5D%5D?strength-weight-map=%257B%2522MEDLINE_STRENGTH_AB%2522:1.0,%2522HPO%2522:100.0%257D", "Show Evidence...")</f>
        <v>Show Evidence...</v>
      </c>
    </row>
    <row r="1070" spans="1:10" ht="12.75">
      <c r="A1070" s="2" t="s">
        <v>50</v>
      </c>
      <c r="B1070" s="2" t="s">
        <v>1826</v>
      </c>
      <c r="C1070" s="2" t="s">
        <v>24</v>
      </c>
      <c r="D1070" s="2" t="s">
        <v>1827</v>
      </c>
      <c r="E1070" s="2" t="s">
        <v>53</v>
      </c>
      <c r="F1070" s="11" t="s">
        <v>1905</v>
      </c>
      <c r="G1070" t="s">
        <v>39</v>
      </c>
      <c r="H1070" t="s">
        <v>1906</v>
      </c>
      <c r="I1070" t="s">
        <v>1896</v>
      </c>
      <c r="J1070" s="6" t="str">
        <f>HYPERLINK("https://www.biovista.com/db/link/%5B%5B%22Disease%7CLeigh%20Syndrome%22%5D,%20%5B%22Drug%7CBradykinin%22%5D%5D?strength-weight-map=%257B%2522MEDLINE_STRENGTH_AB%2522:1.0,%2522HPO%2522:100.0%257D", "Show Evidence...")</f>
        <v>Show Evidence...</v>
      </c>
    </row>
    <row r="1071" spans="1:10" ht="12.75">
      <c r="A1071" s="2" t="s">
        <v>50</v>
      </c>
      <c r="B1071" s="2" t="s">
        <v>1826</v>
      </c>
      <c r="C1071" s="2" t="s">
        <v>24</v>
      </c>
      <c r="D1071" s="2" t="s">
        <v>1827</v>
      </c>
      <c r="E1071" s="2" t="s">
        <v>53</v>
      </c>
      <c r="F1071" s="11" t="s">
        <v>1907</v>
      </c>
      <c r="G1071" t="s">
        <v>39</v>
      </c>
      <c r="H1071" t="s">
        <v>1908</v>
      </c>
      <c r="I1071" t="s">
        <v>1896</v>
      </c>
      <c r="J1071" s="6" t="str">
        <f>HYPERLINK("https://www.biovista.com/db/link/%5B%5B%22Disease%7CLeigh%20Syndrome%22%5D,%20%5B%22Drug%7CCarbamazepine%22%5D%5D?strength-weight-map=%257B%2522MEDLINE_STRENGTH_AB%2522:1.0,%2522HPO%2522:100.0%257D", "Show Evidence...")</f>
        <v>Show Evidence...</v>
      </c>
    </row>
    <row r="1072" spans="1:10" ht="12.75">
      <c r="A1072" s="2" t="s">
        <v>50</v>
      </c>
      <c r="B1072" s="2" t="s">
        <v>1826</v>
      </c>
      <c r="C1072" s="2" t="s">
        <v>24</v>
      </c>
      <c r="D1072" s="2" t="s">
        <v>1827</v>
      </c>
      <c r="E1072" s="2" t="s">
        <v>53</v>
      </c>
      <c r="F1072" s="11" t="s">
        <v>218</v>
      </c>
      <c r="G1072" t="s">
        <v>39</v>
      </c>
      <c r="H1072" t="s">
        <v>219</v>
      </c>
      <c r="I1072" t="s">
        <v>1896</v>
      </c>
      <c r="J1072" s="6" t="str">
        <f>HYPERLINK("https://www.biovista.com/db/link/%5B%5B%22Disease%7CLeigh%20Syndrome%22%5D,%20%5B%22Drug%7CCarbon%20Monoxide%22%5D%5D?strength-weight-map=%257B%2522MEDLINE_STRENGTH_AB%2522:1.0,%2522HPO%2522:100.0%257D", "Show Evidence...")</f>
        <v>Show Evidence...</v>
      </c>
    </row>
    <row r="1073" spans="1:10" ht="12.75">
      <c r="A1073" s="2" t="s">
        <v>50</v>
      </c>
      <c r="B1073" s="2" t="s">
        <v>1826</v>
      </c>
      <c r="C1073" s="2" t="s">
        <v>24</v>
      </c>
      <c r="D1073" s="2" t="s">
        <v>1827</v>
      </c>
      <c r="E1073" s="2" t="s">
        <v>53</v>
      </c>
      <c r="F1073" s="11" t="s">
        <v>1909</v>
      </c>
      <c r="G1073" t="s">
        <v>39</v>
      </c>
      <c r="H1073" t="s">
        <v>1910</v>
      </c>
      <c r="I1073" t="s">
        <v>1896</v>
      </c>
      <c r="J1073" s="6" t="str">
        <f>HYPERLINK("https://www.biovista.com/db/link/%5B%5B%22Disease%7CLeigh%20Syndrome%22%5D,%20%5B%22Drug%7CChlorpromazine%22%5D%5D?strength-weight-map=%257B%2522MEDLINE_STRENGTH_AB%2522:1.0,%2522HPO%2522:100.0%257D", "Show Evidence...")</f>
        <v>Show Evidence...</v>
      </c>
    </row>
    <row r="1074" spans="1:10" ht="12.75">
      <c r="A1074" s="2" t="s">
        <v>50</v>
      </c>
      <c r="B1074" s="2" t="s">
        <v>1826</v>
      </c>
      <c r="C1074" s="2" t="s">
        <v>24</v>
      </c>
      <c r="D1074" s="2" t="s">
        <v>1827</v>
      </c>
      <c r="E1074" s="2" t="s">
        <v>53</v>
      </c>
      <c r="F1074" s="11" t="s">
        <v>1911</v>
      </c>
      <c r="G1074" t="s">
        <v>39</v>
      </c>
      <c r="H1074" t="s">
        <v>1912</v>
      </c>
      <c r="I1074" t="s">
        <v>1896</v>
      </c>
      <c r="J1074" s="6" t="str">
        <f>HYPERLINK("https://www.biovista.com/db/link/%5B%5B%22Disease%7CLeigh%20Syndrome%22%5D,%20%5B%22Drug%7CCyclophosphamide%22%5D%5D?strength-weight-map=%257B%2522MEDLINE_STRENGTH_AB%2522:1.0,%2522HPO%2522:100.0%257D", "Show Evidence...")</f>
        <v>Show Evidence...</v>
      </c>
    </row>
    <row r="1075" spans="1:10" ht="12.75">
      <c r="A1075" s="2" t="s">
        <v>50</v>
      </c>
      <c r="B1075" s="2" t="s">
        <v>1826</v>
      </c>
      <c r="C1075" s="2" t="s">
        <v>24</v>
      </c>
      <c r="D1075" s="2" t="s">
        <v>1827</v>
      </c>
      <c r="E1075" s="2" t="s">
        <v>53</v>
      </c>
      <c r="F1075" s="11" t="s">
        <v>1608</v>
      </c>
      <c r="G1075" t="s">
        <v>39</v>
      </c>
      <c r="H1075" t="s">
        <v>1609</v>
      </c>
      <c r="I1075" t="s">
        <v>1896</v>
      </c>
      <c r="J1075" s="6" t="str">
        <f>HYPERLINK("https://www.biovista.com/db/link/%5B%5B%22Disease%7CLeigh%20Syndrome%22%5D,%20%5B%22Drug%7CDoxycycline%22%5D%5D?strength-weight-map=%257B%2522MEDLINE_STRENGTH_AB%2522:1.0,%2522HPO%2522:100.0%257D", "Show Evidence...")</f>
        <v>Show Evidence...</v>
      </c>
    </row>
    <row r="1076" spans="1:10" ht="12.75">
      <c r="A1076" s="2" t="s">
        <v>50</v>
      </c>
      <c r="B1076" s="2" t="s">
        <v>1826</v>
      </c>
      <c r="C1076" s="2" t="s">
        <v>24</v>
      </c>
      <c r="D1076" s="2" t="s">
        <v>1827</v>
      </c>
      <c r="E1076" s="2" t="s">
        <v>53</v>
      </c>
      <c r="F1076" s="11" t="s">
        <v>1913</v>
      </c>
      <c r="G1076" t="s">
        <v>39</v>
      </c>
      <c r="H1076" t="s">
        <v>1914</v>
      </c>
      <c r="I1076" t="s">
        <v>1896</v>
      </c>
      <c r="J1076" s="6" t="str">
        <f>HYPERLINK("https://www.biovista.com/db/link/%5B%5B%22Disease%7CLeigh%20Syndrome%22%5D,%20%5B%22Drug%7CEnalapril%22%5D%5D?strength-weight-map=%257B%2522MEDLINE_STRENGTH_AB%2522:1.0,%2522HPO%2522:100.0%257D", "Show Evidence...")</f>
        <v>Show Evidence...</v>
      </c>
    </row>
    <row r="1077" spans="1:10" ht="12.75">
      <c r="A1077" s="2" t="s">
        <v>50</v>
      </c>
      <c r="B1077" s="2" t="s">
        <v>1826</v>
      </c>
      <c r="C1077" s="2" t="s">
        <v>24</v>
      </c>
      <c r="D1077" s="2" t="s">
        <v>1827</v>
      </c>
      <c r="E1077" s="2" t="s">
        <v>53</v>
      </c>
      <c r="F1077" s="11" t="s">
        <v>1915</v>
      </c>
      <c r="G1077" t="s">
        <v>39</v>
      </c>
      <c r="H1077" t="s">
        <v>1916</v>
      </c>
      <c r="I1077" t="s">
        <v>1896</v>
      </c>
      <c r="J1077" s="6" t="str">
        <f>HYPERLINK("https://www.biovista.com/db/link/%5B%5B%22Disease%7CLeigh%20Syndrome%22%5D,%20%5B%22Drug%7Cenramycin%22%5D%5D?strength-weight-map=%257B%2522MEDLINE_STRENGTH_AB%2522:1.0,%2522HPO%2522:100.0%257D", "Show Evidence...")</f>
        <v>Show Evidence...</v>
      </c>
    </row>
    <row r="1078" spans="1:10" ht="12.75">
      <c r="A1078" s="2" t="s">
        <v>50</v>
      </c>
      <c r="B1078" s="2" t="s">
        <v>1826</v>
      </c>
      <c r="C1078" s="2" t="s">
        <v>24</v>
      </c>
      <c r="D1078" s="2" t="s">
        <v>1827</v>
      </c>
      <c r="E1078" s="2" t="s">
        <v>53</v>
      </c>
      <c r="F1078" s="11" t="s">
        <v>1917</v>
      </c>
      <c r="G1078" t="s">
        <v>39</v>
      </c>
      <c r="H1078" t="s">
        <v>1918</v>
      </c>
      <c r="I1078" t="s">
        <v>1896</v>
      </c>
      <c r="J1078" s="6" t="str">
        <f>HYPERLINK("https://www.biovista.com/db/link/%5B%5B%22Disease%7CLeigh%20Syndrome%22%5D,%20%5B%22Drug%7CGlucagon%22%5D%5D?strength-weight-map=%257B%2522MEDLINE_STRENGTH_AB%2522:1.0,%2522HPO%2522:100.0%257D", "Show Evidence...")</f>
        <v>Show Evidence...</v>
      </c>
    </row>
    <row r="1079" spans="1:10" ht="12.75">
      <c r="A1079" s="2" t="s">
        <v>50</v>
      </c>
      <c r="B1079" s="2" t="s">
        <v>1826</v>
      </c>
      <c r="C1079" s="2" t="s">
        <v>24</v>
      </c>
      <c r="D1079" s="2" t="s">
        <v>1827</v>
      </c>
      <c r="E1079" s="2" t="s">
        <v>53</v>
      </c>
      <c r="F1079" s="11" t="s">
        <v>1919</v>
      </c>
      <c r="G1079" t="s">
        <v>39</v>
      </c>
      <c r="H1079" t="s">
        <v>1920</v>
      </c>
      <c r="I1079" t="s">
        <v>1896</v>
      </c>
      <c r="J1079" s="6" t="str">
        <f>HYPERLINK("https://www.biovista.com/db/link/%5B%5B%22Disease%7CLeigh%20Syndrome%22%5D,%20%5B%22Drug%7CInterferons%22%5D%5D?strength-weight-map=%257B%2522MEDLINE_STRENGTH_AB%2522:1.0,%2522HPO%2522:100.0%257D", "Show Evidence...")</f>
        <v>Show Evidence...</v>
      </c>
    </row>
    <row r="1080" spans="1:10" ht="12.75">
      <c r="A1080" s="2" t="s">
        <v>50</v>
      </c>
      <c r="B1080" s="2" t="s">
        <v>1826</v>
      </c>
      <c r="C1080" s="2" t="s">
        <v>24</v>
      </c>
      <c r="D1080" s="2" t="s">
        <v>1827</v>
      </c>
      <c r="E1080" s="2" t="s">
        <v>53</v>
      </c>
      <c r="F1080" s="11" t="s">
        <v>1036</v>
      </c>
      <c r="G1080" t="s">
        <v>39</v>
      </c>
      <c r="H1080" t="s">
        <v>1037</v>
      </c>
      <c r="I1080" t="s">
        <v>1896</v>
      </c>
      <c r="J1080" s="6" t="str">
        <f>HYPERLINK("https://www.biovista.com/db/link/%5B%5B%22Disease%7CLeigh%20Syndrome%22%5D,%20%5B%22Drug%7CKainic%20Acid%22%5D%5D?strength-weight-map=%257B%2522MEDLINE_STRENGTH_AB%2522:1.0,%2522HPO%2522:100.0%257D", "Show Evidence...")</f>
        <v>Show Evidence...</v>
      </c>
    </row>
    <row r="1081" spans="1:10" ht="12.75">
      <c r="A1081" s="2" t="s">
        <v>50</v>
      </c>
      <c r="B1081" s="2" t="s">
        <v>1826</v>
      </c>
      <c r="C1081" s="2" t="s">
        <v>24</v>
      </c>
      <c r="D1081" s="2" t="s">
        <v>1827</v>
      </c>
      <c r="E1081" s="2" t="s">
        <v>53</v>
      </c>
      <c r="F1081" s="11" t="s">
        <v>123</v>
      </c>
      <c r="G1081" t="s">
        <v>39</v>
      </c>
      <c r="H1081" t="s">
        <v>124</v>
      </c>
      <c r="I1081" t="s">
        <v>1896</v>
      </c>
      <c r="J1081" s="6" t="str">
        <f>HYPERLINK("https://www.biovista.com/db/link/%5B%5B%22Disease%7CLeigh%20Syndrome%22%5D,%20%5B%22Drug%7CKetamine%22%5D%5D?strength-weight-map=%257B%2522MEDLINE_STRENGTH_AB%2522:1.0,%2522HPO%2522:100.0%257D", "Show Evidence...")</f>
        <v>Show Evidence...</v>
      </c>
    </row>
    <row r="1082" spans="1:10" ht="12.75">
      <c r="A1082" s="2" t="s">
        <v>50</v>
      </c>
      <c r="B1082" s="2" t="s">
        <v>1826</v>
      </c>
      <c r="C1082" s="2" t="s">
        <v>24</v>
      </c>
      <c r="D1082" s="2" t="s">
        <v>1827</v>
      </c>
      <c r="E1082" s="2" t="s">
        <v>53</v>
      </c>
      <c r="F1082" s="11" t="s">
        <v>1095</v>
      </c>
      <c r="G1082" t="s">
        <v>39</v>
      </c>
      <c r="H1082" t="s">
        <v>1096</v>
      </c>
      <c r="I1082" t="s">
        <v>1896</v>
      </c>
      <c r="J1082" s="6" t="str">
        <f>HYPERLINK("https://www.biovista.com/db/link/%5B%5B%22Disease%7CLeigh%20Syndrome%22%5D,%20%5B%22Drug%7CLevodopa%22%5D%5D?strength-weight-map=%257B%2522MEDLINE_STRENGTH_AB%2522:1.0,%2522HPO%2522:100.0%257D", "Show Evidence...")</f>
        <v>Show Evidence...</v>
      </c>
    </row>
    <row r="1083" spans="1:10" ht="12.75">
      <c r="A1083" s="2" t="s">
        <v>50</v>
      </c>
      <c r="B1083" s="2" t="s">
        <v>1826</v>
      </c>
      <c r="C1083" s="2" t="s">
        <v>24</v>
      </c>
      <c r="D1083" s="2" t="s">
        <v>1827</v>
      </c>
      <c r="E1083" s="2" t="s">
        <v>53</v>
      </c>
      <c r="F1083" s="11" t="s">
        <v>1921</v>
      </c>
      <c r="G1083" t="s">
        <v>39</v>
      </c>
      <c r="H1083" t="s">
        <v>1922</v>
      </c>
      <c r="I1083" t="s">
        <v>1896</v>
      </c>
      <c r="J1083" s="6" t="str">
        <f>HYPERLINK("https://www.biovista.com/db/link/%5B%5B%22Disease%7CLeigh%20Syndrome%22%5D,%20%5B%22Drug%7CLidocaine%22%5D%5D?strength-weight-map=%257B%2522MEDLINE_STRENGTH_AB%2522:1.0,%2522HPO%2522:100.0%257D", "Show Evidence...")</f>
        <v>Show Evidence...</v>
      </c>
    </row>
    <row r="1084" spans="1:10" ht="12.75">
      <c r="A1084" s="2" t="s">
        <v>50</v>
      </c>
      <c r="B1084" s="2" t="s">
        <v>1826</v>
      </c>
      <c r="C1084" s="2" t="s">
        <v>24</v>
      </c>
      <c r="D1084" s="2" t="s">
        <v>1827</v>
      </c>
      <c r="E1084" s="2" t="s">
        <v>53</v>
      </c>
      <c r="F1084" s="11" t="s">
        <v>1923</v>
      </c>
      <c r="G1084" t="s">
        <v>39</v>
      </c>
      <c r="H1084" t="s">
        <v>1924</v>
      </c>
      <c r="I1084" t="s">
        <v>1896</v>
      </c>
      <c r="J1084" s="6" t="str">
        <f>HYPERLINK("https://www.biovista.com/db/link/%5B%5B%22Disease%7CLeigh%20Syndrome%22%5D,%20%5B%22Drug%7CLopinavir%22%5D%5D?strength-weight-map=%257B%2522MEDLINE_STRENGTH_AB%2522:1.0,%2522HPO%2522:100.0%257D", "Show Evidence...")</f>
        <v>Show Evidence...</v>
      </c>
    </row>
    <row r="1085" spans="1:10" ht="12.75">
      <c r="A1085" s="2" t="s">
        <v>50</v>
      </c>
      <c r="B1085" s="2" t="s">
        <v>1826</v>
      </c>
      <c r="C1085" s="2" t="s">
        <v>24</v>
      </c>
      <c r="D1085" s="2" t="s">
        <v>1827</v>
      </c>
      <c r="E1085" s="2" t="s">
        <v>53</v>
      </c>
      <c r="F1085" s="11" t="s">
        <v>1925</v>
      </c>
      <c r="G1085" t="s">
        <v>39</v>
      </c>
      <c r="H1085" t="s">
        <v>1926</v>
      </c>
      <c r="I1085" t="s">
        <v>1896</v>
      </c>
      <c r="J1085" s="6" t="str">
        <f>HYPERLINK("https://www.biovista.com/db/link/%5B%5B%22Disease%7CLeigh%20Syndrome%22%5D,%20%5B%22Drug%7CMemantine%22%5D%5D?strength-weight-map=%257B%2522MEDLINE_STRENGTH_AB%2522:1.0,%2522HPO%2522:100.0%257D", "Show Evidence...")</f>
        <v>Show Evidence...</v>
      </c>
    </row>
    <row r="1086" spans="1:10" ht="12.75">
      <c r="A1086" s="2" t="s">
        <v>50</v>
      </c>
      <c r="B1086" s="2" t="s">
        <v>1826</v>
      </c>
      <c r="C1086" s="2" t="s">
        <v>24</v>
      </c>
      <c r="D1086" s="2" t="s">
        <v>1827</v>
      </c>
      <c r="E1086" s="2" t="s">
        <v>53</v>
      </c>
      <c r="F1086" s="11" t="s">
        <v>1927</v>
      </c>
      <c r="G1086" t="s">
        <v>39</v>
      </c>
      <c r="H1086" t="s">
        <v>1928</v>
      </c>
      <c r="I1086" t="s">
        <v>1896</v>
      </c>
      <c r="J1086" s="6" t="str">
        <f>HYPERLINK("https://www.biovista.com/db/link/%5B%5B%22Disease%7CLeigh%20Syndrome%22%5D,%20%5B%22Drug%7CMethylene%20Blue%22%5D%5D?strength-weight-map=%257B%2522MEDLINE_STRENGTH_AB%2522:1.0,%2522HPO%2522:100.0%257D", "Show Evidence...")</f>
        <v>Show Evidence...</v>
      </c>
    </row>
    <row r="1087" spans="1:10" ht="12.75">
      <c r="A1087" s="2" t="s">
        <v>50</v>
      </c>
      <c r="B1087" s="2" t="s">
        <v>1826</v>
      </c>
      <c r="C1087" s="2" t="s">
        <v>24</v>
      </c>
      <c r="D1087" s="2" t="s">
        <v>1827</v>
      </c>
      <c r="E1087" s="2" t="s">
        <v>53</v>
      </c>
      <c r="F1087" s="11" t="s">
        <v>1929</v>
      </c>
      <c r="G1087" t="s">
        <v>39</v>
      </c>
      <c r="H1087" t="s">
        <v>1930</v>
      </c>
      <c r="I1087" t="s">
        <v>1896</v>
      </c>
      <c r="J1087" s="6" t="str">
        <f>HYPERLINK("https://www.biovista.com/db/link/%5B%5B%22Disease%7CLeigh%20Syndrome%22%5D,%20%5B%22Drug%7CNiacinamide%22%5D%5D?strength-weight-map=%257B%2522MEDLINE_STRENGTH_AB%2522:1.0,%2522HPO%2522:100.0%257D", "Show Evidence...")</f>
        <v>Show Evidence...</v>
      </c>
    </row>
    <row r="1088" spans="1:10" ht="12.75">
      <c r="A1088" s="2" t="s">
        <v>50</v>
      </c>
      <c r="B1088" s="2" t="s">
        <v>1826</v>
      </c>
      <c r="C1088" s="2" t="s">
        <v>24</v>
      </c>
      <c r="D1088" s="2" t="s">
        <v>1827</v>
      </c>
      <c r="E1088" s="2" t="s">
        <v>53</v>
      </c>
      <c r="F1088" s="11" t="s">
        <v>1931</v>
      </c>
      <c r="G1088" t="s">
        <v>39</v>
      </c>
      <c r="H1088" t="s">
        <v>1932</v>
      </c>
      <c r="I1088" t="s">
        <v>1896</v>
      </c>
      <c r="J1088" s="6" t="str">
        <f>HYPERLINK("https://www.biovista.com/db/link/%5B%5B%22Disease%7CLeigh%20Syndrome%22%5D,%20%5B%22Drug%7CPhenobarbital%22%5D%5D?strength-weight-map=%257B%2522MEDLINE_STRENGTH_AB%2522:1.0,%2522HPO%2522:100.0%257D", "Show Evidence...")</f>
        <v>Show Evidence...</v>
      </c>
    </row>
    <row r="1089" spans="1:10" ht="12.75">
      <c r="A1089" s="2" t="s">
        <v>50</v>
      </c>
      <c r="B1089" s="2" t="s">
        <v>1826</v>
      </c>
      <c r="C1089" s="2" t="s">
        <v>24</v>
      </c>
      <c r="D1089" s="2" t="s">
        <v>1827</v>
      </c>
      <c r="E1089" s="2" t="s">
        <v>53</v>
      </c>
      <c r="F1089" s="11" t="s">
        <v>1933</v>
      </c>
      <c r="G1089" t="s">
        <v>39</v>
      </c>
      <c r="H1089" t="s">
        <v>1934</v>
      </c>
      <c r="I1089" t="s">
        <v>1896</v>
      </c>
      <c r="J1089" s="6" t="str">
        <f>HYPERLINK("https://www.biovista.com/db/link/%5B%5B%22Disease%7CLeigh%20Syndrome%22%5D,%20%5B%22Drug%7CPropranolol%22%5D%5D?strength-weight-map=%257B%2522MEDLINE_STRENGTH_AB%2522:1.0,%2522HPO%2522:100.0%257D", "Show Evidence...")</f>
        <v>Show Evidence...</v>
      </c>
    </row>
    <row r="1090" spans="1:10" ht="12.75">
      <c r="A1090" s="2" t="s">
        <v>50</v>
      </c>
      <c r="B1090" s="2" t="s">
        <v>1826</v>
      </c>
      <c r="C1090" s="2" t="s">
        <v>24</v>
      </c>
      <c r="D1090" s="2" t="s">
        <v>1827</v>
      </c>
      <c r="E1090" s="2" t="s">
        <v>53</v>
      </c>
      <c r="F1090" s="11" t="s">
        <v>1003</v>
      </c>
      <c r="G1090" t="s">
        <v>39</v>
      </c>
      <c r="H1090" t="s">
        <v>1004</v>
      </c>
      <c r="I1090" t="s">
        <v>1896</v>
      </c>
      <c r="J1090" s="6" t="str">
        <f>HYPERLINK("https://www.biovista.com/db/link/%5B%5B%22Disease%7CLeigh%20Syndrome%22%5D,%20%5B%22Drug%7CPyridoxine%22%5D%5D?strength-weight-map=%257B%2522MEDLINE_STRENGTH_AB%2522:1.0,%2522HPO%2522:100.0%257D", "Show Evidence...")</f>
        <v>Show Evidence...</v>
      </c>
    </row>
    <row r="1091" spans="1:10" ht="12.75">
      <c r="A1091" s="2" t="s">
        <v>50</v>
      </c>
      <c r="B1091" s="2" t="s">
        <v>1826</v>
      </c>
      <c r="C1091" s="2" t="s">
        <v>24</v>
      </c>
      <c r="D1091" s="2" t="s">
        <v>1827</v>
      </c>
      <c r="E1091" s="2" t="s">
        <v>53</v>
      </c>
      <c r="F1091" s="11" t="s">
        <v>1935</v>
      </c>
      <c r="G1091" t="s">
        <v>39</v>
      </c>
      <c r="H1091" t="s">
        <v>1936</v>
      </c>
      <c r="I1091" t="s">
        <v>1896</v>
      </c>
      <c r="J1091" s="6" t="str">
        <f>HYPERLINK("https://www.biovista.com/db/link/%5B%5B%22Disease%7CLeigh%20Syndrome%22%5D,%20%5B%22Drug%7CSpironolactone%22%5D%5D?strength-weight-map=%257B%2522MEDLINE_STRENGTH_AB%2522:1.0,%2522HPO%2522:100.0%257D", "Show Evidence...")</f>
        <v>Show Evidence...</v>
      </c>
    </row>
    <row r="1092" spans="1:10" ht="12.75">
      <c r="A1092" s="2" t="s">
        <v>50</v>
      </c>
      <c r="B1092" s="2" t="s">
        <v>1826</v>
      </c>
      <c r="C1092" s="2" t="s">
        <v>24</v>
      </c>
      <c r="D1092" s="2" t="s">
        <v>1827</v>
      </c>
      <c r="E1092" s="2" t="s">
        <v>53</v>
      </c>
      <c r="F1092" s="11" t="s">
        <v>1937</v>
      </c>
      <c r="G1092" t="s">
        <v>39</v>
      </c>
      <c r="H1092" t="s">
        <v>1938</v>
      </c>
      <c r="I1092" t="s">
        <v>1896</v>
      </c>
      <c r="J1092" s="6" t="str">
        <f>HYPERLINK("https://www.biovista.com/db/link/%5B%5B%22Disease%7CLeigh%20Syndrome%22%5D,%20%5B%22Drug%7CTetracycline%22%5D%5D?strength-weight-map=%257B%2522MEDLINE_STRENGTH_AB%2522:1.0,%2522HPO%2522:100.0%257D", "Show Evidence...")</f>
        <v>Show Evidence...</v>
      </c>
    </row>
    <row r="1093" spans="1:10" ht="12.75">
      <c r="A1093" s="2" t="s">
        <v>50</v>
      </c>
      <c r="B1093" s="2" t="s">
        <v>1826</v>
      </c>
      <c r="C1093" s="2" t="s">
        <v>24</v>
      </c>
      <c r="D1093" s="2" t="s">
        <v>1827</v>
      </c>
      <c r="E1093" s="2" t="s">
        <v>53</v>
      </c>
      <c r="F1093" s="11" t="s">
        <v>1939</v>
      </c>
      <c r="G1093" t="s">
        <v>39</v>
      </c>
      <c r="H1093" t="s">
        <v>1940</v>
      </c>
      <c r="I1093" t="s">
        <v>1896</v>
      </c>
      <c r="J1093" s="6" t="str">
        <f>HYPERLINK("https://www.biovista.com/db/link/%5B%5B%22Disease%7CLeigh%20Syndrome%22%5D,%20%5B%22Drug%7CTranscription%20Activator-Like%20Effector%20Nucleases%22%5D%5D?strength-weight-map=%257B%2522MEDLINE_STRENGTH_AB%2522:1.0,%2522HPO%2522:100.0%257D", "Show Evidence...")</f>
        <v>Show Evidence...</v>
      </c>
    </row>
    <row r="1094" spans="1:10" ht="12.75">
      <c r="A1094" s="2" t="s">
        <v>50</v>
      </c>
      <c r="B1094" s="2" t="s">
        <v>1826</v>
      </c>
      <c r="C1094" s="2" t="s">
        <v>24</v>
      </c>
      <c r="D1094" s="2" t="s">
        <v>1827</v>
      </c>
      <c r="E1094" s="2" t="s">
        <v>53</v>
      </c>
      <c r="F1094" s="11" t="s">
        <v>1941</v>
      </c>
      <c r="G1094" t="s">
        <v>39</v>
      </c>
      <c r="H1094" t="s">
        <v>1942</v>
      </c>
      <c r="I1094" t="s">
        <v>1896</v>
      </c>
      <c r="J1094" s="6" t="str">
        <f>HYPERLINK("https://www.biovista.com/db/link/%5B%5B%22Disease%7CLeigh%20Syndrome%22%5D,%20%5B%22Drug%7Cubiquinone%209%22%5D%5D?strength-weight-map=%257B%2522MEDLINE_STRENGTH_AB%2522:1.0,%2522HPO%2522:100.0%257D", "Show Evidence...")</f>
        <v>Show Evidence...</v>
      </c>
    </row>
    <row r="1095" spans="1:10" ht="12.75">
      <c r="A1095" s="2" t="s">
        <v>50</v>
      </c>
      <c r="B1095" s="2" t="s">
        <v>1826</v>
      </c>
      <c r="C1095" s="2" t="s">
        <v>24</v>
      </c>
      <c r="D1095" s="2" t="s">
        <v>1827</v>
      </c>
      <c r="E1095" s="2" t="s">
        <v>53</v>
      </c>
      <c r="F1095" s="11" t="s">
        <v>1943</v>
      </c>
      <c r="G1095" t="s">
        <v>39</v>
      </c>
      <c r="H1095" t="s">
        <v>1944</v>
      </c>
      <c r="I1095" t="s">
        <v>1896</v>
      </c>
      <c r="J1095" s="6" t="str">
        <f>HYPERLINK("https://www.biovista.com/db/link/%5B%5B%22Disease%7CLeigh%20Syndrome%22%5D,%20%5B%22Drug%7CVincristine%22%5D%5D?strength-weight-map=%257B%2522MEDLINE_STRENGTH_AB%2522:1.0,%2522HPO%2522:100.0%257D", "Show Evidence...")</f>
        <v>Show Evidence...</v>
      </c>
    </row>
    <row r="1096" spans="1:10" ht="12.75">
      <c r="A1096" s="2" t="s">
        <v>50</v>
      </c>
      <c r="B1096" s="2" t="s">
        <v>1826</v>
      </c>
      <c r="C1096" s="2" t="s">
        <v>24</v>
      </c>
      <c r="D1096" s="2" t="s">
        <v>1827</v>
      </c>
      <c r="E1096" s="2" t="s">
        <v>53</v>
      </c>
      <c r="F1096" s="11" t="s">
        <v>944</v>
      </c>
      <c r="G1096" t="s">
        <v>39</v>
      </c>
      <c r="H1096" t="s">
        <v>945</v>
      </c>
      <c r="I1096" t="s">
        <v>1896</v>
      </c>
      <c r="J1096" s="6" t="str">
        <f>HYPERLINK("https://www.biovista.com/db/link/%5B%5B%22Disease%7CLeigh%20Syndrome%22%5D,%20%5B%22Drug%7CVitamin%20B%2012%22%5D%5D?strength-weight-map=%257B%2522MEDLINE_STRENGTH_AB%2522:1.0,%2522HPO%2522:100.0%257D", "Show Evidence...")</f>
        <v>Show Evidence...</v>
      </c>
    </row>
    <row r="1097" spans="1:10" ht="12.75">
      <c r="A1097" s="2" t="s">
        <v>50</v>
      </c>
      <c r="B1097" s="2" t="s">
        <v>1826</v>
      </c>
      <c r="C1097" s="2" t="s">
        <v>24</v>
      </c>
      <c r="D1097" s="2" t="s">
        <v>1827</v>
      </c>
      <c r="E1097" s="2" t="s">
        <v>53</v>
      </c>
      <c r="F1097" s="11" t="s">
        <v>263</v>
      </c>
      <c r="G1097" t="s">
        <v>39</v>
      </c>
      <c r="H1097" t="s">
        <v>264</v>
      </c>
      <c r="I1097" t="s">
        <v>1896</v>
      </c>
      <c r="J1097" s="6" t="str">
        <f>HYPERLINK("https://www.biovista.com/db/link/%5B%5B%22Disease%7CLeigh%20Syndrome%22%5D,%20%5B%22Drug%7CVitamin%20D%22%5D%5D?strength-weight-map=%257B%2522MEDLINE_STRENGTH_AB%2522:1.0,%2522HPO%2522:100.0%257D", "Show Evidence...")</f>
        <v>Show Evidence...</v>
      </c>
    </row>
    <row r="1098" spans="1:10" ht="12.75">
      <c r="A1098" s="2" t="s">
        <v>50</v>
      </c>
      <c r="B1098" s="2" t="s">
        <v>1826</v>
      </c>
      <c r="C1098" s="2" t="s">
        <v>24</v>
      </c>
      <c r="D1098" s="2" t="s">
        <v>1827</v>
      </c>
      <c r="E1098" s="2" t="s">
        <v>53</v>
      </c>
      <c r="F1098" s="11" t="s">
        <v>1945</v>
      </c>
      <c r="G1098" t="s">
        <v>39</v>
      </c>
      <c r="H1098" t="s">
        <v>1946</v>
      </c>
      <c r="I1098" t="s">
        <v>1896</v>
      </c>
      <c r="J1098" s="6" t="str">
        <f>HYPERLINK("https://www.biovista.com/db/link/%5B%5B%22Disease%7CLeigh%20Syndrome%22%5D,%20%5B%22Drug%7CVitamin%20K%22%5D%5D?strength-weight-map=%257B%2522MEDLINE_STRENGTH_AB%2522:1.0,%2522HPO%2522:100.0%257D", "Show Evidence...")</f>
        <v>Show Evidence...</v>
      </c>
    </row>
    <row r="1099" spans="1:10" ht="12.75">
      <c r="A1099" s="2" t="s">
        <v>50</v>
      </c>
      <c r="B1099" s="2" t="s">
        <v>1826</v>
      </c>
      <c r="C1099" s="2" t="s">
        <v>24</v>
      </c>
      <c r="D1099" s="2" t="s">
        <v>1827</v>
      </c>
      <c r="E1099" s="2" t="s">
        <v>53</v>
      </c>
      <c r="F1099" s="11" t="s">
        <v>1947</v>
      </c>
      <c r="G1099" t="s">
        <v>39</v>
      </c>
      <c r="H1099" t="s">
        <v>1948</v>
      </c>
      <c r="I1099" t="s">
        <v>1949</v>
      </c>
      <c r="J1099" s="6" t="str">
        <f>HYPERLINK("https://www.biovista.com/db/link/%5B%5B%22Disease%7CLeigh%20Syndrome%22%5D,%20%5B%22Drug%7C1,3-dipropyl-8-cyclopentylxanthine%22%5D%5D?strength-weight-map=%257B%2522MEDLINE_STRENGTH_AB%2522:1.0,%2522HPO%2522:100.0%257D", "Show Evidence...")</f>
        <v>Show Evidence...</v>
      </c>
    </row>
    <row r="1100" spans="1:10" ht="12.75">
      <c r="A1100" s="2" t="s">
        <v>50</v>
      </c>
      <c r="B1100" s="2" t="s">
        <v>1826</v>
      </c>
      <c r="C1100" s="2" t="s">
        <v>24</v>
      </c>
      <c r="D1100" s="2" t="s">
        <v>1827</v>
      </c>
      <c r="E1100" s="2" t="s">
        <v>53</v>
      </c>
      <c r="F1100" s="11" t="s">
        <v>1950</v>
      </c>
      <c r="G1100" t="s">
        <v>39</v>
      </c>
      <c r="H1100" t="s">
        <v>1951</v>
      </c>
      <c r="I1100" t="s">
        <v>1949</v>
      </c>
      <c r="J1100" s="6" t="str">
        <f>HYPERLINK("https://www.biovista.com/db/link/%5B%5B%22Disease%7CLeigh%20Syndrome%22%5D,%20%5B%22Drug%7CAmlodipine%22%5D%5D?strength-weight-map=%257B%2522MEDLINE_STRENGTH_AB%2522:1.0,%2522HPO%2522:100.0%257D", "Show Evidence...")</f>
        <v>Show Evidence...</v>
      </c>
    </row>
    <row r="1101" spans="1:10" ht="12.75">
      <c r="A1101" s="2" t="s">
        <v>50</v>
      </c>
      <c r="B1101" s="2" t="s">
        <v>1826</v>
      </c>
      <c r="C1101" s="2" t="s">
        <v>24</v>
      </c>
      <c r="D1101" s="2" t="s">
        <v>1827</v>
      </c>
      <c r="E1101" s="2" t="s">
        <v>53</v>
      </c>
      <c r="F1101" s="11" t="s">
        <v>1952</v>
      </c>
      <c r="G1101" t="s">
        <v>39</v>
      </c>
      <c r="H1101" t="s">
        <v>1953</v>
      </c>
      <c r="I1101" t="s">
        <v>1949</v>
      </c>
      <c r="J1101" s="6" t="str">
        <f>HYPERLINK("https://www.biovista.com/db/link/%5B%5B%22Disease%7CLeigh%20Syndrome%22%5D,%20%5B%22Drug%7CAntral%22%5D%5D?strength-weight-map=%257B%2522MEDLINE_STRENGTH_AB%2522:1.0,%2522HPO%2522:100.0%257D", "Show Evidence...")</f>
        <v>Show Evidence...</v>
      </c>
    </row>
    <row r="1102" spans="1:10" ht="12.75">
      <c r="A1102" s="2" t="s">
        <v>50</v>
      </c>
      <c r="B1102" s="2" t="s">
        <v>1826</v>
      </c>
      <c r="C1102" s="2" t="s">
        <v>24</v>
      </c>
      <c r="D1102" s="2" t="s">
        <v>1827</v>
      </c>
      <c r="E1102" s="2" t="s">
        <v>53</v>
      </c>
      <c r="F1102" s="11" t="s">
        <v>1073</v>
      </c>
      <c r="G1102" t="s">
        <v>39</v>
      </c>
      <c r="H1102" t="s">
        <v>1074</v>
      </c>
      <c r="I1102" t="s">
        <v>1949</v>
      </c>
      <c r="J1102" s="6" t="str">
        <f>HYPERLINK("https://www.biovista.com/db/link/%5B%5B%22Disease%7CLeigh%20Syndrome%22%5D,%20%5B%22Drug%7CCiprofloxacin%22%5D%5D?strength-weight-map=%257B%2522MEDLINE_STRENGTH_AB%2522:1.0,%2522HPO%2522:100.0%257D", "Show Evidence...")</f>
        <v>Show Evidence...</v>
      </c>
    </row>
    <row r="1103" spans="1:10" ht="12.75">
      <c r="A1103" s="2" t="s">
        <v>50</v>
      </c>
      <c r="B1103" s="2" t="s">
        <v>1826</v>
      </c>
      <c r="C1103" s="2" t="s">
        <v>24</v>
      </c>
      <c r="D1103" s="2" t="s">
        <v>1827</v>
      </c>
      <c r="E1103" s="2" t="s">
        <v>53</v>
      </c>
      <c r="F1103" s="11" t="s">
        <v>1077</v>
      </c>
      <c r="G1103" t="s">
        <v>39</v>
      </c>
      <c r="H1103" t="s">
        <v>1078</v>
      </c>
      <c r="I1103" t="s">
        <v>1949</v>
      </c>
      <c r="J1103" s="6" t="str">
        <f>HYPERLINK("https://www.biovista.com/db/link/%5B%5B%22Disease%7CLeigh%20Syndrome%22%5D,%20%5B%22Drug%7CClindamycin%22%5D%5D?strength-weight-map=%257B%2522MEDLINE_STRENGTH_AB%2522:1.0,%2522HPO%2522:100.0%257D", "Show Evidence...")</f>
        <v>Show Evidence...</v>
      </c>
    </row>
    <row r="1104" spans="1:10" ht="12.75">
      <c r="A1104" s="2" t="s">
        <v>50</v>
      </c>
      <c r="B1104" s="2" t="s">
        <v>1826</v>
      </c>
      <c r="C1104" s="2" t="s">
        <v>24</v>
      </c>
      <c r="D1104" s="2" t="s">
        <v>1827</v>
      </c>
      <c r="E1104" s="2" t="s">
        <v>53</v>
      </c>
      <c r="F1104" s="11" t="s">
        <v>1091</v>
      </c>
      <c r="G1104" t="s">
        <v>39</v>
      </c>
      <c r="H1104" t="s">
        <v>1092</v>
      </c>
      <c r="I1104" t="s">
        <v>1949</v>
      </c>
      <c r="J1104" s="6" t="str">
        <f>HYPERLINK("https://www.biovista.com/db/link/%5B%5B%22Disease%7CLeigh%20Syndrome%22%5D,%20%5B%22Drug%7CLamotrigine%22%5D%5D?strength-weight-map=%257B%2522MEDLINE_STRENGTH_AB%2522:1.0,%2522HPO%2522:100.0%257D", "Show Evidence...")</f>
        <v>Show Evidence...</v>
      </c>
    </row>
    <row r="1105" spans="1:10" ht="12.75">
      <c r="A1105" s="2" t="s">
        <v>50</v>
      </c>
      <c r="B1105" s="2" t="s">
        <v>1826</v>
      </c>
      <c r="C1105" s="2" t="s">
        <v>24</v>
      </c>
      <c r="D1105" s="2" t="s">
        <v>1827</v>
      </c>
      <c r="E1105" s="2" t="s">
        <v>53</v>
      </c>
      <c r="F1105" s="11" t="s">
        <v>268</v>
      </c>
      <c r="G1105" t="s">
        <v>39</v>
      </c>
      <c r="H1105" t="s">
        <v>269</v>
      </c>
      <c r="I1105" t="s">
        <v>1949</v>
      </c>
      <c r="J1105" s="6" t="str">
        <f>HYPERLINK("https://www.biovista.com/db/link/%5B%5B%22Disease%7CLeigh%20Syndrome%22%5D,%20%5B%22Drug%7CLeucovorin%22%5D%5D?strength-weight-map=%257B%2522MEDLINE_STRENGTH_AB%2522:1.0,%2522HPO%2522:100.0%257D", "Show Evidence...")</f>
        <v>Show Evidence...</v>
      </c>
    </row>
    <row r="1106" spans="1:10" ht="12.75">
      <c r="A1106" s="2" t="s">
        <v>50</v>
      </c>
      <c r="B1106" s="2" t="s">
        <v>1826</v>
      </c>
      <c r="C1106" s="2" t="s">
        <v>24</v>
      </c>
      <c r="D1106" s="2" t="s">
        <v>1827</v>
      </c>
      <c r="E1106" s="2" t="s">
        <v>53</v>
      </c>
      <c r="F1106" s="11" t="s">
        <v>1103</v>
      </c>
      <c r="G1106" t="s">
        <v>39</v>
      </c>
      <c r="H1106" t="s">
        <v>1104</v>
      </c>
      <c r="I1106" t="s">
        <v>1949</v>
      </c>
      <c r="J1106" s="6" t="str">
        <f>HYPERLINK("https://www.biovista.com/db/link/%5B%5B%22Disease%7CLeigh%20Syndrome%22%5D,%20%5B%22Drug%7CPyridoxal%20Phosphate%22%5D%5D?strength-weight-map=%257B%2522MEDLINE_STRENGTH_AB%2522:1.0,%2522HPO%2522:100.0%257D", "Show Evidence...")</f>
        <v>Show Evidence...</v>
      </c>
    </row>
    <row r="1107" spans="1:10" ht="12.75">
      <c r="A1107" s="2" t="s">
        <v>50</v>
      </c>
      <c r="B1107" s="2" t="s">
        <v>1826</v>
      </c>
      <c r="C1107" s="2" t="s">
        <v>24</v>
      </c>
      <c r="D1107" s="2" t="s">
        <v>1827</v>
      </c>
      <c r="E1107" s="2" t="s">
        <v>53</v>
      </c>
      <c r="F1107" s="11" t="s">
        <v>1954</v>
      </c>
      <c r="G1107" t="s">
        <v>39</v>
      </c>
      <c r="H1107" t="s">
        <v>1955</v>
      </c>
      <c r="I1107" t="s">
        <v>1949</v>
      </c>
      <c r="J1107" s="6" t="str">
        <f>HYPERLINK("https://www.biovista.com/db/link/%5B%5B%22Disease%7CLeigh%20Syndrome%22%5D,%20%5B%22Drug%7CPyrithiamine%22%5D%5D?strength-weight-map=%257B%2522MEDLINE_STRENGTH_AB%2522:1.0,%2522HPO%2522:100.0%257D", "Show Evidence...")</f>
        <v>Show Evidence...</v>
      </c>
    </row>
    <row r="1108" spans="1:10" ht="12.75">
      <c r="A1108" s="2" t="s">
        <v>50</v>
      </c>
      <c r="B1108" s="2" t="s">
        <v>1826</v>
      </c>
      <c r="C1108" s="2" t="s">
        <v>24</v>
      </c>
      <c r="D1108" s="2" t="s">
        <v>1827</v>
      </c>
      <c r="E1108" s="2" t="s">
        <v>53</v>
      </c>
      <c r="F1108" s="11" t="s">
        <v>1956</v>
      </c>
      <c r="G1108" t="s">
        <v>39</v>
      </c>
      <c r="H1108" t="s">
        <v>1957</v>
      </c>
      <c r="I1108" t="s">
        <v>1949</v>
      </c>
      <c r="J1108" s="6" t="str">
        <f>HYPERLINK("https://www.biovista.com/db/link/%5B%5B%22Disease%7CLeigh%20Syndrome%22%5D,%20%5B%22Drug%7Ctechnetium%20Tc%2099m%20bicisate%22%5D%5D?strength-weight-map=%257B%2522MEDLINE_STRENGTH_AB%2522:1.0,%2522HPO%2522:100.0%257D", "Show Evidence...")</f>
        <v>Show Evidence...</v>
      </c>
    </row>
    <row r="1109" spans="1:10" ht="12.75">
      <c r="A1109" s="2" t="s">
        <v>50</v>
      </c>
      <c r="B1109" s="2" t="s">
        <v>1826</v>
      </c>
      <c r="C1109" s="2" t="s">
        <v>24</v>
      </c>
      <c r="D1109" s="2" t="s">
        <v>1827</v>
      </c>
      <c r="E1109" s="2" t="s">
        <v>53</v>
      </c>
      <c r="F1109" s="11" t="s">
        <v>1958</v>
      </c>
      <c r="G1109" t="s">
        <v>39</v>
      </c>
      <c r="H1109" t="s">
        <v>1959</v>
      </c>
      <c r="I1109" t="s">
        <v>1949</v>
      </c>
      <c r="J1109" s="6" t="str">
        <f>HYPERLINK("https://www.biovista.com/db/link/%5B%5B%22Disease%7CLeigh%20Syndrome%22%5D,%20%5B%22Drug%7Ctrans-sodium%20crocetinate%22%5D%5D?strength-weight-map=%257B%2522MEDLINE_STRENGTH_AB%2522:1.0,%2522HPO%2522:100.0%257D", "Show Evidence...")</f>
        <v>Show Evidence...</v>
      </c>
    </row>
    <row r="1110" spans="1:10" ht="12.75">
      <c r="A1110" s="2" t="s">
        <v>50</v>
      </c>
      <c r="B1110" s="2" t="s">
        <v>1826</v>
      </c>
      <c r="C1110" s="2" t="s">
        <v>24</v>
      </c>
      <c r="D1110" s="2" t="s">
        <v>1827</v>
      </c>
      <c r="E1110" s="2" t="s">
        <v>293</v>
      </c>
      <c r="F1110" s="11">
        <v>3880727</v>
      </c>
      <c r="G1110" t="s">
        <v>36</v>
      </c>
      <c r="H1110" t="s">
        <v>429</v>
      </c>
      <c r="I1110" t="s">
        <v>1960</v>
      </c>
      <c r="J1110" s="6" t="str">
        <f>HYPERLINK("https://www.biovista.com/db/link/%5B%5B%22Disease%7CLeigh%20Syndrome%22%5D,%20%5B%22Gene%7Cnuo10.5%22%5D%5D?strength-weight-map=%257B%2522MEDLINE_STRENGTH_AB%2522:1.0,%2522HPO%2522:100.0%257D", "Show Evidence...")</f>
        <v>Show Evidence...</v>
      </c>
    </row>
    <row r="1111" spans="1:10" ht="12.75">
      <c r="A1111" s="2" t="s">
        <v>50</v>
      </c>
      <c r="B1111" s="2" t="s">
        <v>1826</v>
      </c>
      <c r="C1111" s="2" t="s">
        <v>24</v>
      </c>
      <c r="D1111" s="2" t="s">
        <v>1827</v>
      </c>
      <c r="E1111" s="2" t="s">
        <v>53</v>
      </c>
      <c r="F1111" s="11" t="s">
        <v>1961</v>
      </c>
      <c r="G1111" t="s">
        <v>36</v>
      </c>
      <c r="H1111" t="s">
        <v>1962</v>
      </c>
      <c r="I1111" t="s">
        <v>1963</v>
      </c>
      <c r="J1111" s="6" t="str">
        <f>HYPERLINK("https://www.biovista.com/db/link/%5B%5B%22Disease%7CLeigh%20Syndrome%22%5D,%20%5B%22Gene%7CElectron%20Transport%20Complex%20I%22%5D%5D?strength-weight-map=%257B%2522MEDLINE_STRENGTH_AB%2522:1.0,%2522HPO%2522:100.0%257D", "Show Evidence...")</f>
        <v>Show Evidence...</v>
      </c>
    </row>
    <row r="1112" spans="1:10" ht="12.75">
      <c r="A1112" s="2" t="s">
        <v>50</v>
      </c>
      <c r="B1112" s="2" t="s">
        <v>1826</v>
      </c>
      <c r="C1112" s="2" t="s">
        <v>24</v>
      </c>
      <c r="D1112" s="2" t="s">
        <v>1827</v>
      </c>
      <c r="E1112" s="2" t="s">
        <v>293</v>
      </c>
      <c r="F1112" s="11">
        <v>35279</v>
      </c>
      <c r="G1112" t="s">
        <v>36</v>
      </c>
      <c r="H1112" t="s">
        <v>1964</v>
      </c>
      <c r="I1112" t="s">
        <v>1965</v>
      </c>
      <c r="J1112" s="6" t="str">
        <f>HYPERLINK("https://www.biovista.com/db/link/%5B%5B%22Disease%7CLeigh%20Syndrome%22%5D,%20%5B%22Gene%7Ccytochrome%20c%20oxidase%22%5D%5D?strength-weight-map=%257B%2522MEDLINE_STRENGTH_AB%2522:1.0,%2522HPO%2522:100.0%257D", "Show Evidence...")</f>
        <v>Show Evidence...</v>
      </c>
    </row>
    <row r="1113" spans="1:10" ht="12.75">
      <c r="A1113" s="2" t="s">
        <v>50</v>
      </c>
      <c r="B1113" s="2" t="s">
        <v>1826</v>
      </c>
      <c r="C1113" s="2" t="s">
        <v>24</v>
      </c>
      <c r="D1113" s="2" t="s">
        <v>1827</v>
      </c>
      <c r="E1113" s="2" t="s">
        <v>293</v>
      </c>
      <c r="F1113" s="11">
        <v>6834</v>
      </c>
      <c r="G1113" t="s">
        <v>36</v>
      </c>
      <c r="H1113" t="s">
        <v>1966</v>
      </c>
      <c r="I1113" t="s">
        <v>1967</v>
      </c>
      <c r="J1113" s="6" t="str">
        <f>HYPERLINK("https://www.biovista.com/db/link/%5B%5B%22Disease%7CLeigh%20Syndrome%22%5D,%20%5B%22Gene%7CSURF1%22%5D%5D?strength-weight-map=%257B%2522MEDLINE_STRENGTH_AB%2522:1.0,%2522HPO%2522:100.0%257D", "Show Evidence...")</f>
        <v>Show Evidence...</v>
      </c>
    </row>
    <row r="1114" spans="1:10" ht="12.75">
      <c r="A1114" s="2" t="s">
        <v>50</v>
      </c>
      <c r="B1114" s="2" t="s">
        <v>1826</v>
      </c>
      <c r="C1114" s="2" t="s">
        <v>24</v>
      </c>
      <c r="D1114" s="2" t="s">
        <v>1827</v>
      </c>
      <c r="E1114" s="2" t="s">
        <v>53</v>
      </c>
      <c r="F1114" s="11" t="s">
        <v>424</v>
      </c>
      <c r="G1114" t="s">
        <v>36</v>
      </c>
      <c r="H1114" t="s">
        <v>425</v>
      </c>
      <c r="I1114" t="s">
        <v>1968</v>
      </c>
      <c r="J1114" s="6" t="str">
        <f>HYPERLINK("https://www.biovista.com/db/link/%5B%5B%22Disease%7CLeigh%20Syndrome%22%5D,%20%5B%22Gene%7CElectron%20Transport%20Complex%20IV%22%5D%5D?strength-weight-map=%257B%2522MEDLINE_STRENGTH_AB%2522:1.0,%2522HPO%2522:100.0%257D", "Show Evidence...")</f>
        <v>Show Evidence...</v>
      </c>
    </row>
    <row r="1115" spans="1:10" ht="12.75">
      <c r="A1115" s="2" t="s">
        <v>50</v>
      </c>
      <c r="B1115" s="2" t="s">
        <v>1826</v>
      </c>
      <c r="C1115" s="2" t="s">
        <v>24</v>
      </c>
      <c r="D1115" s="2" t="s">
        <v>1827</v>
      </c>
      <c r="E1115" s="2" t="s">
        <v>293</v>
      </c>
      <c r="F1115" s="11">
        <v>4512</v>
      </c>
      <c r="G1115" t="s">
        <v>36</v>
      </c>
      <c r="H1115" t="s">
        <v>1969</v>
      </c>
      <c r="I1115" t="s">
        <v>1970</v>
      </c>
      <c r="J1115" s="6" t="str">
        <f>HYPERLINK("https://www.biovista.com/db/link/%5B%5B%22Disease%7CLeigh%20Syndrome%22%5D,%20%5B%22Gene%7CCOX1%22%5D%5D?strength-weight-map=%257B%2522MEDLINE_STRENGTH_AB%2522:1.0,%2522HPO%2522:100.0%257D", "Show Evidence...")</f>
        <v>Show Evidence...</v>
      </c>
    </row>
    <row r="1116" spans="1:10" ht="12.75">
      <c r="A1116" s="2" t="s">
        <v>50</v>
      </c>
      <c r="B1116" s="2" t="s">
        <v>1826</v>
      </c>
      <c r="C1116" s="2" t="s">
        <v>24</v>
      </c>
      <c r="D1116" s="2" t="s">
        <v>1827</v>
      </c>
      <c r="E1116" s="2" t="s">
        <v>293</v>
      </c>
      <c r="F1116" s="11">
        <v>939832</v>
      </c>
      <c r="G1116" t="s">
        <v>36</v>
      </c>
      <c r="H1116" t="s">
        <v>1971</v>
      </c>
      <c r="I1116" t="s">
        <v>1972</v>
      </c>
      <c r="J1116" s="6" t="str">
        <f>HYPERLINK("https://www.biovista.com/db/link/%5B%5B%22Disease%7CLeigh%20Syndrome%22%5D,%20%5B%22Gene%7CNADH%20dehydrogenase%22%5D%5D?strength-weight-map=%257B%2522MEDLINE_STRENGTH_AB%2522:1.0,%2522HPO%2522:100.0%257D", "Show Evidence...")</f>
        <v>Show Evidence...</v>
      </c>
    </row>
    <row r="1117" spans="1:10" ht="12.75">
      <c r="A1117" s="2" t="s">
        <v>50</v>
      </c>
      <c r="B1117" s="2" t="s">
        <v>1826</v>
      </c>
      <c r="C1117" s="2" t="s">
        <v>24</v>
      </c>
      <c r="D1117" s="2" t="s">
        <v>1827</v>
      </c>
      <c r="E1117" s="2" t="s">
        <v>293</v>
      </c>
      <c r="F1117" s="11">
        <v>3878934</v>
      </c>
      <c r="G1117" t="s">
        <v>36</v>
      </c>
      <c r="H1117" t="s">
        <v>1973</v>
      </c>
      <c r="I1117" t="s">
        <v>1974</v>
      </c>
      <c r="J1117" s="6" t="str">
        <f>HYPERLINK("https://www.biovista.com/db/link/%5B%5B%22Disease%7CLeigh%20Syndrome%22%5D,%20%5B%22Gene%7Cace-4%22%5D%5D?strength-weight-map=%257B%2522MEDLINE_STRENGTH_AB%2522:1.0,%2522HPO%2522:100.0%257D", "Show Evidence...")</f>
        <v>Show Evidence...</v>
      </c>
    </row>
    <row r="1118" spans="1:10" ht="12.75">
      <c r="A1118" s="2" t="s">
        <v>50</v>
      </c>
      <c r="B1118" s="2" t="s">
        <v>1826</v>
      </c>
      <c r="C1118" s="2" t="s">
        <v>24</v>
      </c>
      <c r="D1118" s="2" t="s">
        <v>1827</v>
      </c>
      <c r="E1118" s="2" t="s">
        <v>293</v>
      </c>
      <c r="F1118" s="11">
        <v>4724</v>
      </c>
      <c r="G1118" t="s">
        <v>36</v>
      </c>
      <c r="H1118" t="s">
        <v>1975</v>
      </c>
      <c r="I1118" t="s">
        <v>1976</v>
      </c>
      <c r="J1118" s="6" t="str">
        <f>HYPERLINK("https://www.biovista.com/db/link/%5B%5B%22Disease%7CLeigh%20Syndrome%22%5D,%20%5B%22Gene%7CNDUFS4%22%5D%5D?strength-weight-map=%257B%2522MEDLINE_STRENGTH_AB%2522:1.0,%2522HPO%2522:100.0%257D", "Show Evidence...")</f>
        <v>Show Evidence...</v>
      </c>
    </row>
    <row r="1119" spans="1:10" ht="12.75">
      <c r="A1119" s="2" t="s">
        <v>50</v>
      </c>
      <c r="B1119" s="2" t="s">
        <v>1826</v>
      </c>
      <c r="C1119" s="2" t="s">
        <v>24</v>
      </c>
      <c r="D1119" s="2" t="s">
        <v>1827</v>
      </c>
      <c r="E1119" s="2" t="s">
        <v>293</v>
      </c>
      <c r="F1119" s="11">
        <v>4508</v>
      </c>
      <c r="G1119" t="s">
        <v>36</v>
      </c>
      <c r="H1119" t="s">
        <v>1977</v>
      </c>
      <c r="I1119" t="s">
        <v>1978</v>
      </c>
      <c r="J1119" s="6" t="str">
        <f>HYPERLINK("https://www.biovista.com/db/link/%5B%5B%22Disease%7CLeigh%20Syndrome%22%5D,%20%5B%22Gene%7CATP6%22%5D%5D?strength-weight-map=%257B%2522MEDLINE_STRENGTH_AB%2522:1.0,%2522HPO%2522:100.0%257D", "Show Evidence...")</f>
        <v>Show Evidence...</v>
      </c>
    </row>
    <row r="1120" spans="1:10" ht="12.75">
      <c r="A1120" s="2" t="s">
        <v>50</v>
      </c>
      <c r="B1120" s="2" t="s">
        <v>1826</v>
      </c>
      <c r="C1120" s="2" t="s">
        <v>24</v>
      </c>
      <c r="D1120" s="2" t="s">
        <v>1827</v>
      </c>
      <c r="E1120" s="2" t="s">
        <v>293</v>
      </c>
      <c r="F1120" s="11">
        <v>4723</v>
      </c>
      <c r="G1120" t="s">
        <v>36</v>
      </c>
      <c r="H1120" t="s">
        <v>1979</v>
      </c>
      <c r="I1120" t="s">
        <v>1980</v>
      </c>
      <c r="J1120" s="6" t="str">
        <f>HYPERLINK("https://www.biovista.com/db/link/%5B%5B%22Disease%7CLeigh%20Syndrome%22%5D,%20%5B%22Gene%7CNDUFV1%22%5D%5D?strength-weight-map=%257B%2522MEDLINE_STRENGTH_AB%2522:1.0,%2522HPO%2522:100.0%257D", "Show Evidence...")</f>
        <v>Show Evidence...</v>
      </c>
    </row>
    <row r="1121" spans="1:10" ht="12.75">
      <c r="A1121" s="2" t="s">
        <v>50</v>
      </c>
      <c r="B1121" s="2" t="s">
        <v>1826</v>
      </c>
      <c r="C1121" s="2" t="s">
        <v>24</v>
      </c>
      <c r="D1121" s="2" t="s">
        <v>1827</v>
      </c>
      <c r="E1121" s="2" t="s">
        <v>293</v>
      </c>
      <c r="F1121" s="11">
        <v>4508</v>
      </c>
      <c r="G1121" t="s">
        <v>36</v>
      </c>
      <c r="H1121" t="s">
        <v>1981</v>
      </c>
      <c r="I1121" t="s">
        <v>1982</v>
      </c>
      <c r="J1121" s="6" t="str">
        <f>HYPERLINK("https://www.biovista.com/db/link/%5B%5B%22Disease%7CLeigh%20Syndrome%22%5D,%20%5B%22Gene%7CMT-ATP6%22%5D%5D?strength-weight-map=%257B%2522MEDLINE_STRENGTH_AB%2522:1.0,%2522HPO%2522:100.0%257D", "Show Evidence...")</f>
        <v>Show Evidence...</v>
      </c>
    </row>
    <row r="1122" spans="1:10" ht="12.75">
      <c r="A1122" s="2" t="s">
        <v>50</v>
      </c>
      <c r="B1122" s="2" t="s">
        <v>1826</v>
      </c>
      <c r="C1122" s="2" t="s">
        <v>24</v>
      </c>
      <c r="D1122" s="2" t="s">
        <v>1827</v>
      </c>
      <c r="E1122" s="2" t="s">
        <v>293</v>
      </c>
      <c r="F1122" s="11">
        <v>33852</v>
      </c>
      <c r="G1122" t="s">
        <v>36</v>
      </c>
      <c r="H1122" t="s">
        <v>1983</v>
      </c>
      <c r="I1122" t="s">
        <v>1984</v>
      </c>
      <c r="J1122" s="6" t="str">
        <f>HYPERLINK("https://www.biovista.com/db/link/%5B%5B%22Disease%7CLeigh%20Syndrome%22%5D,%20%5B%22Gene%7CND-51%22%5D%5D?strength-weight-map=%257B%2522MEDLINE_STRENGTH_AB%2522:1.0,%2522HPO%2522:100.0%257D", "Show Evidence...")</f>
        <v>Show Evidence...</v>
      </c>
    </row>
    <row r="1123" spans="1:10" ht="12.75">
      <c r="A1123" s="2" t="s">
        <v>50</v>
      </c>
      <c r="B1123" s="2" t="s">
        <v>1826</v>
      </c>
      <c r="C1123" s="2" t="s">
        <v>24</v>
      </c>
      <c r="D1123" s="2" t="s">
        <v>1827</v>
      </c>
      <c r="E1123" s="2" t="s">
        <v>293</v>
      </c>
      <c r="F1123" s="11">
        <v>10128</v>
      </c>
      <c r="G1123" t="s">
        <v>36</v>
      </c>
      <c r="H1123" t="s">
        <v>1985</v>
      </c>
      <c r="I1123" t="s">
        <v>1986</v>
      </c>
      <c r="J1123" s="6" t="str">
        <f>HYPERLINK("https://www.biovista.com/db/link/%5B%5B%22Disease%7CLeigh%20Syndrome%22%5D,%20%5B%22Gene%7CLRPPRC%22%5D%5D?strength-weight-map=%257B%2522MEDLINE_STRENGTH_AB%2522:1.0,%2522HPO%2522:100.0%257D", "Show Evidence...")</f>
        <v>Show Evidence...</v>
      </c>
    </row>
    <row r="1124" spans="1:10" ht="12.75">
      <c r="A1124" s="2" t="s">
        <v>50</v>
      </c>
      <c r="B1124" s="2" t="s">
        <v>1826</v>
      </c>
      <c r="C1124" s="2" t="s">
        <v>24</v>
      </c>
      <c r="D1124" s="2" t="s">
        <v>1827</v>
      </c>
      <c r="E1124" s="2" t="s">
        <v>293</v>
      </c>
      <c r="F1124" s="11">
        <v>11019</v>
      </c>
      <c r="G1124" t="s">
        <v>36</v>
      </c>
      <c r="H1124" t="s">
        <v>1987</v>
      </c>
      <c r="I1124" t="s">
        <v>1986</v>
      </c>
      <c r="J1124" s="6" t="str">
        <f>HYPERLINK("https://www.biovista.com/db/link/%5B%5B%22Disease%7CLeigh%20Syndrome%22%5D,%20%5B%22Gene%7CLS%22%5D%5D?strength-weight-map=%257B%2522MEDLINE_STRENGTH_AB%2522:1.0,%2522HPO%2522:100.0%257D", "Show Evidence...")</f>
        <v>Show Evidence...</v>
      </c>
    </row>
    <row r="1125" spans="1:10" ht="12.75">
      <c r="A1125" s="2" t="s">
        <v>50</v>
      </c>
      <c r="B1125" s="2" t="s">
        <v>1826</v>
      </c>
      <c r="C1125" s="2" t="s">
        <v>24</v>
      </c>
      <c r="D1125" s="2" t="s">
        <v>1827</v>
      </c>
      <c r="E1125" s="2" t="s">
        <v>293</v>
      </c>
      <c r="F1125" s="11">
        <v>4540</v>
      </c>
      <c r="G1125" t="s">
        <v>36</v>
      </c>
      <c r="H1125" t="s">
        <v>1988</v>
      </c>
      <c r="I1125" t="s">
        <v>1989</v>
      </c>
      <c r="J1125" s="6" t="str">
        <f>HYPERLINK("https://www.biovista.com/db/link/%5B%5B%22Disease%7CLeigh%20Syndrome%22%5D,%20%5B%22Gene%7CND5%22%5D%5D?strength-weight-map=%257B%2522MEDLINE_STRENGTH_AB%2522:1.0,%2522HPO%2522:100.0%257D", "Show Evidence...")</f>
        <v>Show Evidence...</v>
      </c>
    </row>
    <row r="1126" spans="1:10" ht="12.75">
      <c r="A1126" s="2" t="s">
        <v>50</v>
      </c>
      <c r="B1126" s="2" t="s">
        <v>1826</v>
      </c>
      <c r="C1126" s="2" t="s">
        <v>24</v>
      </c>
      <c r="D1126" s="2" t="s">
        <v>1827</v>
      </c>
      <c r="E1126" s="2" t="s">
        <v>293</v>
      </c>
      <c r="F1126" s="11">
        <v>938239</v>
      </c>
      <c r="G1126" t="s">
        <v>36</v>
      </c>
      <c r="H1126" t="s">
        <v>1990</v>
      </c>
      <c r="I1126" t="s">
        <v>1989</v>
      </c>
      <c r="J1126" s="6" t="str">
        <f>HYPERLINK("https://www.biovista.com/db/link/%5B%5B%22Disease%7CLeigh%20Syndrome%22%5D,%20%5B%22Gene%7CpoxB%22%5D%5D?strength-weight-map=%257B%2522MEDLINE_STRENGTH_AB%2522:1.0,%2522HPO%2522:100.0%257D", "Show Evidence...")</f>
        <v>Show Evidence...</v>
      </c>
    </row>
    <row r="1127" spans="1:10" ht="12.75">
      <c r="A1127" s="2" t="s">
        <v>50</v>
      </c>
      <c r="B1127" s="2" t="s">
        <v>1826</v>
      </c>
      <c r="C1127" s="2" t="s">
        <v>24</v>
      </c>
      <c r="D1127" s="2" t="s">
        <v>1827</v>
      </c>
      <c r="E1127" s="2" t="s">
        <v>293</v>
      </c>
      <c r="F1127" s="11">
        <v>1892</v>
      </c>
      <c r="G1127" t="s">
        <v>36</v>
      </c>
      <c r="H1127" t="s">
        <v>1991</v>
      </c>
      <c r="I1127" t="s">
        <v>1992</v>
      </c>
      <c r="J1127" s="6" t="str">
        <f>HYPERLINK("https://www.biovista.com/db/link/%5B%5B%22Disease%7CLeigh%20Syndrome%22%5D,%20%5B%22Gene%7CECHS1%22%5D%5D?strength-weight-map=%257B%2522MEDLINE_STRENGTH_AB%2522:1.0,%2522HPO%2522:100.0%257D", "Show Evidence...")</f>
        <v>Show Evidence...</v>
      </c>
    </row>
    <row r="1128" spans="1:10" ht="12.75">
      <c r="A1128" s="2" t="s">
        <v>50</v>
      </c>
      <c r="B1128" s="2" t="s">
        <v>1826</v>
      </c>
      <c r="C1128" s="2" t="s">
        <v>24</v>
      </c>
      <c r="D1128" s="2" t="s">
        <v>1827</v>
      </c>
      <c r="E1128" s="2" t="s">
        <v>293</v>
      </c>
      <c r="F1128" s="11">
        <v>5160</v>
      </c>
      <c r="G1128" t="s">
        <v>36</v>
      </c>
      <c r="H1128" t="s">
        <v>1993</v>
      </c>
      <c r="I1128" t="s">
        <v>1992</v>
      </c>
      <c r="J1128" s="6" t="str">
        <f>HYPERLINK("https://www.biovista.com/db/link/%5B%5B%22Disease%7CLeigh%20Syndrome%22%5D,%20%5B%22Gene%7CPDHA1%22%5D%5D?strength-weight-map=%257B%2522MEDLINE_STRENGTH_AB%2522:1.0,%2522HPO%2522:100.0%257D", "Show Evidence...")</f>
        <v>Show Evidence...</v>
      </c>
    </row>
    <row r="1129" spans="1:10" ht="12.75">
      <c r="A1129" s="2" t="s">
        <v>50</v>
      </c>
      <c r="B1129" s="2" t="s">
        <v>1826</v>
      </c>
      <c r="C1129" s="2" t="s">
        <v>24</v>
      </c>
      <c r="D1129" s="2" t="s">
        <v>1827</v>
      </c>
      <c r="E1129" s="2" t="s">
        <v>53</v>
      </c>
      <c r="F1129" s="11" t="s">
        <v>424</v>
      </c>
      <c r="G1129" t="s">
        <v>36</v>
      </c>
      <c r="H1129" t="s">
        <v>1994</v>
      </c>
      <c r="I1129" t="s">
        <v>1995</v>
      </c>
      <c r="J1129" s="6" t="str">
        <f>HYPERLINK("https://www.biovista.com/db/link/%5B%5B%22Disease%7CLeigh%20Syndrome%22%5D,%20%5B%22Gene%7CCytochrome%20oxidase%22%5D%5D?strength-weight-map=%257B%2522MEDLINE_STRENGTH_AB%2522:1.0,%2522HPO%2522:100.0%257D", "Show Evidence...")</f>
        <v>Show Evidence...</v>
      </c>
    </row>
    <row r="1130" spans="1:10" ht="12.75">
      <c r="A1130" s="2" t="s">
        <v>50</v>
      </c>
      <c r="B1130" s="2" t="s">
        <v>1826</v>
      </c>
      <c r="C1130" s="2" t="s">
        <v>24</v>
      </c>
      <c r="D1130" s="2" t="s">
        <v>1827</v>
      </c>
      <c r="E1130" s="2" t="s">
        <v>293</v>
      </c>
      <c r="F1130" s="11">
        <v>8617527</v>
      </c>
      <c r="G1130" t="s">
        <v>36</v>
      </c>
      <c r="H1130" t="s">
        <v>1996</v>
      </c>
      <c r="I1130" t="s">
        <v>1995</v>
      </c>
      <c r="J1130" s="6" t="str">
        <f>HYPERLINK("https://www.biovista.com/db/link/%5B%5B%22Disease%7CLeigh%20Syndrome%22%5D,%20%5B%22Gene%7Csuccinate%20dehydrogenase%22%5D%5D?strength-weight-map=%257B%2522MEDLINE_STRENGTH_AB%2522:1.0,%2522HPO%2522:100.0%257D", "Show Evidence...")</f>
        <v>Show Evidence...</v>
      </c>
    </row>
    <row r="1131" spans="1:10" ht="12.75">
      <c r="A1131" s="2" t="s">
        <v>50</v>
      </c>
      <c r="B1131" s="2" t="s">
        <v>1826</v>
      </c>
      <c r="C1131" s="2" t="s">
        <v>24</v>
      </c>
      <c r="D1131" s="2" t="s">
        <v>1827</v>
      </c>
      <c r="E1131" s="2" t="s">
        <v>293</v>
      </c>
      <c r="F1131" s="11">
        <v>4885</v>
      </c>
      <c r="G1131" t="s">
        <v>36</v>
      </c>
      <c r="H1131" t="s">
        <v>1997</v>
      </c>
      <c r="I1131" t="s">
        <v>1998</v>
      </c>
      <c r="J1131" s="6" t="str">
        <f>HYPERLINK("https://www.biovista.com/db/link/%5B%5B%22Disease%7CLeigh%20Syndrome%22%5D,%20%5B%22Gene%7CNARP%22%5D%5D?strength-weight-map=%257B%2522MEDLINE_STRENGTH_AB%2522:1.0,%2522HPO%2522:100.0%257D", "Show Evidence...")</f>
        <v>Show Evidence...</v>
      </c>
    </row>
    <row r="1132" spans="1:10" ht="12.75">
      <c r="A1132" s="2" t="s">
        <v>50</v>
      </c>
      <c r="B1132" s="2" t="s">
        <v>1826</v>
      </c>
      <c r="C1132" s="2" t="s">
        <v>24</v>
      </c>
      <c r="D1132" s="2" t="s">
        <v>1827</v>
      </c>
      <c r="E1132" s="2" t="s">
        <v>293</v>
      </c>
      <c r="F1132" s="11">
        <v>4541</v>
      </c>
      <c r="G1132" t="s">
        <v>36</v>
      </c>
      <c r="H1132" t="s">
        <v>1999</v>
      </c>
      <c r="I1132" t="s">
        <v>1998</v>
      </c>
      <c r="J1132" s="6" t="str">
        <f>HYPERLINK("https://www.biovista.com/db/link/%5B%5B%22Disease%7CLeigh%20Syndrome%22%5D,%20%5B%22Gene%7CND6%22%5D%5D?strength-weight-map=%257B%2522MEDLINE_STRENGTH_AB%2522:1.0,%2522HPO%2522:100.0%257D", "Show Evidence...")</f>
        <v>Show Evidence...</v>
      </c>
    </row>
    <row r="1133" spans="1:10" ht="12.75">
      <c r="A1133" s="2" t="s">
        <v>50</v>
      </c>
      <c r="B1133" s="2" t="s">
        <v>1826</v>
      </c>
      <c r="C1133" s="2" t="s">
        <v>24</v>
      </c>
      <c r="D1133" s="2" t="s">
        <v>1827</v>
      </c>
      <c r="E1133" s="2" t="s">
        <v>293</v>
      </c>
      <c r="F1133" s="11">
        <v>37617</v>
      </c>
      <c r="G1133" t="s">
        <v>36</v>
      </c>
      <c r="H1133" t="s">
        <v>2000</v>
      </c>
      <c r="I1133" t="s">
        <v>2001</v>
      </c>
      <c r="J1133" s="6" t="str">
        <f>HYPERLINK("https://www.biovista.com/db/link/%5B%5B%22Disease%7CLeigh%20Syndrome%22%5D,%20%5B%22Gene%7CATP%20synthase%22%5D%5D?strength-weight-map=%257B%2522MEDLINE_STRENGTH_AB%2522:1.0,%2522HPO%2522:100.0%257D", "Show Evidence...")</f>
        <v>Show Evidence...</v>
      </c>
    </row>
    <row r="1134" spans="1:10" ht="12.75">
      <c r="A1134" s="2" t="s">
        <v>50</v>
      </c>
      <c r="B1134" s="2" t="s">
        <v>1826</v>
      </c>
      <c r="C1134" s="2" t="s">
        <v>24</v>
      </c>
      <c r="D1134" s="2" t="s">
        <v>1827</v>
      </c>
      <c r="E1134" s="2" t="s">
        <v>293</v>
      </c>
      <c r="F1134" s="11">
        <v>80704</v>
      </c>
      <c r="G1134" t="s">
        <v>36</v>
      </c>
      <c r="H1134" t="s">
        <v>2002</v>
      </c>
      <c r="I1134" t="s">
        <v>2001</v>
      </c>
      <c r="J1134" s="6" t="str">
        <f>HYPERLINK("https://www.biovista.com/db/link/%5B%5B%22Disease%7CLeigh%20Syndrome%22%5D,%20%5B%22Gene%7CSLC19A3%22%5D%5D?strength-weight-map=%257B%2522MEDLINE_STRENGTH_AB%2522:1.0,%2522HPO%2522:100.0%257D", "Show Evidence...")</f>
        <v>Show Evidence...</v>
      </c>
    </row>
    <row r="1135" spans="1:10" ht="12.75">
      <c r="A1135" s="2" t="s">
        <v>50</v>
      </c>
      <c r="B1135" s="2" t="s">
        <v>1826</v>
      </c>
      <c r="C1135" s="2" t="s">
        <v>24</v>
      </c>
      <c r="D1135" s="2" t="s">
        <v>1827</v>
      </c>
      <c r="E1135" s="2" t="s">
        <v>53</v>
      </c>
      <c r="F1135" s="11" t="s">
        <v>2003</v>
      </c>
      <c r="G1135" t="s">
        <v>36</v>
      </c>
      <c r="H1135" t="s">
        <v>2004</v>
      </c>
      <c r="I1135" t="s">
        <v>2005</v>
      </c>
      <c r="J1135" s="6" t="str">
        <f>HYPERLINK("https://www.biovista.com/db/link/%5B%5B%22Disease%7CLeigh%20Syndrome%22%5D,%20%5B%22Gene%7CElectron%20Transport%20Complex%20II%22%5D%5D?strength-weight-map=%257B%2522MEDLINE_STRENGTH_AB%2522:1.0,%2522HPO%2522:100.0%257D", "Show Evidence...")</f>
        <v>Show Evidence...</v>
      </c>
    </row>
    <row r="1136" spans="1:10" ht="12.75">
      <c r="A1136" s="2" t="s">
        <v>50</v>
      </c>
      <c r="B1136" s="2" t="s">
        <v>1826</v>
      </c>
      <c r="C1136" s="2" t="s">
        <v>24</v>
      </c>
      <c r="D1136" s="2" t="s">
        <v>1827</v>
      </c>
      <c r="E1136" s="2" t="s">
        <v>293</v>
      </c>
      <c r="F1136" s="11">
        <v>937448</v>
      </c>
      <c r="G1136" t="s">
        <v>36</v>
      </c>
      <c r="H1136" t="s">
        <v>2006</v>
      </c>
      <c r="I1136" t="s">
        <v>2007</v>
      </c>
      <c r="J1136" s="6" t="str">
        <f>HYPERLINK("https://www.biovista.com/db/link/%5B%5B%22Disease%7CLeigh%20Syndrome%22%5D,%20%5B%22Gene%7Cenoyl-CoA%20hydratase%22%5D%5D?strength-weight-map=%257B%2522MEDLINE_STRENGTH_AB%2522:1.0,%2522HPO%2522:100.0%257D", "Show Evidence...")</f>
        <v>Show Evidence...</v>
      </c>
    </row>
    <row r="1137" spans="1:10" ht="12.75">
      <c r="A1137" s="2" t="s">
        <v>50</v>
      </c>
      <c r="B1137" s="2" t="s">
        <v>1826</v>
      </c>
      <c r="C1137" s="2" t="s">
        <v>24</v>
      </c>
      <c r="D1137" s="2" t="s">
        <v>1827</v>
      </c>
      <c r="E1137" s="2" t="s">
        <v>293</v>
      </c>
      <c r="F1137" s="11">
        <v>4537</v>
      </c>
      <c r="G1137" t="s">
        <v>36</v>
      </c>
      <c r="H1137" t="s">
        <v>2008</v>
      </c>
      <c r="I1137" t="s">
        <v>2007</v>
      </c>
      <c r="J1137" s="6" t="str">
        <f>HYPERLINK("https://www.biovista.com/db/link/%5B%5B%22Disease%7CLeigh%20Syndrome%22%5D,%20%5B%22Gene%7CND3%22%5D%5D?strength-weight-map=%257B%2522MEDLINE_STRENGTH_AB%2522:1.0,%2522HPO%2522:100.0%257D", "Show Evidence...")</f>
        <v>Show Evidence...</v>
      </c>
    </row>
    <row r="1138" spans="1:10" ht="12.75">
      <c r="A1138" s="2" t="s">
        <v>50</v>
      </c>
      <c r="B1138" s="2" t="s">
        <v>1826</v>
      </c>
      <c r="C1138" s="2" t="s">
        <v>24</v>
      </c>
      <c r="D1138" s="2" t="s">
        <v>1827</v>
      </c>
      <c r="E1138" s="2" t="s">
        <v>293</v>
      </c>
      <c r="F1138" s="11">
        <v>9997</v>
      </c>
      <c r="G1138" t="s">
        <v>36</v>
      </c>
      <c r="H1138" t="s">
        <v>2009</v>
      </c>
      <c r="I1138" t="s">
        <v>1835</v>
      </c>
      <c r="J1138" s="6" t="str">
        <f>HYPERLINK("https://www.biovista.com/db/link/%5B%5B%22Disease%7CLeigh%20Syndrome%22%5D,%20%5B%22Gene%7CSCO2%22%5D%5D?strength-weight-map=%257B%2522MEDLINE_STRENGTH_AB%2522:1.0,%2522HPO%2522:100.0%257D", "Show Evidence...")</f>
        <v>Show Evidence...</v>
      </c>
    </row>
    <row r="1139" spans="1:10" ht="12.75">
      <c r="A1139" s="2" t="s">
        <v>50</v>
      </c>
      <c r="B1139" s="2" t="s">
        <v>1826</v>
      </c>
      <c r="C1139" s="2" t="s">
        <v>24</v>
      </c>
      <c r="D1139" s="2" t="s">
        <v>1827</v>
      </c>
      <c r="E1139" s="2" t="s">
        <v>293</v>
      </c>
      <c r="F1139" s="11">
        <v>54205</v>
      </c>
      <c r="G1139" t="s">
        <v>36</v>
      </c>
      <c r="H1139" t="s">
        <v>2010</v>
      </c>
      <c r="I1139" t="s">
        <v>2011</v>
      </c>
      <c r="J1139" s="6" t="str">
        <f>HYPERLINK("https://www.biovista.com/db/link/%5B%5B%22Disease%7CLeigh%20Syndrome%22%5D,%20%5B%22Gene%7Ccytochrome%20c%22%5D%5D?strength-weight-map=%257B%2522MEDLINE_STRENGTH_AB%2522:1.0,%2522HPO%2522:100.0%257D", "Show Evidence...")</f>
        <v>Show Evidence...</v>
      </c>
    </row>
    <row r="1140" spans="1:10" ht="12.75">
      <c r="A1140" s="2" t="s">
        <v>50</v>
      </c>
      <c r="B1140" s="2" t="s">
        <v>1826</v>
      </c>
      <c r="C1140" s="2" t="s">
        <v>24</v>
      </c>
      <c r="D1140" s="2" t="s">
        <v>1827</v>
      </c>
      <c r="E1140" s="2" t="s">
        <v>293</v>
      </c>
      <c r="F1140" s="11">
        <v>93747</v>
      </c>
      <c r="G1140" t="s">
        <v>36</v>
      </c>
      <c r="H1140" t="s">
        <v>2012</v>
      </c>
      <c r="I1140" t="s">
        <v>2011</v>
      </c>
      <c r="J1140" s="6" t="str">
        <f>HYPERLINK("https://www.biovista.com/db/link/%5B%5B%22Disease%7CLeigh%20Syndrome%22%5D,%20%5B%22Gene%7CShort-chain%20enoyl-CoA%20hydratase%22%5D%5D?strength-weight-map=%257B%2522MEDLINE_STRENGTH_AB%2522:1.0,%2522HPO%2522:100.0%257D", "Show Evidence...")</f>
        <v>Show Evidence...</v>
      </c>
    </row>
    <row r="1141" spans="1:10" ht="12.75">
      <c r="A1141" s="2" t="s">
        <v>50</v>
      </c>
      <c r="B1141" s="2" t="s">
        <v>1826</v>
      </c>
      <c r="C1141" s="2" t="s">
        <v>24</v>
      </c>
      <c r="D1141" s="2" t="s">
        <v>1827</v>
      </c>
      <c r="E1141" s="2" t="s">
        <v>293</v>
      </c>
      <c r="F1141" s="11">
        <v>100275660</v>
      </c>
      <c r="G1141" t="s">
        <v>36</v>
      </c>
      <c r="H1141" t="s">
        <v>2013</v>
      </c>
      <c r="I1141" t="s">
        <v>1838</v>
      </c>
      <c r="J1141" s="6" t="str">
        <f>HYPERLINK("https://www.biovista.com/db/link/%5B%5B%22Disease%7CLeigh%20Syndrome%22%5D,%20%5B%22Gene%7Ccomplex%20I%20subunit%22%5D%5D?strength-weight-map=%257B%2522MEDLINE_STRENGTH_AB%2522:1.0,%2522HPO%2522:100.0%257D", "Show Evidence...")</f>
        <v>Show Evidence...</v>
      </c>
    </row>
    <row r="1142" spans="1:10" ht="12.75">
      <c r="A1142" s="2" t="s">
        <v>50</v>
      </c>
      <c r="B1142" s="2" t="s">
        <v>1826</v>
      </c>
      <c r="C1142" s="2" t="s">
        <v>24</v>
      </c>
      <c r="D1142" s="2" t="s">
        <v>1827</v>
      </c>
      <c r="E1142" s="2" t="s">
        <v>293</v>
      </c>
      <c r="F1142" s="11">
        <v>125316803</v>
      </c>
      <c r="G1142" t="s">
        <v>36</v>
      </c>
      <c r="H1142" t="s">
        <v>2014</v>
      </c>
      <c r="I1142" t="s">
        <v>1838</v>
      </c>
      <c r="J1142" s="6" t="str">
        <f>HYPERLINK("https://www.biovista.com/db/link/%5B%5B%22Disease%7CLeigh%20Syndrome%22%5D,%20%5B%22Gene%7CPOLG%22%5D%5D?strength-weight-map=%257B%2522MEDLINE_STRENGTH_AB%2522:1.0,%2522HPO%2522:100.0%257D", "Show Evidence...")</f>
        <v>Show Evidence...</v>
      </c>
    </row>
    <row r="1143" spans="1:10" ht="12.75">
      <c r="A1143" s="2" t="s">
        <v>50</v>
      </c>
      <c r="B1143" s="2" t="s">
        <v>1826</v>
      </c>
      <c r="C1143" s="2" t="s">
        <v>24</v>
      </c>
      <c r="D1143" s="2" t="s">
        <v>1827</v>
      </c>
      <c r="E1143" s="2" t="s">
        <v>53</v>
      </c>
      <c r="F1143" s="11" t="s">
        <v>2015</v>
      </c>
      <c r="G1143" t="s">
        <v>36</v>
      </c>
      <c r="H1143" t="s">
        <v>2016</v>
      </c>
      <c r="I1143" t="s">
        <v>1838</v>
      </c>
      <c r="J1143" s="6" t="str">
        <f>HYPERLINK("https://www.biovista.com/db/link/%5B%5B%22Disease%7CLeigh%20Syndrome%22%5D,%20%5B%22Gene%7CPyruvate%20Dehydrogenase%20(Lipoamide)%22%5D%5D?strength-weight-map=%257B%2522MEDLINE_STRENGTH_AB%2522:1.0,%2522HPO%2522:100.0%257D", "Show Evidence...")</f>
        <v>Show Evidence...</v>
      </c>
    </row>
    <row r="1144" spans="1:10" ht="12.75">
      <c r="A1144" s="2" t="s">
        <v>50</v>
      </c>
      <c r="B1144" s="2" t="s">
        <v>1826</v>
      </c>
      <c r="C1144" s="2" t="s">
        <v>24</v>
      </c>
      <c r="D1144" s="2" t="s">
        <v>1827</v>
      </c>
      <c r="E1144" s="2" t="s">
        <v>293</v>
      </c>
      <c r="F1144" s="11">
        <v>4540</v>
      </c>
      <c r="G1144" t="s">
        <v>36</v>
      </c>
      <c r="H1144" t="s">
        <v>2017</v>
      </c>
      <c r="I1144" t="s">
        <v>2018</v>
      </c>
      <c r="J1144" s="6" t="str">
        <f>HYPERLINK("https://www.biovista.com/db/link/%5B%5B%22Disease%7CLeigh%20Syndrome%22%5D,%20%5B%22Gene%7CMT-ND5%22%5D%5D?strength-weight-map=%257B%2522MEDLINE_STRENGTH_AB%2522:1.0,%2522HPO%2522:100.0%257D", "Show Evidence...")</f>
        <v>Show Evidence...</v>
      </c>
    </row>
    <row r="1145" spans="1:10" ht="12.75">
      <c r="A1145" s="2" t="s">
        <v>50</v>
      </c>
      <c r="B1145" s="2" t="s">
        <v>1826</v>
      </c>
      <c r="C1145" s="2" t="s">
        <v>24</v>
      </c>
      <c r="D1145" s="2" t="s">
        <v>1827</v>
      </c>
      <c r="E1145" s="2" t="s">
        <v>293</v>
      </c>
      <c r="F1145" s="11">
        <v>10625</v>
      </c>
      <c r="G1145" t="s">
        <v>36</v>
      </c>
      <c r="H1145" t="s">
        <v>2019</v>
      </c>
      <c r="I1145" t="s">
        <v>2018</v>
      </c>
      <c r="J1145" s="6" t="str">
        <f>HYPERLINK("https://www.biovista.com/db/link/%5B%5B%22Disease%7CLeigh%20Syndrome%22%5D,%20%5B%22Gene%7CND1%22%5D%5D?strength-weight-map=%257B%2522MEDLINE_STRENGTH_AB%2522:1.0,%2522HPO%2522:100.0%257D", "Show Evidence...")</f>
        <v>Show Evidence...</v>
      </c>
    </row>
    <row r="1146" spans="1:10" ht="12.75">
      <c r="A1146" s="2" t="s">
        <v>50</v>
      </c>
      <c r="B1146" s="2" t="s">
        <v>1826</v>
      </c>
      <c r="C1146" s="2" t="s">
        <v>24</v>
      </c>
      <c r="D1146" s="2" t="s">
        <v>1827</v>
      </c>
      <c r="E1146" s="2" t="s">
        <v>293</v>
      </c>
      <c r="F1146" s="11">
        <v>137682</v>
      </c>
      <c r="G1146" t="s">
        <v>36</v>
      </c>
      <c r="H1146" t="s">
        <v>2020</v>
      </c>
      <c r="I1146" t="s">
        <v>2018</v>
      </c>
      <c r="J1146" s="6" t="str">
        <f>HYPERLINK("https://www.biovista.com/db/link/%5B%5B%22Disease%7CLeigh%20Syndrome%22%5D,%20%5B%22Gene%7CNDUFAF6%22%5D%5D?strength-weight-map=%257B%2522MEDLINE_STRENGTH_AB%2522:1.0,%2522HPO%2522:100.0%257D", "Show Evidence...")</f>
        <v>Show Evidence...</v>
      </c>
    </row>
    <row r="1147" spans="1:10" ht="12.75">
      <c r="A1147" s="2" t="s">
        <v>50</v>
      </c>
      <c r="B1147" s="2" t="s">
        <v>1826</v>
      </c>
      <c r="C1147" s="2" t="s">
        <v>24</v>
      </c>
      <c r="D1147" s="2" t="s">
        <v>1827</v>
      </c>
      <c r="E1147" s="2" t="s">
        <v>293</v>
      </c>
      <c r="F1147" s="11">
        <v>5091</v>
      </c>
      <c r="G1147" t="s">
        <v>36</v>
      </c>
      <c r="H1147" t="s">
        <v>2021</v>
      </c>
      <c r="I1147" t="s">
        <v>2018</v>
      </c>
      <c r="J1147" s="6" t="str">
        <f>HYPERLINK("https://www.biovista.com/db/link/%5B%5B%22Disease%7CLeigh%20Syndrome%22%5D,%20%5B%22Gene%7Cpyruvate%20carboxylase%22%5D%5D?strength-weight-map=%257B%2522MEDLINE_STRENGTH_AB%2522:1.0,%2522HPO%2522:100.0%257D", "Show Evidence...")</f>
        <v>Show Evidence...</v>
      </c>
    </row>
    <row r="1148" spans="1:10" ht="12.75">
      <c r="A1148" s="2" t="s">
        <v>50</v>
      </c>
      <c r="B1148" s="2" t="s">
        <v>1826</v>
      </c>
      <c r="C1148" s="2" t="s">
        <v>24</v>
      </c>
      <c r="D1148" s="2" t="s">
        <v>1827</v>
      </c>
      <c r="E1148" s="2" t="s">
        <v>293</v>
      </c>
      <c r="F1148" s="11">
        <v>4728</v>
      </c>
      <c r="G1148" t="s">
        <v>36</v>
      </c>
      <c r="H1148" t="s">
        <v>2022</v>
      </c>
      <c r="I1148" t="s">
        <v>2023</v>
      </c>
      <c r="J1148" s="6" t="str">
        <f>HYPERLINK("https://www.biovista.com/db/link/%5B%5B%22Disease%7CLeigh%20Syndrome%22%5D,%20%5B%22Gene%7CNDUFS8%22%5D%5D?strength-weight-map=%257B%2522MEDLINE_STRENGTH_AB%2522:1.0,%2522HPO%2522:100.0%257D", "Show Evidence...")</f>
        <v>Show Evidence...</v>
      </c>
    </row>
    <row r="1149" spans="1:10" ht="12.75">
      <c r="A1149" s="2" t="s">
        <v>50</v>
      </c>
      <c r="B1149" s="2" t="s">
        <v>1826</v>
      </c>
      <c r="C1149" s="2" t="s">
        <v>24</v>
      </c>
      <c r="D1149" s="2" t="s">
        <v>1827</v>
      </c>
      <c r="E1149" s="2" t="s">
        <v>293</v>
      </c>
      <c r="F1149" s="11">
        <v>54704</v>
      </c>
      <c r="G1149" t="s">
        <v>36</v>
      </c>
      <c r="H1149" t="s">
        <v>2024</v>
      </c>
      <c r="I1149" t="s">
        <v>2023</v>
      </c>
      <c r="J1149" s="6" t="str">
        <f>HYPERLINK("https://www.biovista.com/db/link/%5B%5B%22Disease%7CLeigh%20Syndrome%22%5D,%20%5B%22Gene%7CPDH%22%5D%5D?strength-weight-map=%257B%2522MEDLINE_STRENGTH_AB%2522:1.0,%2522HPO%2522:100.0%257D", "Show Evidence...")</f>
        <v>Show Evidence...</v>
      </c>
    </row>
    <row r="1150" spans="1:10" ht="12.75">
      <c r="A1150" s="2" t="s">
        <v>50</v>
      </c>
      <c r="B1150" s="2" t="s">
        <v>1826</v>
      </c>
      <c r="C1150" s="2" t="s">
        <v>24</v>
      </c>
      <c r="D1150" s="2" t="s">
        <v>1827</v>
      </c>
      <c r="E1150" s="2" t="s">
        <v>293</v>
      </c>
      <c r="F1150" s="11">
        <v>1352</v>
      </c>
      <c r="G1150" t="s">
        <v>36</v>
      </c>
      <c r="H1150" t="s">
        <v>2025</v>
      </c>
      <c r="I1150" t="s">
        <v>1841</v>
      </c>
      <c r="J1150" s="6" t="str">
        <f>HYPERLINK("https://www.biovista.com/db/link/%5B%5B%22Disease%7CLeigh%20Syndrome%22%5D,%20%5B%22Gene%7CCOX10%22%5D%5D?strength-weight-map=%257B%2522MEDLINE_STRENGTH_AB%2522:1.0,%2522HPO%2522:100.0%257D", "Show Evidence...")</f>
        <v>Show Evidence...</v>
      </c>
    </row>
    <row r="1151" spans="1:10" ht="12.75">
      <c r="A1151" s="2" t="s">
        <v>50</v>
      </c>
      <c r="B1151" s="2" t="s">
        <v>1826</v>
      </c>
      <c r="C1151" s="2" t="s">
        <v>24</v>
      </c>
      <c r="D1151" s="2" t="s">
        <v>1827</v>
      </c>
      <c r="E1151" s="2" t="s">
        <v>293</v>
      </c>
      <c r="F1151" s="11">
        <v>4537</v>
      </c>
      <c r="G1151" t="s">
        <v>36</v>
      </c>
      <c r="H1151" t="s">
        <v>2026</v>
      </c>
      <c r="I1151" t="s">
        <v>1841</v>
      </c>
      <c r="J1151" s="6" t="str">
        <f>HYPERLINK("https://www.biovista.com/db/link/%5B%5B%22Disease%7CLeigh%20Syndrome%22%5D,%20%5B%22Gene%7CMT-ND3%22%5D%5D?strength-weight-map=%257B%2522MEDLINE_STRENGTH_AB%2522:1.0,%2522HPO%2522:100.0%257D", "Show Evidence...")</f>
        <v>Show Evidence...</v>
      </c>
    </row>
    <row r="1152" spans="1:10" ht="12.75">
      <c r="A1152" s="2" t="s">
        <v>50</v>
      </c>
      <c r="B1152" s="2" t="s">
        <v>1826</v>
      </c>
      <c r="C1152" s="2" t="s">
        <v>24</v>
      </c>
      <c r="D1152" s="2" t="s">
        <v>1827</v>
      </c>
      <c r="E1152" s="2" t="s">
        <v>293</v>
      </c>
      <c r="F1152" s="11">
        <v>43369</v>
      </c>
      <c r="G1152" t="s">
        <v>36</v>
      </c>
      <c r="H1152" t="s">
        <v>2027</v>
      </c>
      <c r="I1152" t="s">
        <v>1841</v>
      </c>
      <c r="J1152" s="6" t="str">
        <f>HYPERLINK("https://www.biovista.com/db/link/%5B%5B%22Disease%7CLeigh%20Syndrome%22%5D,%20%5B%22Gene%7CUQCR-14L%22%5D%5D?strength-weight-map=%257B%2522MEDLINE_STRENGTH_AB%2522:1.0,%2522HPO%2522:100.0%257D", "Show Evidence...")</f>
        <v>Show Evidence...</v>
      </c>
    </row>
    <row r="1153" spans="1:10" ht="12.75">
      <c r="A1153" s="2" t="s">
        <v>50</v>
      </c>
      <c r="B1153" s="2" t="s">
        <v>1826</v>
      </c>
      <c r="C1153" s="2" t="s">
        <v>24</v>
      </c>
      <c r="D1153" s="2" t="s">
        <v>1827</v>
      </c>
      <c r="E1153" s="2" t="s">
        <v>293</v>
      </c>
      <c r="F1153" s="11">
        <v>26275</v>
      </c>
      <c r="G1153" t="s">
        <v>36</v>
      </c>
      <c r="H1153" t="s">
        <v>2028</v>
      </c>
      <c r="I1153" t="s">
        <v>1844</v>
      </c>
      <c r="J1153" s="6" t="str">
        <f>HYPERLINK("https://www.biovista.com/db/link/%5B%5B%22Disease%7CLeigh%20Syndrome%22%5D,%20%5B%22Gene%7CHIBCH%22%5D%5D?strength-weight-map=%257B%2522MEDLINE_STRENGTH_AB%2522:1.0,%2522HPO%2522:100.0%257D", "Show Evidence...")</f>
        <v>Show Evidence...</v>
      </c>
    </row>
    <row r="1154" spans="1:10" ht="12.75">
      <c r="A1154" s="2" t="s">
        <v>50</v>
      </c>
      <c r="B1154" s="2" t="s">
        <v>1826</v>
      </c>
      <c r="C1154" s="2" t="s">
        <v>24</v>
      </c>
      <c r="D1154" s="2" t="s">
        <v>1827</v>
      </c>
      <c r="E1154" s="2" t="s">
        <v>293</v>
      </c>
      <c r="F1154" s="11">
        <v>123263</v>
      </c>
      <c r="G1154" t="s">
        <v>36</v>
      </c>
      <c r="H1154" t="s">
        <v>2029</v>
      </c>
      <c r="I1154" t="s">
        <v>1844</v>
      </c>
      <c r="J1154" s="6" t="str">
        <f>HYPERLINK("https://www.biovista.com/db/link/%5B%5B%22Disease%7CLeigh%20Syndrome%22%5D,%20%5B%22Gene%7CMTFMT%22%5D%5D?strength-weight-map=%257B%2522MEDLINE_STRENGTH_AB%2522:1.0,%2522HPO%2522:100.0%257D", "Show Evidence...")</f>
        <v>Show Evidence...</v>
      </c>
    </row>
    <row r="1155" spans="1:10" ht="12.75">
      <c r="A1155" s="2" t="s">
        <v>50</v>
      </c>
      <c r="B1155" s="2" t="s">
        <v>1826</v>
      </c>
      <c r="C1155" s="2" t="s">
        <v>24</v>
      </c>
      <c r="D1155" s="2" t="s">
        <v>1827</v>
      </c>
      <c r="E1155" s="2" t="s">
        <v>293</v>
      </c>
      <c r="F1155" s="11">
        <v>4719</v>
      </c>
      <c r="G1155" t="s">
        <v>36</v>
      </c>
      <c r="H1155" t="s">
        <v>2030</v>
      </c>
      <c r="I1155" t="s">
        <v>1844</v>
      </c>
      <c r="J1155" s="6" t="str">
        <f>HYPERLINK("https://www.biovista.com/db/link/%5B%5B%22Disease%7CLeigh%20Syndrome%22%5D,%20%5B%22Gene%7CNDUFS1%22%5D%5D?strength-weight-map=%257B%2522MEDLINE_STRENGTH_AB%2522:1.0,%2522HPO%2522:100.0%257D", "Show Evidence...")</f>
        <v>Show Evidence...</v>
      </c>
    </row>
    <row r="1156" spans="1:10" ht="12.75">
      <c r="A1156" s="2" t="s">
        <v>50</v>
      </c>
      <c r="B1156" s="2" t="s">
        <v>1826</v>
      </c>
      <c r="C1156" s="2" t="s">
        <v>24</v>
      </c>
      <c r="D1156" s="2" t="s">
        <v>1827</v>
      </c>
      <c r="E1156" s="2" t="s">
        <v>293</v>
      </c>
      <c r="F1156" s="11">
        <v>4508</v>
      </c>
      <c r="G1156" t="s">
        <v>36</v>
      </c>
      <c r="H1156" t="s">
        <v>2031</v>
      </c>
      <c r="I1156" t="s">
        <v>1845</v>
      </c>
      <c r="J1156" s="6" t="str">
        <f>HYPERLINK("https://www.biovista.com/db/link/%5B%5B%22Disease%7CLeigh%20Syndrome%22%5D,%20%5B%22Gene%7CMTATP6%22%5D%5D?strength-weight-map=%257B%2522MEDLINE_STRENGTH_AB%2522:1.0,%2522HPO%2522:100.0%257D", "Show Evidence...")</f>
        <v>Show Evidence...</v>
      </c>
    </row>
    <row r="1157" spans="1:10" ht="12.75">
      <c r="A1157" s="2" t="s">
        <v>50</v>
      </c>
      <c r="B1157" s="2" t="s">
        <v>1826</v>
      </c>
      <c r="C1157" s="2" t="s">
        <v>24</v>
      </c>
      <c r="D1157" s="2" t="s">
        <v>1827</v>
      </c>
      <c r="E1157" s="2" t="s">
        <v>293</v>
      </c>
      <c r="F1157" s="11">
        <v>374291</v>
      </c>
      <c r="G1157" t="s">
        <v>36</v>
      </c>
      <c r="H1157" t="s">
        <v>2032</v>
      </c>
      <c r="I1157" t="s">
        <v>1845</v>
      </c>
      <c r="J1157" s="6" t="str">
        <f>HYPERLINK("https://www.biovista.com/db/link/%5B%5B%22Disease%7CLeigh%20Syndrome%22%5D,%20%5B%22Gene%7CNDUFS7%22%5D%5D?strength-weight-map=%257B%2522MEDLINE_STRENGTH_AB%2522:1.0,%2522HPO%2522:100.0%257D", "Show Evidence...")</f>
        <v>Show Evidence...</v>
      </c>
    </row>
    <row r="1158" spans="1:10" ht="12.75">
      <c r="A1158" s="2" t="s">
        <v>50</v>
      </c>
      <c r="B1158" s="2" t="s">
        <v>1826</v>
      </c>
      <c r="C1158" s="2" t="s">
        <v>24</v>
      </c>
      <c r="D1158" s="2" t="s">
        <v>1827</v>
      </c>
      <c r="E1158" s="2" t="s">
        <v>53</v>
      </c>
      <c r="F1158" s="11" t="s">
        <v>2033</v>
      </c>
      <c r="G1158" t="s">
        <v>36</v>
      </c>
      <c r="H1158" t="s">
        <v>2034</v>
      </c>
      <c r="I1158" t="s">
        <v>1848</v>
      </c>
      <c r="J1158" s="6" t="str">
        <f>HYPERLINK("https://www.biovista.com/db/link/%5B%5B%22Disease%7CLeigh%20Syndrome%22%5D,%20%5B%22Gene%7Cinner%20membrane%20protein,%20E%20coli%22%5D%5D?strength-weight-map=%257B%2522MEDLINE_STRENGTH_AB%2522:1.0,%2522HPO%2522:100.0%257D", "Show Evidence...")</f>
        <v>Show Evidence...</v>
      </c>
    </row>
    <row r="1159" spans="1:10" ht="12.75">
      <c r="A1159" s="2" t="s">
        <v>50</v>
      </c>
      <c r="B1159" s="2" t="s">
        <v>1826</v>
      </c>
      <c r="C1159" s="2" t="s">
        <v>24</v>
      </c>
      <c r="D1159" s="2" t="s">
        <v>1827</v>
      </c>
      <c r="E1159" s="2" t="s">
        <v>293</v>
      </c>
      <c r="F1159" s="11">
        <v>79133</v>
      </c>
      <c r="G1159" t="s">
        <v>36</v>
      </c>
      <c r="H1159" t="s">
        <v>2035</v>
      </c>
      <c r="I1159" t="s">
        <v>1848</v>
      </c>
      <c r="J1159" s="6" t="str">
        <f>HYPERLINK("https://www.biovista.com/db/link/%5B%5B%22Disease%7CLeigh%20Syndrome%22%5D,%20%5B%22Gene%7CNDUFAF5%22%5D%5D?strength-weight-map=%257B%2522MEDLINE_STRENGTH_AB%2522:1.0,%2522HPO%2522:100.0%257D", "Show Evidence...")</f>
        <v>Show Evidence...</v>
      </c>
    </row>
    <row r="1160" spans="1:10" ht="12.75">
      <c r="A1160" s="2" t="s">
        <v>50</v>
      </c>
      <c r="B1160" s="2" t="s">
        <v>1826</v>
      </c>
      <c r="C1160" s="2" t="s">
        <v>24</v>
      </c>
      <c r="D1160" s="2" t="s">
        <v>1827</v>
      </c>
      <c r="E1160" s="2" t="s">
        <v>293</v>
      </c>
      <c r="F1160" s="11">
        <v>4508</v>
      </c>
      <c r="G1160" t="s">
        <v>36</v>
      </c>
      <c r="H1160" t="s">
        <v>2036</v>
      </c>
      <c r="I1160" t="s">
        <v>2037</v>
      </c>
      <c r="J1160" s="6" t="str">
        <f>HYPERLINK("https://www.biovista.com/db/link/%5B%5B%22Disease%7CLeigh%20Syndrome%22%5D,%20%5B%22Gene%7CATPase6%22%5D%5D?strength-weight-map=%257B%2522MEDLINE_STRENGTH_AB%2522:1.0,%2522HPO%2522:100.0%257D", "Show Evidence...")</f>
        <v>Show Evidence...</v>
      </c>
    </row>
    <row r="1161" spans="1:10" ht="12.75">
      <c r="A1161" s="2" t="s">
        <v>50</v>
      </c>
      <c r="B1161" s="2" t="s">
        <v>1826</v>
      </c>
      <c r="C1161" s="2" t="s">
        <v>24</v>
      </c>
      <c r="D1161" s="2" t="s">
        <v>1827</v>
      </c>
      <c r="E1161" s="2" t="s">
        <v>53</v>
      </c>
      <c r="F1161" s="11" t="s">
        <v>2038</v>
      </c>
      <c r="G1161" t="s">
        <v>36</v>
      </c>
      <c r="H1161" t="s">
        <v>2039</v>
      </c>
      <c r="I1161" t="s">
        <v>2037</v>
      </c>
      <c r="J1161" s="6" t="str">
        <f>HYPERLINK("https://www.biovista.com/db/link/%5B%5B%22Disease%7CLeigh%20Syndrome%22%5D,%20%5B%22Gene%7CElectron%20Transport%20Complex%20III%22%5D%5D?strength-weight-map=%257B%2522MEDLINE_STRENGTH_AB%2522:1.0,%2522HPO%2522:100.0%257D", "Show Evidence...")</f>
        <v>Show Evidence...</v>
      </c>
    </row>
    <row r="1162" spans="1:10" ht="12.75">
      <c r="A1162" s="2" t="s">
        <v>50</v>
      </c>
      <c r="B1162" s="2" t="s">
        <v>1826</v>
      </c>
      <c r="C1162" s="2" t="s">
        <v>24</v>
      </c>
      <c r="D1162" s="2" t="s">
        <v>1827</v>
      </c>
      <c r="E1162" s="2" t="s">
        <v>293</v>
      </c>
      <c r="F1162" s="11">
        <v>4535</v>
      </c>
      <c r="G1162" t="s">
        <v>36</v>
      </c>
      <c r="H1162" t="s">
        <v>2040</v>
      </c>
      <c r="I1162" t="s">
        <v>2037</v>
      </c>
      <c r="J1162" s="6" t="str">
        <f>HYPERLINK("https://www.biovista.com/db/link/%5B%5B%22Disease%7CLeigh%20Syndrome%22%5D,%20%5B%22Gene%7CMT-ND1%22%5D%5D?strength-weight-map=%257B%2522MEDLINE_STRENGTH_AB%2522:1.0,%2522HPO%2522:100.0%257D", "Show Evidence...")</f>
        <v>Show Evidence...</v>
      </c>
    </row>
    <row r="1163" spans="1:10" ht="12.75">
      <c r="A1163" s="2" t="s">
        <v>50</v>
      </c>
      <c r="B1163" s="2" t="s">
        <v>1826</v>
      </c>
      <c r="C1163" s="2" t="s">
        <v>24</v>
      </c>
      <c r="D1163" s="2" t="s">
        <v>1827</v>
      </c>
      <c r="E1163" s="2" t="s">
        <v>293</v>
      </c>
      <c r="F1163" s="11">
        <v>4541</v>
      </c>
      <c r="G1163" t="s">
        <v>36</v>
      </c>
      <c r="H1163" t="s">
        <v>2041</v>
      </c>
      <c r="I1163" t="s">
        <v>2037</v>
      </c>
      <c r="J1163" s="6" t="str">
        <f>HYPERLINK("https://www.biovista.com/db/link/%5B%5B%22Disease%7CLeigh%20Syndrome%22%5D,%20%5B%22Gene%7CMT-ND6%22%5D%5D?strength-weight-map=%257B%2522MEDLINE_STRENGTH_AB%2522:1.0,%2522HPO%2522:100.0%257D", "Show Evidence...")</f>
        <v>Show Evidence...</v>
      </c>
    </row>
    <row r="1164" spans="1:10" ht="12.75">
      <c r="A1164" s="2" t="s">
        <v>50</v>
      </c>
      <c r="B1164" s="2" t="s">
        <v>1826</v>
      </c>
      <c r="C1164" s="2" t="s">
        <v>24</v>
      </c>
      <c r="D1164" s="2" t="s">
        <v>1827</v>
      </c>
      <c r="E1164" s="2" t="s">
        <v>293</v>
      </c>
      <c r="F1164" s="11">
        <v>4538</v>
      </c>
      <c r="G1164" t="s">
        <v>36</v>
      </c>
      <c r="H1164" t="s">
        <v>2042</v>
      </c>
      <c r="I1164" t="s">
        <v>2037</v>
      </c>
      <c r="J1164" s="6" t="str">
        <f>HYPERLINK("https://www.biovista.com/db/link/%5B%5B%22Disease%7CLeigh%20Syndrome%22%5D,%20%5B%22Gene%7CND4%22%5D%5D?strength-weight-map=%257B%2522MEDLINE_STRENGTH_AB%2522:1.0,%2522HPO%2522:100.0%257D", "Show Evidence...")</f>
        <v>Show Evidence...</v>
      </c>
    </row>
    <row r="1165" spans="1:10" ht="12.75">
      <c r="A1165" s="2" t="s">
        <v>50</v>
      </c>
      <c r="B1165" s="2" t="s">
        <v>1826</v>
      </c>
      <c r="C1165" s="2" t="s">
        <v>24</v>
      </c>
      <c r="D1165" s="2" t="s">
        <v>1827</v>
      </c>
      <c r="E1165" s="2" t="s">
        <v>293</v>
      </c>
      <c r="F1165" s="11">
        <v>10993</v>
      </c>
      <c r="G1165" t="s">
        <v>36</v>
      </c>
      <c r="H1165" t="s">
        <v>2043</v>
      </c>
      <c r="I1165" t="s">
        <v>2037</v>
      </c>
      <c r="J1165" s="6" t="str">
        <f>HYPERLINK("https://www.biovista.com/db/link/%5B%5B%22Disease%7CLeigh%20Syndrome%22%5D,%20%5B%22Gene%7CSDH%22%5D%5D?strength-weight-map=%257B%2522MEDLINE_STRENGTH_AB%2522:1.0,%2522HPO%2522:100.0%257D", "Show Evidence...")</f>
        <v>Show Evidence...</v>
      </c>
    </row>
    <row r="1166" spans="1:10" ht="12.75">
      <c r="A1166" s="2" t="s">
        <v>50</v>
      </c>
      <c r="B1166" s="2" t="s">
        <v>1826</v>
      </c>
      <c r="C1166" s="2" t="s">
        <v>24</v>
      </c>
      <c r="D1166" s="2" t="s">
        <v>1827</v>
      </c>
      <c r="E1166" s="2" t="s">
        <v>293</v>
      </c>
      <c r="F1166" s="11">
        <v>1738</v>
      </c>
      <c r="G1166" t="s">
        <v>36</v>
      </c>
      <c r="H1166" t="s">
        <v>2044</v>
      </c>
      <c r="I1166" t="s">
        <v>2045</v>
      </c>
      <c r="J1166" s="6" t="str">
        <f>HYPERLINK("https://www.biovista.com/db/link/%5B%5B%22Disease%7CLeigh%20Syndrome%22%5D,%20%5B%22Gene%7Cdihydrolipoamide%20dehydrogenase%22%5D%5D?strength-weight-map=%257B%2522MEDLINE_STRENGTH_AB%2522:1.0,%2522HPO%2522:100.0%257D", "Show Evidence...")</f>
        <v>Show Evidence...</v>
      </c>
    </row>
    <row r="1167" spans="1:10" ht="12.75">
      <c r="A1167" s="2" t="s">
        <v>50</v>
      </c>
      <c r="B1167" s="2" t="s">
        <v>1826</v>
      </c>
      <c r="C1167" s="2" t="s">
        <v>24</v>
      </c>
      <c r="D1167" s="2" t="s">
        <v>1827</v>
      </c>
      <c r="E1167" s="2" t="s">
        <v>293</v>
      </c>
      <c r="F1167" s="11">
        <v>1738</v>
      </c>
      <c r="G1167" t="s">
        <v>36</v>
      </c>
      <c r="H1167" t="s">
        <v>2046</v>
      </c>
      <c r="I1167" t="s">
        <v>2045</v>
      </c>
      <c r="J1167" s="6" t="str">
        <f>HYPERLINK("https://www.biovista.com/db/link/%5B%5B%22Disease%7CLeigh%20Syndrome%22%5D,%20%5B%22Gene%7CE3%22%5D%5D?strength-weight-map=%257B%2522MEDLINE_STRENGTH_AB%2522:1.0,%2522HPO%2522:100.0%257D", "Show Evidence...")</f>
        <v>Show Evidence...</v>
      </c>
    </row>
    <row r="1168" spans="1:10" ht="12.75">
      <c r="A1168" s="2" t="s">
        <v>50</v>
      </c>
      <c r="B1168" s="2" t="s">
        <v>1826</v>
      </c>
      <c r="C1168" s="2" t="s">
        <v>24</v>
      </c>
      <c r="D1168" s="2" t="s">
        <v>1827</v>
      </c>
      <c r="E1168" s="2" t="s">
        <v>293</v>
      </c>
      <c r="F1168" s="11">
        <v>55699</v>
      </c>
      <c r="G1168" t="s">
        <v>36</v>
      </c>
      <c r="H1168" t="s">
        <v>2047</v>
      </c>
      <c r="I1168" t="s">
        <v>2045</v>
      </c>
      <c r="J1168" s="6" t="str">
        <f>HYPERLINK("https://www.biovista.com/db/link/%5B%5B%22Disease%7CLeigh%20Syndrome%22%5D,%20%5B%22Gene%7CIARS2%22%5D%5D?strength-weight-map=%257B%2522MEDLINE_STRENGTH_AB%2522:1.0,%2522HPO%2522:100.0%257D", "Show Evidence...")</f>
        <v>Show Evidence...</v>
      </c>
    </row>
    <row r="1169" spans="1:10" ht="12.75">
      <c r="A1169" s="2" t="s">
        <v>50</v>
      </c>
      <c r="B1169" s="2" t="s">
        <v>1826</v>
      </c>
      <c r="C1169" s="2" t="s">
        <v>24</v>
      </c>
      <c r="D1169" s="2" t="s">
        <v>1827</v>
      </c>
      <c r="E1169" s="2" t="s">
        <v>293</v>
      </c>
      <c r="F1169" s="11">
        <v>148398</v>
      </c>
      <c r="G1169" t="s">
        <v>36</v>
      </c>
      <c r="H1169" t="s">
        <v>2048</v>
      </c>
      <c r="I1169" t="s">
        <v>2045</v>
      </c>
      <c r="J1169" s="6" t="str">
        <f>HYPERLINK("https://www.biovista.com/db/link/%5B%5B%22Disease%7CLeigh%20Syndrome%22%5D,%20%5B%22Gene%7CMRS%22%5D%5D?strength-weight-map=%257B%2522MEDLINE_STRENGTH_AB%2522:1.0,%2522HPO%2522:100.0%257D", "Show Evidence...")</f>
        <v>Show Evidence...</v>
      </c>
    </row>
    <row r="1170" spans="1:10" ht="12.75">
      <c r="A1170" s="2" t="s">
        <v>50</v>
      </c>
      <c r="B1170" s="2" t="s">
        <v>1826</v>
      </c>
      <c r="C1170" s="2" t="s">
        <v>24</v>
      </c>
      <c r="D1170" s="2" t="s">
        <v>1827</v>
      </c>
      <c r="E1170" s="2" t="s">
        <v>293</v>
      </c>
      <c r="F1170" s="11">
        <v>18104</v>
      </c>
      <c r="G1170" t="s">
        <v>36</v>
      </c>
      <c r="H1170" t="s">
        <v>2049</v>
      </c>
      <c r="I1170" t="s">
        <v>2045</v>
      </c>
      <c r="J1170" s="6" t="str">
        <f>HYPERLINK("https://www.biovista.com/db/link/%5B%5B%22Disease%7CLeigh%20Syndrome%22%5D,%20%5B%22Gene%7CNAD(P)H%20dehydrogenase%20(quinone)%22%5D%5D?strength-weight-map=%257B%2522MEDLINE_STRENGTH_AB%2522:1.0,%2522HPO%2522:100.0%257D", "Show Evidence...")</f>
        <v>Show Evidence...</v>
      </c>
    </row>
    <row r="1171" spans="1:10" ht="12.75">
      <c r="A1171" s="2" t="s">
        <v>50</v>
      </c>
      <c r="B1171" s="2" t="s">
        <v>1826</v>
      </c>
      <c r="C1171" s="2" t="s">
        <v>24</v>
      </c>
      <c r="D1171" s="2" t="s">
        <v>1827</v>
      </c>
      <c r="E1171" s="2" t="s">
        <v>293</v>
      </c>
      <c r="F1171" s="11">
        <v>25953</v>
      </c>
      <c r="G1171" t="s">
        <v>36</v>
      </c>
      <c r="H1171" t="s">
        <v>2050</v>
      </c>
      <c r="I1171" t="s">
        <v>2045</v>
      </c>
      <c r="J1171" s="6" t="str">
        <f>HYPERLINK("https://www.biovista.com/db/link/%5B%5B%22Disease%7CLeigh%20Syndrome%22%5D,%20%5B%22Gene%7CPDC%22%5D%5D?strength-weight-map=%257B%2522MEDLINE_STRENGTH_AB%2522:1.0,%2522HPO%2522:100.0%257D", "Show Evidence...")</f>
        <v>Show Evidence...</v>
      </c>
    </row>
    <row r="1172" spans="1:10" ht="12.75">
      <c r="A1172" s="2" t="s">
        <v>50</v>
      </c>
      <c r="B1172" s="2" t="s">
        <v>1826</v>
      </c>
      <c r="C1172" s="2" t="s">
        <v>24</v>
      </c>
      <c r="D1172" s="2" t="s">
        <v>1827</v>
      </c>
      <c r="E1172" s="2" t="s">
        <v>293</v>
      </c>
      <c r="F1172" s="11">
        <v>6389</v>
      </c>
      <c r="G1172" t="s">
        <v>36</v>
      </c>
      <c r="H1172" t="s">
        <v>2051</v>
      </c>
      <c r="I1172" t="s">
        <v>2045</v>
      </c>
      <c r="J1172" s="6" t="str">
        <f>HYPERLINK("https://www.biovista.com/db/link/%5B%5B%22Disease%7CLeigh%20Syndrome%22%5D,%20%5B%22Gene%7CSDHA%22%5D%5D?strength-weight-map=%257B%2522MEDLINE_STRENGTH_AB%2522:1.0,%2522HPO%2522:100.0%257D", "Show Evidence...")</f>
        <v>Show Evidence...</v>
      </c>
    </row>
    <row r="1173" spans="1:10" ht="12.75">
      <c r="A1173" s="2" t="s">
        <v>50</v>
      </c>
      <c r="B1173" s="2" t="s">
        <v>1826</v>
      </c>
      <c r="C1173" s="2" t="s">
        <v>24</v>
      </c>
      <c r="D1173" s="2" t="s">
        <v>1827</v>
      </c>
      <c r="E1173" s="2" t="s">
        <v>293</v>
      </c>
      <c r="F1173" s="11">
        <v>282199</v>
      </c>
      <c r="G1173" t="s">
        <v>36</v>
      </c>
      <c r="H1173" t="s">
        <v>2052</v>
      </c>
      <c r="I1173" t="s">
        <v>1849</v>
      </c>
      <c r="J1173" s="6" t="str">
        <f>HYPERLINK("https://www.biovista.com/db/link/%5B%5B%22Disease%7CLeigh%20Syndrome%22%5D,%20%5B%22Gene%7Ccytochrome-c%20oxidase%22%5D%5D?strength-weight-map=%257B%2522MEDLINE_STRENGTH_AB%2522:1.0,%2522HPO%2522:100.0%257D", "Show Evidence...")</f>
        <v>Show Evidence...</v>
      </c>
    </row>
    <row r="1174" spans="1:10" ht="12.75">
      <c r="A1174" s="2" t="s">
        <v>50</v>
      </c>
      <c r="B1174" s="2" t="s">
        <v>1826</v>
      </c>
      <c r="C1174" s="2" t="s">
        <v>24</v>
      </c>
      <c r="D1174" s="2" t="s">
        <v>1827</v>
      </c>
      <c r="E1174" s="2" t="s">
        <v>293</v>
      </c>
      <c r="F1174" s="11">
        <v>34792</v>
      </c>
      <c r="G1174" t="s">
        <v>36</v>
      </c>
      <c r="H1174" t="s">
        <v>2053</v>
      </c>
      <c r="I1174" t="s">
        <v>1849</v>
      </c>
      <c r="J1174" s="6" t="str">
        <f>HYPERLINK("https://www.biovista.com/db/link/%5B%5B%22Disease%7CLeigh%20Syndrome%22%5D,%20%5B%22Gene%7CDNA%20polymerase%20gamma%22%5D%5D?strength-weight-map=%257B%2522MEDLINE_STRENGTH_AB%2522:1.0,%2522HPO%2522:100.0%257D", "Show Evidence...")</f>
        <v>Show Evidence...</v>
      </c>
    </row>
    <row r="1175" spans="1:10" ht="12.75">
      <c r="A1175" s="2" t="s">
        <v>50</v>
      </c>
      <c r="B1175" s="2" t="s">
        <v>1826</v>
      </c>
      <c r="C1175" s="2" t="s">
        <v>24</v>
      </c>
      <c r="D1175" s="2" t="s">
        <v>1827</v>
      </c>
      <c r="E1175" s="2" t="s">
        <v>293</v>
      </c>
      <c r="F1175" s="11">
        <v>844375</v>
      </c>
      <c r="G1175" t="s">
        <v>36</v>
      </c>
      <c r="H1175" t="s">
        <v>2054</v>
      </c>
      <c r="I1175" t="s">
        <v>1849</v>
      </c>
      <c r="J1175" s="6" t="str">
        <f>HYPERLINK("https://www.biovista.com/db/link/%5B%5B%22Disease%7CLeigh%20Syndrome%22%5D,%20%5B%22Gene%7CERH3%22%5D%5D?strength-weight-map=%257B%2522MEDLINE_STRENGTH_AB%2522:1.0,%2522HPO%2522:100.0%257D", "Show Evidence...")</f>
        <v>Show Evidence...</v>
      </c>
    </row>
    <row r="1176" spans="1:10" ht="12.75">
      <c r="A1176" s="2" t="s">
        <v>50</v>
      </c>
      <c r="B1176" s="2" t="s">
        <v>1826</v>
      </c>
      <c r="C1176" s="2" t="s">
        <v>24</v>
      </c>
      <c r="D1176" s="2" t="s">
        <v>1827</v>
      </c>
      <c r="E1176" s="2" t="s">
        <v>293</v>
      </c>
      <c r="F1176" s="11">
        <v>2395</v>
      </c>
      <c r="G1176" t="s">
        <v>36</v>
      </c>
      <c r="H1176" t="s">
        <v>2055</v>
      </c>
      <c r="I1176" t="s">
        <v>1849</v>
      </c>
      <c r="J1176" s="6" t="str">
        <f>HYPERLINK("https://www.biovista.com/db/link/%5B%5B%22Disease%7CLeigh%20Syndrome%22%5D,%20%5B%22Gene%7CFXN%22%5D%5D?strength-weight-map=%257B%2522MEDLINE_STRENGTH_AB%2522:1.0,%2522HPO%2522:100.0%257D", "Show Evidence...")</f>
        <v>Show Evidence...</v>
      </c>
    </row>
    <row r="1177" spans="1:10" ht="12.75">
      <c r="A1177" s="2" t="s">
        <v>50</v>
      </c>
      <c r="B1177" s="2" t="s">
        <v>1826</v>
      </c>
      <c r="C1177" s="2" t="s">
        <v>24</v>
      </c>
      <c r="D1177" s="2" t="s">
        <v>1827</v>
      </c>
      <c r="E1177" s="2" t="s">
        <v>293</v>
      </c>
      <c r="F1177" s="11">
        <v>4328196</v>
      </c>
      <c r="G1177" t="s">
        <v>36</v>
      </c>
      <c r="H1177" t="s">
        <v>2056</v>
      </c>
      <c r="I1177" t="s">
        <v>1849</v>
      </c>
      <c r="J1177" s="6" t="str">
        <f>HYPERLINK("https://www.biovista.com/db/link/%5B%5B%22Disease%7CLeigh%20Syndrome%22%5D,%20%5B%22Gene%7Cmitochondrial%20ATP%20synthase%22%5D%5D?strength-weight-map=%257B%2522MEDLINE_STRENGTH_AB%2522:1.0,%2522HPO%2522:100.0%257D", "Show Evidence...")</f>
        <v>Show Evidence...</v>
      </c>
    </row>
    <row r="1178" spans="1:10" ht="12.75">
      <c r="A1178" s="2" t="s">
        <v>50</v>
      </c>
      <c r="B1178" s="2" t="s">
        <v>1826</v>
      </c>
      <c r="C1178" s="2" t="s">
        <v>24</v>
      </c>
      <c r="D1178" s="2" t="s">
        <v>1827</v>
      </c>
      <c r="E1178" s="2" t="s">
        <v>293</v>
      </c>
      <c r="F1178" s="11">
        <v>55967</v>
      </c>
      <c r="G1178" t="s">
        <v>36</v>
      </c>
      <c r="H1178" t="s">
        <v>2057</v>
      </c>
      <c r="I1178" t="s">
        <v>1849</v>
      </c>
      <c r="J1178" s="6" t="str">
        <f>HYPERLINK("https://www.biovista.com/db/link/%5B%5B%22Disease%7CLeigh%20Syndrome%22%5D,%20%5B%22Gene%7CNDUFA12%22%5D%5D?strength-weight-map=%257B%2522MEDLINE_STRENGTH_AB%2522:1.0,%2522HPO%2522:100.0%257D", "Show Evidence...")</f>
        <v>Show Evidence...</v>
      </c>
    </row>
    <row r="1179" spans="1:10" ht="12.75">
      <c r="A1179" s="2" t="s">
        <v>50</v>
      </c>
      <c r="B1179" s="2" t="s">
        <v>1826</v>
      </c>
      <c r="C1179" s="2" t="s">
        <v>24</v>
      </c>
      <c r="D1179" s="2" t="s">
        <v>1827</v>
      </c>
      <c r="E1179" s="2" t="s">
        <v>293</v>
      </c>
      <c r="F1179" s="11">
        <v>91942</v>
      </c>
      <c r="G1179" t="s">
        <v>36</v>
      </c>
      <c r="H1179" t="s">
        <v>2058</v>
      </c>
      <c r="I1179" t="s">
        <v>1849</v>
      </c>
      <c r="J1179" s="6" t="str">
        <f>HYPERLINK("https://www.biovista.com/db/link/%5B%5B%22Disease%7CLeigh%20Syndrome%22%5D,%20%5B%22Gene%7CNDUFAF2%22%5D%5D?strength-weight-map=%257B%2522MEDLINE_STRENGTH_AB%2522:1.0,%2522HPO%2522:100.0%257D", "Show Evidence...")</f>
        <v>Show Evidence...</v>
      </c>
    </row>
    <row r="1180" spans="1:10" ht="12.75">
      <c r="A1180" s="2" t="s">
        <v>50</v>
      </c>
      <c r="B1180" s="2" t="s">
        <v>1826</v>
      </c>
      <c r="C1180" s="2" t="s">
        <v>24</v>
      </c>
      <c r="D1180" s="2" t="s">
        <v>1827</v>
      </c>
      <c r="E1180" s="2" t="s">
        <v>293</v>
      </c>
      <c r="F1180" s="11">
        <v>4720</v>
      </c>
      <c r="G1180" t="s">
        <v>36</v>
      </c>
      <c r="H1180" t="s">
        <v>2059</v>
      </c>
      <c r="I1180" t="s">
        <v>1849</v>
      </c>
      <c r="J1180" s="6" t="str">
        <f>HYPERLINK("https://www.biovista.com/db/link/%5B%5B%22Disease%7CLeigh%20Syndrome%22%5D,%20%5B%22Gene%7CNDUFS2%22%5D%5D?strength-weight-map=%257B%2522MEDLINE_STRENGTH_AB%2522:1.0,%2522HPO%2522:100.0%257D", "Show Evidence...")</f>
        <v>Show Evidence...</v>
      </c>
    </row>
    <row r="1181" spans="1:10" ht="12.75">
      <c r="A1181" s="2" t="s">
        <v>50</v>
      </c>
      <c r="B1181" s="2" t="s">
        <v>1826</v>
      </c>
      <c r="C1181" s="2" t="s">
        <v>24</v>
      </c>
      <c r="D1181" s="2" t="s">
        <v>1827</v>
      </c>
      <c r="E1181" s="2" t="s">
        <v>293</v>
      </c>
      <c r="F1181" s="11">
        <v>732791</v>
      </c>
      <c r="G1181" t="s">
        <v>36</v>
      </c>
      <c r="H1181" t="s">
        <v>2060</v>
      </c>
      <c r="I1181" t="s">
        <v>2061</v>
      </c>
      <c r="J1181" s="6" t="str">
        <f>HYPERLINK("https://www.biovista.com/db/link/%5B%5B%22Disease%7CLeigh%20Syndrome%22%5D,%20%5B%22Gene%7CE1%20alpha%22%5D%5D?strength-weight-map=%257B%2522MEDLINE_STRENGTH_AB%2522:1.0,%2522HPO%2522:100.0%257D", "Show Evidence...")</f>
        <v>Show Evidence...</v>
      </c>
    </row>
    <row r="1182" spans="1:10" ht="12.75">
      <c r="A1182" s="2" t="s">
        <v>50</v>
      </c>
      <c r="B1182" s="2" t="s">
        <v>1826</v>
      </c>
      <c r="C1182" s="2" t="s">
        <v>24</v>
      </c>
      <c r="D1182" s="2" t="s">
        <v>1827</v>
      </c>
      <c r="E1182" s="2" t="s">
        <v>293</v>
      </c>
      <c r="F1182" s="11">
        <v>2475</v>
      </c>
      <c r="G1182" t="s">
        <v>36</v>
      </c>
      <c r="H1182" t="s">
        <v>2062</v>
      </c>
      <c r="I1182" t="s">
        <v>2061</v>
      </c>
      <c r="J1182" s="6" t="str">
        <f>HYPERLINK("https://www.biovista.com/db/link/%5B%5B%22Disease%7CLeigh%20Syndrome%22%5D,%20%5B%22Gene%7CMTOR%22%5D%5D?strength-weight-map=%257B%2522MEDLINE_STRENGTH_AB%2522:1.0,%2522HPO%2522:100.0%257D", "Show Evidence...")</f>
        <v>Show Evidence...</v>
      </c>
    </row>
    <row r="1183" spans="1:10" ht="12.75">
      <c r="A1183" s="2" t="s">
        <v>50</v>
      </c>
      <c r="B1183" s="2" t="s">
        <v>1826</v>
      </c>
      <c r="C1183" s="2" t="s">
        <v>24</v>
      </c>
      <c r="D1183" s="2" t="s">
        <v>1827</v>
      </c>
      <c r="E1183" s="2" t="s">
        <v>293</v>
      </c>
      <c r="F1183" s="11">
        <v>79731</v>
      </c>
      <c r="G1183" t="s">
        <v>36</v>
      </c>
      <c r="H1183" t="s">
        <v>2063</v>
      </c>
      <c r="I1183" t="s">
        <v>2061</v>
      </c>
      <c r="J1183" s="6" t="str">
        <f>HYPERLINK("https://www.biovista.com/db/link/%5B%5B%22Disease%7CLeigh%20Syndrome%22%5D,%20%5B%22Gene%7CNARS2%22%5D%5D?strength-weight-map=%257B%2522MEDLINE_STRENGTH_AB%2522:1.0,%2522HPO%2522:100.0%257D", "Show Evidence...")</f>
        <v>Show Evidence...</v>
      </c>
    </row>
    <row r="1184" spans="1:10" ht="12.75">
      <c r="A1184" s="2" t="s">
        <v>50</v>
      </c>
      <c r="B1184" s="2" t="s">
        <v>1826</v>
      </c>
      <c r="C1184" s="2" t="s">
        <v>24</v>
      </c>
      <c r="D1184" s="2" t="s">
        <v>1827</v>
      </c>
      <c r="E1184" s="2" t="s">
        <v>293</v>
      </c>
      <c r="F1184" s="11">
        <v>18563</v>
      </c>
      <c r="G1184" t="s">
        <v>36</v>
      </c>
      <c r="H1184" t="s">
        <v>2064</v>
      </c>
      <c r="I1184" t="s">
        <v>2061</v>
      </c>
      <c r="J1184" s="6" t="str">
        <f>HYPERLINK("https://www.biovista.com/db/link/%5B%5B%22Disease%7CLeigh%20Syndrome%22%5D,%20%5B%22Gene%7Cpyruvate%20decarboxylase%22%5D%5D?strength-weight-map=%257B%2522MEDLINE_STRENGTH_AB%2522:1.0,%2522HPO%2522:100.0%257D", "Show Evidence...")</f>
        <v>Show Evidence...</v>
      </c>
    </row>
    <row r="1185" spans="1:10" ht="12.75">
      <c r="A1185" s="2" t="s">
        <v>50</v>
      </c>
      <c r="B1185" s="2" t="s">
        <v>1826</v>
      </c>
      <c r="C1185" s="2" t="s">
        <v>24</v>
      </c>
      <c r="D1185" s="2" t="s">
        <v>1827</v>
      </c>
      <c r="E1185" s="2" t="s">
        <v>293</v>
      </c>
      <c r="F1185" s="11">
        <v>84947</v>
      </c>
      <c r="G1185" t="s">
        <v>36</v>
      </c>
      <c r="H1185" t="s">
        <v>2065</v>
      </c>
      <c r="I1185" t="s">
        <v>2061</v>
      </c>
      <c r="J1185" s="6" t="str">
        <f>HYPERLINK("https://www.biovista.com/db/link/%5B%5B%22Disease%7CLeigh%20Syndrome%22%5D,%20%5B%22Gene%7CSERAC1%22%5D%5D?strength-weight-map=%257B%2522MEDLINE_STRENGTH_AB%2522:1.0,%2522HPO%2522:100.0%257D", "Show Evidence...")</f>
        <v>Show Evidence...</v>
      </c>
    </row>
    <row r="1186" spans="1:10" ht="12.75">
      <c r="A1186" s="2" t="s">
        <v>50</v>
      </c>
      <c r="B1186" s="2" t="s">
        <v>1826</v>
      </c>
      <c r="C1186" s="2" t="s">
        <v>24</v>
      </c>
      <c r="D1186" s="2" t="s">
        <v>1827</v>
      </c>
      <c r="E1186" s="2" t="s">
        <v>293</v>
      </c>
      <c r="F1186" s="11">
        <v>8617552</v>
      </c>
      <c r="G1186" t="s">
        <v>36</v>
      </c>
      <c r="H1186" t="s">
        <v>2066</v>
      </c>
      <c r="I1186" t="s">
        <v>1852</v>
      </c>
      <c r="J1186" s="6" t="str">
        <f>HYPERLINK("https://www.biovista.com/db/link/%5B%5B%22Disease%7CLeigh%20Syndrome%22%5D,%20%5B%22Gene%7Caspartate-tRNA%20ligase%22%5D%5D?strength-weight-map=%257B%2522MEDLINE_STRENGTH_AB%2522:1.0,%2522HPO%2522:100.0%257D", "Show Evidence...")</f>
        <v>Show Evidence...</v>
      </c>
    </row>
    <row r="1187" spans="1:10" ht="12.75">
      <c r="A1187" s="2" t="s">
        <v>50</v>
      </c>
      <c r="B1187" s="2" t="s">
        <v>1826</v>
      </c>
      <c r="C1187" s="2" t="s">
        <v>24</v>
      </c>
      <c r="D1187" s="2" t="s">
        <v>1827</v>
      </c>
      <c r="E1187" s="2" t="s">
        <v>293</v>
      </c>
      <c r="F1187" s="11">
        <v>1355</v>
      </c>
      <c r="G1187" t="s">
        <v>36</v>
      </c>
      <c r="H1187" t="s">
        <v>2067</v>
      </c>
      <c r="I1187" t="s">
        <v>1852</v>
      </c>
      <c r="J1187" s="6" t="str">
        <f>HYPERLINK("https://www.biovista.com/db/link/%5B%5B%22Disease%7CLeigh%20Syndrome%22%5D,%20%5B%22Gene%7CCOX15%22%5D%5D?strength-weight-map=%257B%2522MEDLINE_STRENGTH_AB%2522:1.0,%2522HPO%2522:100.0%257D", "Show Evidence...")</f>
        <v>Show Evidence...</v>
      </c>
    </row>
    <row r="1188" spans="1:10" ht="12.75">
      <c r="A1188" s="2" t="s">
        <v>50</v>
      </c>
      <c r="B1188" s="2" t="s">
        <v>1826</v>
      </c>
      <c r="C1188" s="2" t="s">
        <v>24</v>
      </c>
      <c r="D1188" s="2" t="s">
        <v>1827</v>
      </c>
      <c r="E1188" s="2" t="s">
        <v>293</v>
      </c>
      <c r="F1188" s="11">
        <v>3639254</v>
      </c>
      <c r="G1188" t="s">
        <v>36</v>
      </c>
      <c r="H1188" t="s">
        <v>2068</v>
      </c>
      <c r="I1188" t="s">
        <v>1852</v>
      </c>
      <c r="J1188" s="6" t="str">
        <f>HYPERLINK("https://www.biovista.com/db/link/%5B%5B%22Disease%7CLeigh%20Syndrome%22%5D,%20%5B%22Gene%7CDNA-directed%20DNA%20polymerase%22%5D%5D?strength-weight-map=%257B%2522MEDLINE_STRENGTH_AB%2522:1.0,%2522HPO%2522:100.0%257D", "Show Evidence...")</f>
        <v>Show Evidence...</v>
      </c>
    </row>
    <row r="1189" spans="1:10" ht="12.75">
      <c r="A1189" s="2" t="s">
        <v>50</v>
      </c>
      <c r="B1189" s="2" t="s">
        <v>1826</v>
      </c>
      <c r="C1189" s="2" t="s">
        <v>24</v>
      </c>
      <c r="D1189" s="2" t="s">
        <v>1827</v>
      </c>
      <c r="E1189" s="2" t="s">
        <v>293</v>
      </c>
      <c r="F1189" s="11">
        <v>4536</v>
      </c>
      <c r="G1189" t="s">
        <v>36</v>
      </c>
      <c r="H1189" t="s">
        <v>2069</v>
      </c>
      <c r="I1189" t="s">
        <v>1852</v>
      </c>
      <c r="J1189" s="6" t="str">
        <f>HYPERLINK("https://www.biovista.com/db/link/%5B%5B%22Disease%7CLeigh%20Syndrome%22%5D,%20%5B%22Gene%7CND2%22%5D%5D?strength-weight-map=%257B%2522MEDLINE_STRENGTH_AB%2522:1.0,%2522HPO%2522:100.0%257D", "Show Evidence...")</f>
        <v>Show Evidence...</v>
      </c>
    </row>
    <row r="1190" spans="1:10" ht="12.75">
      <c r="A1190" s="2" t="s">
        <v>50</v>
      </c>
      <c r="B1190" s="2" t="s">
        <v>1826</v>
      </c>
      <c r="C1190" s="2" t="s">
        <v>24</v>
      </c>
      <c r="D1190" s="2" t="s">
        <v>1827</v>
      </c>
      <c r="E1190" s="2" t="s">
        <v>293</v>
      </c>
      <c r="F1190" s="11">
        <v>4726</v>
      </c>
      <c r="G1190" t="s">
        <v>36</v>
      </c>
      <c r="H1190" t="s">
        <v>2070</v>
      </c>
      <c r="I1190" t="s">
        <v>1852</v>
      </c>
      <c r="J1190" s="6" t="str">
        <f>HYPERLINK("https://www.biovista.com/db/link/%5B%5B%22Disease%7CLeigh%20Syndrome%22%5D,%20%5B%22Gene%7CNDUFS6%22%5D%5D?strength-weight-map=%257B%2522MEDLINE_STRENGTH_AB%2522:1.0,%2522HPO%2522:100.0%257D", "Show Evidence...")</f>
        <v>Show Evidence...</v>
      </c>
    </row>
    <row r="1191" spans="1:10" ht="12.75">
      <c r="A1191" s="2" t="s">
        <v>50</v>
      </c>
      <c r="B1191" s="2" t="s">
        <v>1826</v>
      </c>
      <c r="C1191" s="2" t="s">
        <v>24</v>
      </c>
      <c r="D1191" s="2" t="s">
        <v>1827</v>
      </c>
      <c r="E1191" s="2" t="s">
        <v>293</v>
      </c>
      <c r="F1191" s="11">
        <v>6341</v>
      </c>
      <c r="G1191" t="s">
        <v>36</v>
      </c>
      <c r="H1191" t="s">
        <v>2071</v>
      </c>
      <c r="I1191" t="s">
        <v>1852</v>
      </c>
      <c r="J1191" s="6" t="str">
        <f>HYPERLINK("https://www.biovista.com/db/link/%5B%5B%22Disease%7CLeigh%20Syndrome%22%5D,%20%5B%22Gene%7CSCO1%22%5D%5D?strength-weight-map=%257B%2522MEDLINE_STRENGTH_AB%2522:1.0,%2522HPO%2522:100.0%257D", "Show Evidence...")</f>
        <v>Show Evidence...</v>
      </c>
    </row>
    <row r="1192" spans="1:10" ht="12.75">
      <c r="A1192" s="2" t="s">
        <v>50</v>
      </c>
      <c r="B1192" s="2" t="s">
        <v>1826</v>
      </c>
      <c r="C1192" s="2" t="s">
        <v>24</v>
      </c>
      <c r="D1192" s="2" t="s">
        <v>1827</v>
      </c>
      <c r="E1192" s="2" t="s">
        <v>293</v>
      </c>
      <c r="F1192" s="11">
        <v>8802</v>
      </c>
      <c r="G1192" t="s">
        <v>36</v>
      </c>
      <c r="H1192" t="s">
        <v>2072</v>
      </c>
      <c r="I1192" t="s">
        <v>1852</v>
      </c>
      <c r="J1192" s="6" t="str">
        <f>HYPERLINK("https://www.biovista.com/db/link/%5B%5B%22Disease%7CLeigh%20Syndrome%22%5D,%20%5B%22Gene%7CSUCLG1%22%5D%5D?strength-weight-map=%257B%2522MEDLINE_STRENGTH_AB%2522:1.0,%2522HPO%2522:100.0%257D", "Show Evidence...")</f>
        <v>Show Evidence...</v>
      </c>
    </row>
    <row r="1193" spans="1:10" ht="12.75">
      <c r="A1193" s="2" t="s">
        <v>50</v>
      </c>
      <c r="B1193" s="2" t="s">
        <v>1826</v>
      </c>
      <c r="C1193" s="2" t="s">
        <v>24</v>
      </c>
      <c r="D1193" s="2" t="s">
        <v>1827</v>
      </c>
      <c r="E1193" s="2" t="s">
        <v>293</v>
      </c>
      <c r="F1193" s="11">
        <v>26275</v>
      </c>
      <c r="G1193" t="s">
        <v>36</v>
      </c>
      <c r="H1193" t="s">
        <v>2073</v>
      </c>
      <c r="I1193" t="s">
        <v>2074</v>
      </c>
      <c r="J1193" s="6" t="str">
        <f>HYPERLINK("https://www.biovista.com/db/link/%5B%5B%22Disease%7CLeigh%20Syndrome%22%5D,%20%5B%22Gene%7C3-hydroxyisobutyryl-CoA%20hydrolase%22%5D%5D?strength-weight-map=%257B%2522MEDLINE_STRENGTH_AB%2522:1.0,%2522HPO%2522:100.0%257D", "Show Evidence...")</f>
        <v>Show Evidence...</v>
      </c>
    </row>
    <row r="1194" spans="1:10" ht="12.75">
      <c r="A1194" s="2" t="s">
        <v>50</v>
      </c>
      <c r="B1194" s="2" t="s">
        <v>1826</v>
      </c>
      <c r="C1194" s="2" t="s">
        <v>24</v>
      </c>
      <c r="D1194" s="2" t="s">
        <v>1827</v>
      </c>
      <c r="E1194" s="2" t="s">
        <v>293</v>
      </c>
      <c r="F1194" s="11">
        <v>26373803</v>
      </c>
      <c r="G1194" t="s">
        <v>36</v>
      </c>
      <c r="H1194" t="s">
        <v>2075</v>
      </c>
      <c r="I1194" t="s">
        <v>2074</v>
      </c>
      <c r="J1194" s="6" t="str">
        <f>HYPERLINK("https://www.biovista.com/db/link/%5B%5B%22Disease%7CLeigh%20Syndrome%22%5D,%20%5B%22Gene%7CATP%20synthase%20subunit%206%22%5D%5D?strength-weight-map=%257B%2522MEDLINE_STRENGTH_AB%2522:1.0,%2522HPO%2522:100.0%257D", "Show Evidence...")</f>
        <v>Show Evidence...</v>
      </c>
    </row>
    <row r="1195" spans="1:10" ht="12.75">
      <c r="A1195" s="2" t="s">
        <v>50</v>
      </c>
      <c r="B1195" s="2" t="s">
        <v>1826</v>
      </c>
      <c r="C1195" s="2" t="s">
        <v>24</v>
      </c>
      <c r="D1195" s="2" t="s">
        <v>1827</v>
      </c>
      <c r="E1195" s="2" t="s">
        <v>293</v>
      </c>
      <c r="F1195" s="11">
        <v>686</v>
      </c>
      <c r="G1195" t="s">
        <v>36</v>
      </c>
      <c r="H1195" t="s">
        <v>2076</v>
      </c>
      <c r="I1195" t="s">
        <v>2074</v>
      </c>
      <c r="J1195" s="6" t="str">
        <f>HYPERLINK("https://www.biovista.com/db/link/%5B%5B%22Disease%7CLeigh%20Syndrome%22%5D,%20%5B%22Gene%7Cbiotinidase%22%5D%5D?strength-weight-map=%257B%2522MEDLINE_STRENGTH_AB%2522:1.0,%2522HPO%2522:100.0%257D", "Show Evidence...")</f>
        <v>Show Evidence...</v>
      </c>
    </row>
    <row r="1196" spans="1:10" ht="12.75">
      <c r="A1196" s="2" t="s">
        <v>50</v>
      </c>
      <c r="B1196" s="2" t="s">
        <v>1826</v>
      </c>
      <c r="C1196" s="2" t="s">
        <v>24</v>
      </c>
      <c r="D1196" s="2" t="s">
        <v>1827</v>
      </c>
      <c r="E1196" s="2" t="s">
        <v>293</v>
      </c>
      <c r="F1196" s="11">
        <v>1431</v>
      </c>
      <c r="G1196" t="s">
        <v>36</v>
      </c>
      <c r="H1196" t="s">
        <v>2077</v>
      </c>
      <c r="I1196" t="s">
        <v>2074</v>
      </c>
      <c r="J1196" s="6" t="str">
        <f>HYPERLINK("https://www.biovista.com/db/link/%5B%5B%22Disease%7CLeigh%20Syndrome%22%5D,%20%5B%22Gene%7CCS%22%5D%5D?strength-weight-map=%257B%2522MEDLINE_STRENGTH_AB%2522:1.0,%2522HPO%2522:100.0%257D", "Show Evidence...")</f>
        <v>Show Evidence...</v>
      </c>
    </row>
    <row r="1197" spans="1:10" ht="12.75">
      <c r="A1197" s="2" t="s">
        <v>50</v>
      </c>
      <c r="B1197" s="2" t="s">
        <v>1826</v>
      </c>
      <c r="C1197" s="2" t="s">
        <v>24</v>
      </c>
      <c r="D1197" s="2" t="s">
        <v>1827</v>
      </c>
      <c r="E1197" s="2" t="s">
        <v>293</v>
      </c>
      <c r="F1197" s="11">
        <v>55572</v>
      </c>
      <c r="G1197" t="s">
        <v>36</v>
      </c>
      <c r="H1197" t="s">
        <v>2078</v>
      </c>
      <c r="I1197" t="s">
        <v>2074</v>
      </c>
      <c r="J1197" s="6" t="str">
        <f>HYPERLINK("https://www.biovista.com/db/link/%5B%5B%22Disease%7CLeigh%20Syndrome%22%5D,%20%5B%22Gene%7CFOXRED1%22%5D%5D?strength-weight-map=%257B%2522MEDLINE_STRENGTH_AB%2522:1.0,%2522HPO%2522:100.0%257D", "Show Evidence...")</f>
        <v>Show Evidence...</v>
      </c>
    </row>
    <row r="1198" spans="1:10" ht="12.75">
      <c r="A1198" s="2" t="s">
        <v>50</v>
      </c>
      <c r="B1198" s="2" t="s">
        <v>1826</v>
      </c>
      <c r="C1198" s="2" t="s">
        <v>24</v>
      </c>
      <c r="D1198" s="2" t="s">
        <v>1827</v>
      </c>
      <c r="E1198" s="2" t="s">
        <v>293</v>
      </c>
      <c r="F1198" s="11">
        <v>2670</v>
      </c>
      <c r="G1198" t="s">
        <v>36</v>
      </c>
      <c r="H1198" t="s">
        <v>1168</v>
      </c>
      <c r="I1198" t="s">
        <v>2074</v>
      </c>
      <c r="J1198" s="6" t="str">
        <f>HYPERLINK("https://www.biovista.com/db/link/%5B%5B%22Disease%7CLeigh%20Syndrome%22%5D,%20%5B%22Gene%7CGFAP%22%5D%5D?strength-weight-map=%257B%2522MEDLINE_STRENGTH_AB%2522:1.0,%2522HPO%2522:100.0%257D", "Show Evidence...")</f>
        <v>Show Evidence...</v>
      </c>
    </row>
    <row r="1199" spans="1:10" ht="12.75">
      <c r="A1199" s="2" t="s">
        <v>50</v>
      </c>
      <c r="B1199" s="2" t="s">
        <v>1826</v>
      </c>
      <c r="C1199" s="2" t="s">
        <v>24</v>
      </c>
      <c r="D1199" s="2" t="s">
        <v>1827</v>
      </c>
      <c r="E1199" s="2" t="s">
        <v>53</v>
      </c>
      <c r="F1199" s="11" t="s">
        <v>2079</v>
      </c>
      <c r="G1199" t="s">
        <v>36</v>
      </c>
      <c r="H1199" t="s">
        <v>2080</v>
      </c>
      <c r="I1199" t="s">
        <v>2074</v>
      </c>
      <c r="J1199" s="6" t="str">
        <f>HYPERLINK("https://www.biovista.com/db/link/%5B%5B%22Disease%7CLeigh%20Syndrome%22%5D,%20%5B%22Gene%7CHLA%20Antigens%22%5D%5D?strength-weight-map=%257B%2522MEDLINE_STRENGTH_AB%2522:1.0,%2522HPO%2522:100.0%257D", "Show Evidence...")</f>
        <v>Show Evidence...</v>
      </c>
    </row>
    <row r="1200" spans="1:10" ht="12.75">
      <c r="A1200" s="2" t="s">
        <v>50</v>
      </c>
      <c r="B1200" s="2" t="s">
        <v>1826</v>
      </c>
      <c r="C1200" s="2" t="s">
        <v>24</v>
      </c>
      <c r="D1200" s="2" t="s">
        <v>1827</v>
      </c>
      <c r="E1200" s="2" t="s">
        <v>293</v>
      </c>
      <c r="F1200" s="11">
        <v>4976</v>
      </c>
      <c r="G1200" t="s">
        <v>36</v>
      </c>
      <c r="H1200" t="s">
        <v>2081</v>
      </c>
      <c r="I1200" t="s">
        <v>2074</v>
      </c>
      <c r="J1200" s="6" t="str">
        <f>HYPERLINK("https://www.biovista.com/db/link/%5B%5B%22Disease%7CLeigh%20Syndrome%22%5D,%20%5B%22Gene%7COPA1%22%5D%5D?strength-weight-map=%257B%2522MEDLINE_STRENGTH_AB%2522:1.0,%2522HPO%2522:100.0%257D", "Show Evidence...")</f>
        <v>Show Evidence...</v>
      </c>
    </row>
    <row r="1201" spans="1:10" ht="12.75">
      <c r="A1201" s="2" t="s">
        <v>50</v>
      </c>
      <c r="B1201" s="2" t="s">
        <v>1826</v>
      </c>
      <c r="C1201" s="2" t="s">
        <v>24</v>
      </c>
      <c r="D1201" s="2" t="s">
        <v>1827</v>
      </c>
      <c r="E1201" s="2" t="s">
        <v>293</v>
      </c>
      <c r="F1201" s="11">
        <v>27010</v>
      </c>
      <c r="G1201" t="s">
        <v>36</v>
      </c>
      <c r="H1201" t="s">
        <v>2082</v>
      </c>
      <c r="I1201" t="s">
        <v>2074</v>
      </c>
      <c r="J1201" s="6" t="str">
        <f>HYPERLINK("https://www.biovista.com/db/link/%5B%5B%22Disease%7CLeigh%20Syndrome%22%5D,%20%5B%22Gene%7CTPK1%22%5D%5D?strength-weight-map=%257B%2522MEDLINE_STRENGTH_AB%2522:1.0,%2522HPO%2522:100.0%257D", "Show Evidence...")</f>
        <v>Show Evidence...</v>
      </c>
    </row>
    <row r="1202" spans="1:10" ht="12.75">
      <c r="A1202" s="2" t="s">
        <v>50</v>
      </c>
      <c r="B1202" s="2" t="s">
        <v>1826</v>
      </c>
      <c r="C1202" s="2" t="s">
        <v>24</v>
      </c>
      <c r="D1202" s="2" t="s">
        <v>1827</v>
      </c>
      <c r="E1202" s="2" t="s">
        <v>293</v>
      </c>
      <c r="F1202" s="11">
        <v>1738</v>
      </c>
      <c r="G1202" t="s">
        <v>36</v>
      </c>
      <c r="H1202" t="s">
        <v>2083</v>
      </c>
      <c r="I1202" t="s">
        <v>1853</v>
      </c>
      <c r="J1202" s="6" t="str">
        <f>HYPERLINK("https://www.biovista.com/db/link/%5B%5B%22Disease%7CLeigh%20Syndrome%22%5D,%20%5B%22Gene%7CDLD%22%5D%5D?strength-weight-map=%257B%2522MEDLINE_STRENGTH_AB%2522:1.0,%2522HPO%2522:100.0%257D", "Show Evidence...")</f>
        <v>Show Evidence...</v>
      </c>
    </row>
    <row r="1203" spans="1:10" ht="12.75">
      <c r="A1203" s="2" t="s">
        <v>50</v>
      </c>
      <c r="B1203" s="2" t="s">
        <v>1826</v>
      </c>
      <c r="C1203" s="2" t="s">
        <v>24</v>
      </c>
      <c r="D1203" s="2" t="s">
        <v>1827</v>
      </c>
      <c r="E1203" s="2" t="s">
        <v>293</v>
      </c>
      <c r="F1203" s="11">
        <v>58478</v>
      </c>
      <c r="G1203" t="s">
        <v>36</v>
      </c>
      <c r="H1203" t="s">
        <v>2084</v>
      </c>
      <c r="I1203" t="s">
        <v>1853</v>
      </c>
      <c r="J1203" s="6" t="str">
        <f>HYPERLINK("https://www.biovista.com/db/link/%5B%5B%22Disease%7CLeigh%20Syndrome%22%5D,%20%5B%22Gene%7CE1%22%5D%5D?strength-weight-map=%257B%2522MEDLINE_STRENGTH_AB%2522:1.0,%2522HPO%2522:100.0%257D", "Show Evidence...")</f>
        <v>Show Evidence...</v>
      </c>
    </row>
    <row r="1204" spans="1:10" ht="12.75">
      <c r="A1204" s="2" t="s">
        <v>50</v>
      </c>
      <c r="B1204" s="2" t="s">
        <v>1826</v>
      </c>
      <c r="C1204" s="2" t="s">
        <v>24</v>
      </c>
      <c r="D1204" s="2" t="s">
        <v>1827</v>
      </c>
      <c r="E1204" s="2" t="s">
        <v>293</v>
      </c>
      <c r="F1204" s="11">
        <v>419455</v>
      </c>
      <c r="G1204" t="s">
        <v>36</v>
      </c>
      <c r="H1204" t="s">
        <v>2085</v>
      </c>
      <c r="I1204" t="s">
        <v>1853</v>
      </c>
      <c r="J1204" s="6" t="str">
        <f>HYPERLINK("https://www.biovista.com/db/link/%5B%5B%22Disease%7CLeigh%20Syndrome%22%5D,%20%5B%22Gene%7CMechanistic%20target%20of%20rapamycin%22%5D%5D?strength-weight-map=%257B%2522MEDLINE_STRENGTH_AB%2522:1.0,%2522HPO%2522:100.0%257D", "Show Evidence...")</f>
        <v>Show Evidence...</v>
      </c>
    </row>
    <row r="1205" spans="1:10" ht="12.75">
      <c r="A1205" s="2" t="s">
        <v>50</v>
      </c>
      <c r="B1205" s="2" t="s">
        <v>1826</v>
      </c>
      <c r="C1205" s="2" t="s">
        <v>24</v>
      </c>
      <c r="D1205" s="2" t="s">
        <v>1827</v>
      </c>
      <c r="E1205" s="2" t="s">
        <v>293</v>
      </c>
      <c r="F1205" s="11">
        <v>6390</v>
      </c>
      <c r="G1205" t="s">
        <v>36</v>
      </c>
      <c r="H1205" t="s">
        <v>2086</v>
      </c>
      <c r="I1205" t="s">
        <v>1853</v>
      </c>
      <c r="J1205" s="6" t="str">
        <f>HYPERLINK("https://www.biovista.com/db/link/%5B%5B%22Disease%7CLeigh%20Syndrome%22%5D,%20%5B%22Gene%7CSDHB%22%5D%5D?strength-weight-map=%257B%2522MEDLINE_STRENGTH_AB%2522:1.0,%2522HPO%2522:100.0%257D", "Show Evidence...")</f>
        <v>Show Evidence...</v>
      </c>
    </row>
    <row r="1206" spans="1:10" ht="12.75">
      <c r="A1206" s="2" t="s">
        <v>50</v>
      </c>
      <c r="B1206" s="2" t="s">
        <v>1826</v>
      </c>
      <c r="C1206" s="2" t="s">
        <v>24</v>
      </c>
      <c r="D1206" s="2" t="s">
        <v>1827</v>
      </c>
      <c r="E1206" s="2" t="s">
        <v>293</v>
      </c>
      <c r="F1206" s="11">
        <v>6834</v>
      </c>
      <c r="G1206" t="s">
        <v>36</v>
      </c>
      <c r="H1206" t="s">
        <v>2087</v>
      </c>
      <c r="I1206" t="s">
        <v>1853</v>
      </c>
      <c r="J1206" s="6" t="str">
        <f>HYPERLINK("https://www.biovista.com/db/link/%5B%5B%22Disease%7CLeigh%20Syndrome%22%5D,%20%5B%22Gene%7CSHY1%22%5D%5D?strength-weight-map=%257B%2522MEDLINE_STRENGTH_AB%2522:1.0,%2522HPO%2522:100.0%257D", "Show Evidence...")</f>
        <v>Show Evidence...</v>
      </c>
    </row>
    <row r="1207" spans="1:10" ht="12.75">
      <c r="A1207" s="2" t="s">
        <v>50</v>
      </c>
      <c r="B1207" s="2" t="s">
        <v>1826</v>
      </c>
      <c r="C1207" s="2" t="s">
        <v>24</v>
      </c>
      <c r="D1207" s="2" t="s">
        <v>1827</v>
      </c>
      <c r="E1207" s="2" t="s">
        <v>309</v>
      </c>
      <c r="F1207" s="11">
        <v>100129518</v>
      </c>
      <c r="G1207" t="s">
        <v>36</v>
      </c>
      <c r="H1207" t="s">
        <v>2088</v>
      </c>
      <c r="I1207" t="s">
        <v>1853</v>
      </c>
      <c r="J1207" s="6" t="str">
        <f>HYPERLINK("https://www.biovista.com/db/link/%5B%5B%22Disease%7CLeigh%20Syndrome%22%5D,%20%5B%22Gene%7CSOD2%22%5D%5D?strength-weight-map=%257B%2522MEDLINE_STRENGTH_AB%2522:1.0,%2522HPO%2522:100.0%257D", "Show Evidence...")</f>
        <v>Show Evidence...</v>
      </c>
    </row>
    <row r="1208" spans="1:10" ht="12.75">
      <c r="A1208" s="2" t="s">
        <v>50</v>
      </c>
      <c r="B1208" s="2" t="s">
        <v>1826</v>
      </c>
      <c r="C1208" s="2" t="s">
        <v>24</v>
      </c>
      <c r="D1208" s="2" t="s">
        <v>1827</v>
      </c>
      <c r="E1208" s="2" t="s">
        <v>293</v>
      </c>
      <c r="F1208" s="11">
        <v>8803</v>
      </c>
      <c r="G1208" t="s">
        <v>36</v>
      </c>
      <c r="H1208" t="s">
        <v>2089</v>
      </c>
      <c r="I1208" t="s">
        <v>1853</v>
      </c>
      <c r="J1208" s="6" t="str">
        <f>HYPERLINK("https://www.biovista.com/db/link/%5B%5B%22Disease%7CLeigh%20Syndrome%22%5D,%20%5B%22Gene%7CSUCLA2%22%5D%5D?strength-weight-map=%257B%2522MEDLINE_STRENGTH_AB%2522:1.0,%2522HPO%2522:100.0%257D", "Show Evidence...")</f>
        <v>Show Evidence...</v>
      </c>
    </row>
    <row r="1209" spans="1:10" ht="12.75">
      <c r="A1209" s="2" t="s">
        <v>50</v>
      </c>
      <c r="B1209" s="2" t="s">
        <v>1826</v>
      </c>
      <c r="C1209" s="2" t="s">
        <v>24</v>
      </c>
      <c r="D1209" s="2" t="s">
        <v>1827</v>
      </c>
      <c r="E1209" s="2" t="s">
        <v>293</v>
      </c>
      <c r="F1209" s="11">
        <v>7083</v>
      </c>
      <c r="G1209" t="s">
        <v>36</v>
      </c>
      <c r="H1209" t="s">
        <v>2090</v>
      </c>
      <c r="I1209" t="s">
        <v>1853</v>
      </c>
      <c r="J1209" s="6" t="str">
        <f>HYPERLINK("https://www.biovista.com/db/link/%5B%5B%22Disease%7CLeigh%20Syndrome%22%5D,%20%5B%22Gene%7CTK2%22%5D%5D?strength-weight-map=%257B%2522MEDLINE_STRENGTH_AB%2522:1.0,%2522HPO%2522:100.0%257D", "Show Evidence...")</f>
        <v>Show Evidence...</v>
      </c>
    </row>
    <row r="1210" spans="1:10" ht="12.75">
      <c r="A1210" s="2" t="s">
        <v>50</v>
      </c>
      <c r="B1210" s="2" t="s">
        <v>1826</v>
      </c>
      <c r="C1210" s="2" t="s">
        <v>24</v>
      </c>
      <c r="D1210" s="2" t="s">
        <v>1827</v>
      </c>
      <c r="E1210" s="2" t="s">
        <v>431</v>
      </c>
      <c r="F1210" s="11" t="s">
        <v>1372</v>
      </c>
      <c r="G1210" t="s">
        <v>38</v>
      </c>
      <c r="H1210" t="s">
        <v>1373</v>
      </c>
      <c r="I1210" t="s">
        <v>2091</v>
      </c>
      <c r="J1210" s="6" t="str">
        <f>HYPERLINK("https://www.biovista.com/db/link/%5B%5B%22Disease%7CLeigh%20Syndrome%22%5D,%20%5B%22Human%20Phenotype%7CGlobal%20developmental%20delay%22%5D%5D?strength-weight-map=%257B%2522MEDLINE_STRENGTH_AB%2522:1.0,%2522HPO%2522:100.0%257D", "Show Evidence...")</f>
        <v>Show Evidence...</v>
      </c>
    </row>
    <row r="1211" spans="1:10" ht="12.75">
      <c r="A1211" s="2" t="s">
        <v>50</v>
      </c>
      <c r="B1211" s="2" t="s">
        <v>1826</v>
      </c>
      <c r="C1211" s="2" t="s">
        <v>24</v>
      </c>
      <c r="D1211" s="2" t="s">
        <v>1827</v>
      </c>
      <c r="E1211" s="2" t="s">
        <v>431</v>
      </c>
      <c r="F1211" s="11" t="s">
        <v>1448</v>
      </c>
      <c r="G1211" t="s">
        <v>38</v>
      </c>
      <c r="H1211" t="s">
        <v>1449</v>
      </c>
      <c r="I1211" t="s">
        <v>2092</v>
      </c>
      <c r="J1211" s="6" t="str">
        <f>HYPERLINK("https://www.biovista.com/db/link/%5B%5B%22Disease%7CLeigh%20Syndrome%22%5D,%20%5B%22Human%20Phenotype%7CGliosis%22%5D%5D?strength-weight-map=%257B%2522MEDLINE_STRENGTH_AB%2522:1.0,%2522HPO%2522:100.0%257D", "Show Evidence...")</f>
        <v>Show Evidence...</v>
      </c>
    </row>
    <row r="1212" spans="1:10" ht="12.75">
      <c r="A1212" s="2" t="s">
        <v>50</v>
      </c>
      <c r="B1212" s="2" t="s">
        <v>1826</v>
      </c>
      <c r="C1212" s="2" t="s">
        <v>24</v>
      </c>
      <c r="D1212" s="2" t="s">
        <v>1827</v>
      </c>
      <c r="E1212" s="2" t="s">
        <v>431</v>
      </c>
      <c r="F1212" s="11" t="s">
        <v>1309</v>
      </c>
      <c r="G1212" t="s">
        <v>38</v>
      </c>
      <c r="H1212" t="s">
        <v>1310</v>
      </c>
      <c r="I1212" t="s">
        <v>2093</v>
      </c>
      <c r="J1212" s="6" t="str">
        <f>HYPERLINK("https://www.biovista.com/db/link/%5B%5B%22Disease%7CLeigh%20Syndrome%22%5D,%20%5B%22Human%20Phenotype%7CChildhood%20onset%22%5D%5D?strength-weight-map=%257B%2522MEDLINE_STRENGTH_AB%2522:1.0,%2522HPO%2522:100.0%257D", "Show Evidence...")</f>
        <v>Show Evidence...</v>
      </c>
    </row>
    <row r="1213" spans="1:10" ht="12.75">
      <c r="A1213" s="2" t="s">
        <v>50</v>
      </c>
      <c r="B1213" s="2" t="s">
        <v>1826</v>
      </c>
      <c r="C1213" s="2" t="s">
        <v>24</v>
      </c>
      <c r="D1213" s="2" t="s">
        <v>1827</v>
      </c>
      <c r="E1213" s="2" t="s">
        <v>431</v>
      </c>
      <c r="F1213" s="11" t="s">
        <v>2094</v>
      </c>
      <c r="G1213" t="s">
        <v>38</v>
      </c>
      <c r="H1213" t="s">
        <v>2095</v>
      </c>
      <c r="I1213" t="s">
        <v>2096</v>
      </c>
      <c r="J1213" s="6" t="str">
        <f>HYPERLINK("https://www.biovista.com/db/link/%5B%5B%22Disease%7CLeigh%20Syndrome%22%5D,%20%5B%22Human%20Phenotype%7CLactic%20acidosis%22%5D%5D?strength-weight-map=%257B%2522MEDLINE_STRENGTH_AB%2522:1.0,%2522HPO%2522:100.0%257D", "Show Evidence...")</f>
        <v>Show Evidence...</v>
      </c>
    </row>
    <row r="1214" spans="1:10" ht="12.75">
      <c r="A1214" s="2" t="s">
        <v>50</v>
      </c>
      <c r="B1214" s="2" t="s">
        <v>1826</v>
      </c>
      <c r="C1214" s="2" t="s">
        <v>24</v>
      </c>
      <c r="D1214" s="2" t="s">
        <v>1827</v>
      </c>
      <c r="E1214" s="2" t="s">
        <v>431</v>
      </c>
      <c r="F1214" s="11" t="s">
        <v>1368</v>
      </c>
      <c r="G1214" t="s">
        <v>38</v>
      </c>
      <c r="H1214" t="s">
        <v>1369</v>
      </c>
      <c r="I1214" t="s">
        <v>2097</v>
      </c>
      <c r="J1214" s="6" t="str">
        <f>HYPERLINK("https://www.biovista.com/db/link/%5B%5B%22Disease%7CLeigh%20Syndrome%22%5D,%20%5B%22Human%20Phenotype%7CAbnormality%20of%20movement%22%5D%5D?strength-weight-map=%257B%2522MEDLINE_STRENGTH_AB%2522:1.0,%2522HPO%2522:100.0%257D", "Show Evidence...")</f>
        <v>Show Evidence...</v>
      </c>
    </row>
    <row r="1215" spans="1:10" ht="12.75">
      <c r="A1215" s="2" t="s">
        <v>50</v>
      </c>
      <c r="B1215" s="2" t="s">
        <v>1826</v>
      </c>
      <c r="C1215" s="2" t="s">
        <v>24</v>
      </c>
      <c r="D1215" s="2" t="s">
        <v>1827</v>
      </c>
      <c r="E1215" s="2" t="s">
        <v>431</v>
      </c>
      <c r="F1215" s="11" t="s">
        <v>2098</v>
      </c>
      <c r="G1215" t="s">
        <v>38</v>
      </c>
      <c r="H1215" t="s">
        <v>2099</v>
      </c>
      <c r="I1215" t="s">
        <v>2100</v>
      </c>
      <c r="J1215" s="6" t="str">
        <f>HYPERLINK("https://www.biovista.com/db/link/%5B%5B%22Disease%7CLeigh%20Syndrome%22%5D,%20%5B%22Human%20Phenotype%7CIncreased%20circulating%20lactate%20concentration%22%5D%5D?strength-weight-map=%257B%2522MEDLINE_STRENGTH_AB%2522:1.0,%2522HPO%2522:100.0%257D", "Show Evidence...")</f>
        <v>Show Evidence...</v>
      </c>
    </row>
    <row r="1216" spans="1:10" ht="12.75">
      <c r="A1216" s="2" t="s">
        <v>50</v>
      </c>
      <c r="B1216" s="2" t="s">
        <v>1826</v>
      </c>
      <c r="C1216" s="2" t="s">
        <v>24</v>
      </c>
      <c r="D1216" s="2" t="s">
        <v>1827</v>
      </c>
      <c r="E1216" s="2" t="s">
        <v>431</v>
      </c>
      <c r="F1216" s="11" t="s">
        <v>2101</v>
      </c>
      <c r="G1216" t="s">
        <v>38</v>
      </c>
      <c r="H1216" t="s">
        <v>2102</v>
      </c>
      <c r="I1216" t="s">
        <v>2103</v>
      </c>
      <c r="J1216" s="6" t="str">
        <f>HYPERLINK("https://www.biovista.com/db/link/%5B%5B%22Disease%7CLeigh%20Syndrome%22%5D,%20%5B%22Human%20Phenotype%7CIncreased%20CSF%20lactate%22%5D%5D?strength-weight-map=%257B%2522MEDLINE_STRENGTH_AB%2522:1.0,%2522HPO%2522:100.0%257D", "Show Evidence...")</f>
        <v>Show Evidence...</v>
      </c>
    </row>
    <row r="1217" spans="1:10" ht="12.75">
      <c r="A1217" s="2" t="s">
        <v>50</v>
      </c>
      <c r="B1217" s="2" t="s">
        <v>1826</v>
      </c>
      <c r="C1217" s="2" t="s">
        <v>24</v>
      </c>
      <c r="D1217" s="2" t="s">
        <v>1827</v>
      </c>
      <c r="E1217" s="2" t="s">
        <v>431</v>
      </c>
      <c r="F1217" s="11" t="s">
        <v>1243</v>
      </c>
      <c r="G1217" t="s">
        <v>38</v>
      </c>
      <c r="H1217" t="s">
        <v>1244</v>
      </c>
      <c r="I1217" t="s">
        <v>455</v>
      </c>
      <c r="J1217" s="6" t="s">
        <v>2104</v>
      </c>
    </row>
    <row r="1218" spans="1:10" ht="12.75">
      <c r="A1218" s="2" t="s">
        <v>50</v>
      </c>
      <c r="B1218" s="2" t="s">
        <v>1826</v>
      </c>
      <c r="C1218" s="2" t="s">
        <v>24</v>
      </c>
      <c r="D1218" s="2" t="s">
        <v>1827</v>
      </c>
      <c r="E1218" s="2" t="s">
        <v>431</v>
      </c>
      <c r="F1218" s="11" t="s">
        <v>2105</v>
      </c>
      <c r="G1218" t="s">
        <v>38</v>
      </c>
      <c r="H1218" t="s">
        <v>2106</v>
      </c>
      <c r="I1218" t="s">
        <v>455</v>
      </c>
      <c r="J1218" s="6" t="str">
        <f>HYPERLINK("https://www.biovista.com/db/link/%5B%5B%22Disease%7CLeigh%20Syndrome%22%5D,%20%5B%22Human%20Phenotype%7CInfantile%20muscular%20hypotonia%22%5D%5D?strength-weight-map=%257B%2522MEDLINE_STRENGTH_AB%2522:1.0,%2522HPO%2522:100.0%257D", "Show Evidence...")</f>
        <v>Show Evidence...</v>
      </c>
    </row>
    <row r="1219" spans="1:10" ht="12.75">
      <c r="A1219" s="2" t="s">
        <v>50</v>
      </c>
      <c r="B1219" s="2" t="s">
        <v>1826</v>
      </c>
      <c r="C1219" s="2" t="s">
        <v>24</v>
      </c>
      <c r="D1219" s="2" t="s">
        <v>1827</v>
      </c>
      <c r="E1219" s="2" t="s">
        <v>431</v>
      </c>
      <c r="F1219" s="11" t="s">
        <v>2107</v>
      </c>
      <c r="G1219" t="s">
        <v>38</v>
      </c>
      <c r="H1219" t="s">
        <v>2108</v>
      </c>
      <c r="I1219" t="s">
        <v>455</v>
      </c>
      <c r="J1219" s="6" t="str">
        <f>HYPERLINK("https://www.biovista.com/db/link/%5B%5B%22Disease%7CLeigh%20Syndrome%22%5D,%20%5B%22Human%20Phenotype%7CLacticaciduria%22%5D%5D?strength-weight-map=%257B%2522MEDLINE_STRENGTH_AB%2522:1.0,%2522HPO%2522:100.0%257D", "Show Evidence...")</f>
        <v>Show Evidence...</v>
      </c>
    </row>
    <row r="1220" spans="1:10" ht="12.75">
      <c r="A1220" s="2" t="s">
        <v>50</v>
      </c>
      <c r="B1220" s="2" t="s">
        <v>1826</v>
      </c>
      <c r="C1220" s="2" t="s">
        <v>24</v>
      </c>
      <c r="D1220" s="2" t="s">
        <v>1827</v>
      </c>
      <c r="E1220" s="2" t="s">
        <v>431</v>
      </c>
      <c r="F1220" s="11" t="s">
        <v>2109</v>
      </c>
      <c r="G1220" t="s">
        <v>38</v>
      </c>
      <c r="H1220" t="s">
        <v>2110</v>
      </c>
      <c r="I1220" t="s">
        <v>2111</v>
      </c>
      <c r="J1220" s="6" t="str">
        <f>HYPERLINK("https://www.biovista.com/db/link/%5B%5B%22Disease%7CLeigh%20Syndrome%22%5D,%20%5B%22Human%20Phenotype%7COptic%20atrophy%22%5D%5D?strength-weight-map=%257B%2522MEDLINE_STRENGTH_AB%2522:1.0,%2522HPO%2522:100.0%257D", "Show Evidence...")</f>
        <v>Show Evidence...</v>
      </c>
    </row>
    <row r="1221" spans="1:10" ht="12.75">
      <c r="A1221" s="2" t="s">
        <v>50</v>
      </c>
      <c r="B1221" s="2" t="s">
        <v>1826</v>
      </c>
      <c r="C1221" s="2" t="s">
        <v>24</v>
      </c>
      <c r="D1221" s="2" t="s">
        <v>1827</v>
      </c>
      <c r="E1221" s="2" t="s">
        <v>431</v>
      </c>
      <c r="F1221" s="11" t="s">
        <v>2112</v>
      </c>
      <c r="G1221" t="s">
        <v>38</v>
      </c>
      <c r="H1221" t="s">
        <v>2113</v>
      </c>
      <c r="I1221" t="s">
        <v>2114</v>
      </c>
      <c r="J1221" s="6" t="str">
        <f>HYPERLINK("https://www.biovista.com/db/link/%5B%5B%22Disease%7CLeigh%20Syndrome%22%5D,%20%5B%22Human%20Phenotype%7CFailure%20to%20thrive%22%5D%5D?strength-weight-map=%257B%2522MEDLINE_STRENGTH_AB%2522:1.0,%2522HPO%2522:100.0%257D", "Show Evidence...")</f>
        <v>Show Evidence...</v>
      </c>
    </row>
    <row r="1222" spans="1:10" ht="12.75">
      <c r="A1222" s="2" t="s">
        <v>50</v>
      </c>
      <c r="B1222" s="2" t="s">
        <v>1826</v>
      </c>
      <c r="C1222" s="2" t="s">
        <v>24</v>
      </c>
      <c r="D1222" s="2" t="s">
        <v>1827</v>
      </c>
      <c r="E1222" s="2" t="s">
        <v>431</v>
      </c>
      <c r="F1222" s="11" t="s">
        <v>467</v>
      </c>
      <c r="G1222" t="s">
        <v>38</v>
      </c>
      <c r="H1222" t="s">
        <v>468</v>
      </c>
      <c r="I1222" t="s">
        <v>2115</v>
      </c>
      <c r="J1222" s="6" t="str">
        <f>HYPERLINK("https://www.biovista.com/db/link/%5B%5B%22Disease%7CLeigh%20Syndrome%22%5D,%20%5B%22Human%20Phenotype%7COphthalmoplegia%22%5D%5D?strength-weight-map=%257B%2522MEDLINE_STRENGTH_AB%2522:1.0,%2522HPO%2522:100.0%257D", "Show Evidence...")</f>
        <v>Show Evidence...</v>
      </c>
    </row>
    <row r="1223" spans="1:10" ht="12.75">
      <c r="A1223" s="2" t="s">
        <v>50</v>
      </c>
      <c r="B1223" s="2" t="s">
        <v>1826</v>
      </c>
      <c r="C1223" s="2" t="s">
        <v>24</v>
      </c>
      <c r="D1223" s="2" t="s">
        <v>1827</v>
      </c>
      <c r="E1223" s="2" t="s">
        <v>431</v>
      </c>
      <c r="F1223" s="11" t="s">
        <v>2116</v>
      </c>
      <c r="G1223" t="s">
        <v>38</v>
      </c>
      <c r="H1223" t="s">
        <v>2117</v>
      </c>
      <c r="I1223" t="s">
        <v>2118</v>
      </c>
      <c r="J1223" s="6" t="str">
        <f>HYPERLINK("https://www.biovista.com/db/link/%5B%5B%22Disease%7CLeigh%20Syndrome%22%5D,%20%5B%22Human%20Phenotype%7CHypertrophic%20cardiomyopathy%22%5D%5D?strength-weight-map=%257B%2522MEDLINE_STRENGTH_AB%2522:1.0,%2522HPO%2522:100.0%257D", "Show Evidence...")</f>
        <v>Show Evidence...</v>
      </c>
    </row>
    <row r="1224" spans="1:10" ht="12.75">
      <c r="A1224" s="2" t="s">
        <v>50</v>
      </c>
      <c r="B1224" s="2" t="s">
        <v>1826</v>
      </c>
      <c r="C1224" s="2" t="s">
        <v>24</v>
      </c>
      <c r="D1224" s="2" t="s">
        <v>1827</v>
      </c>
      <c r="E1224" s="2" t="s">
        <v>431</v>
      </c>
      <c r="F1224" s="11" t="s">
        <v>1297</v>
      </c>
      <c r="G1224" t="s">
        <v>38</v>
      </c>
      <c r="H1224" t="s">
        <v>1298</v>
      </c>
      <c r="I1224" t="s">
        <v>2119</v>
      </c>
      <c r="J1224" s="6" t="str">
        <f>HYPERLINK("https://www.biovista.com/db/link/%5B%5B%22Disease%7CLeigh%20Syndrome%22%5D,%20%5B%22Human%20Phenotype%7CDevelopmental%20regression%22%5D%5D?strength-weight-map=%257B%2522MEDLINE_STRENGTH_AB%2522:1.0,%2522HPO%2522:100.0%257D", "Show Evidence...")</f>
        <v>Show Evidence...</v>
      </c>
    </row>
    <row r="1225" spans="1:10" ht="12.75">
      <c r="A1225" s="2" t="s">
        <v>50</v>
      </c>
      <c r="B1225" s="2" t="s">
        <v>1826</v>
      </c>
      <c r="C1225" s="2" t="s">
        <v>24</v>
      </c>
      <c r="D1225" s="2" t="s">
        <v>1827</v>
      </c>
      <c r="E1225" s="2" t="s">
        <v>431</v>
      </c>
      <c r="F1225" s="11" t="s">
        <v>575</v>
      </c>
      <c r="G1225" t="s">
        <v>38</v>
      </c>
      <c r="H1225" t="s">
        <v>576</v>
      </c>
      <c r="I1225" t="s">
        <v>2120</v>
      </c>
      <c r="J1225" s="6" t="str">
        <f>HYPERLINK("https://www.biovista.com/db/link/%5B%5B%22Disease%7CLeigh%20Syndrome%22%5D,%20%5B%22Human%20Phenotype%7CSensorineural%20hearing%20impairment%22%5D%5D?strength-weight-map=%257B%2522MEDLINE_STRENGTH_AB%2522:1.0,%2522HPO%2522:100.0%257D", "Show Evidence...")</f>
        <v>Show Evidence...</v>
      </c>
    </row>
    <row r="1226" spans="1:10" ht="12.75">
      <c r="A1226" s="2" t="s">
        <v>50</v>
      </c>
      <c r="B1226" s="2" t="s">
        <v>1826</v>
      </c>
      <c r="C1226" s="2" t="s">
        <v>24</v>
      </c>
      <c r="D1226" s="2" t="s">
        <v>1827</v>
      </c>
      <c r="E1226" s="2" t="s">
        <v>431</v>
      </c>
      <c r="F1226" s="11" t="s">
        <v>1450</v>
      </c>
      <c r="G1226" t="s">
        <v>38</v>
      </c>
      <c r="H1226" t="s">
        <v>1451</v>
      </c>
      <c r="I1226" t="s">
        <v>2121</v>
      </c>
      <c r="J1226" s="6" t="str">
        <f>HYPERLINK("https://www.biovista.com/db/link/%5B%5B%22Disease%7CLeigh%20Syndrome%22%5D,%20%5B%22Human%20Phenotype%7CLeukodystrophy%22%5D%5D?strength-weight-map=%257B%2522MEDLINE_STRENGTH_AB%2522:1.0,%2522HPO%2522:100.0%257D", "Show Evidence...")</f>
        <v>Show Evidence...</v>
      </c>
    </row>
    <row r="1227" spans="1:10" ht="12.75">
      <c r="A1227" s="2" t="s">
        <v>50</v>
      </c>
      <c r="B1227" s="2" t="s">
        <v>1826</v>
      </c>
      <c r="C1227" s="2" t="s">
        <v>24</v>
      </c>
      <c r="D1227" s="2" t="s">
        <v>1827</v>
      </c>
      <c r="E1227" s="2" t="s">
        <v>431</v>
      </c>
      <c r="F1227" s="11" t="s">
        <v>1751</v>
      </c>
      <c r="G1227" t="s">
        <v>38</v>
      </c>
      <c r="H1227" t="s">
        <v>1752</v>
      </c>
      <c r="I1227" t="s">
        <v>2122</v>
      </c>
      <c r="J1227" s="6" t="str">
        <f>HYPERLINK("https://www.biovista.com/db/link/%5B%5B%22Disease%7CLeigh%20Syndrome%22%5D,%20%5B%22Human%20Phenotype%7CGrowth%20delay%22%5D%5D?strength-weight-map=%257B%2522MEDLINE_STRENGTH_AB%2522:1.0,%2522HPO%2522:100.0%257D", "Show Evidence...")</f>
        <v>Show Evidence...</v>
      </c>
    </row>
    <row r="1228" spans="1:10" ht="12.75">
      <c r="A1228" s="2" t="s">
        <v>50</v>
      </c>
      <c r="B1228" s="2" t="s">
        <v>1826</v>
      </c>
      <c r="C1228" s="2" t="s">
        <v>24</v>
      </c>
      <c r="D1228" s="2" t="s">
        <v>1827</v>
      </c>
      <c r="E1228" s="2" t="s">
        <v>431</v>
      </c>
      <c r="F1228" s="11" t="s">
        <v>444</v>
      </c>
      <c r="G1228" t="s">
        <v>38</v>
      </c>
      <c r="H1228" t="s">
        <v>445</v>
      </c>
      <c r="I1228" t="s">
        <v>2123</v>
      </c>
      <c r="J1228" s="6" t="str">
        <f>HYPERLINK("https://www.biovista.com/db/link/%5B%5B%22Disease%7CLeigh%20Syndrome%22%5D,%20%5B%22Human%20Phenotype%7CFeeding%20difficulties%22%5D%5D?strength-weight-map=%257B%2522MEDLINE_STRENGTH_AB%2522:1.0,%2522HPO%2522:100.0%257D", "Show Evidence...")</f>
        <v>Show Evidence...</v>
      </c>
    </row>
    <row r="1229" spans="1:10" ht="12.75">
      <c r="A1229" s="2" t="s">
        <v>50</v>
      </c>
      <c r="B1229" s="2" t="s">
        <v>1826</v>
      </c>
      <c r="C1229" s="2" t="s">
        <v>24</v>
      </c>
      <c r="D1229" s="2" t="s">
        <v>1827</v>
      </c>
      <c r="E1229" s="2" t="s">
        <v>431</v>
      </c>
      <c r="F1229" s="11" t="s">
        <v>2124</v>
      </c>
      <c r="G1229" t="s">
        <v>38</v>
      </c>
      <c r="H1229" t="s">
        <v>2125</v>
      </c>
      <c r="I1229" t="s">
        <v>2126</v>
      </c>
      <c r="J1229" s="6" t="str">
        <f>HYPERLINK("https://www.biovista.com/db/link/%5B%5B%22Disease%7CLeigh%20Syndrome%22%5D,%20%5B%22Human%20Phenotype%7CHypertrichosis%22%5D%5D?strength-weight-map=%257B%2522MEDLINE_STRENGTH_AB%2522:1.0,%2522HPO%2522:100.0%257D", "Show Evidence...")</f>
        <v>Show Evidence...</v>
      </c>
    </row>
    <row r="1230" spans="1:10" ht="12.75">
      <c r="A1230" s="2" t="s">
        <v>50</v>
      </c>
      <c r="B1230" s="2" t="s">
        <v>1826</v>
      </c>
      <c r="C1230" s="2" t="s">
        <v>24</v>
      </c>
      <c r="D1230" s="2" t="s">
        <v>1827</v>
      </c>
      <c r="E1230" s="2" t="s">
        <v>431</v>
      </c>
      <c r="F1230" s="11" t="s">
        <v>2127</v>
      </c>
      <c r="G1230" t="s">
        <v>38</v>
      </c>
      <c r="H1230" t="s">
        <v>2128</v>
      </c>
      <c r="I1230" t="s">
        <v>2129</v>
      </c>
      <c r="J1230" s="6" t="s">
        <v>2130</v>
      </c>
    </row>
    <row r="1231" spans="1:10" ht="12.75">
      <c r="A1231" s="2" t="s">
        <v>50</v>
      </c>
      <c r="B1231" s="2" t="s">
        <v>1826</v>
      </c>
      <c r="C1231" s="2" t="s">
        <v>24</v>
      </c>
      <c r="D1231" s="2" t="s">
        <v>1827</v>
      </c>
      <c r="E1231" s="2" t="s">
        <v>431</v>
      </c>
      <c r="F1231" s="11" t="s">
        <v>1794</v>
      </c>
      <c r="G1231" t="s">
        <v>38</v>
      </c>
      <c r="H1231" t="s">
        <v>1795</v>
      </c>
      <c r="I1231" t="s">
        <v>2131</v>
      </c>
      <c r="J1231" s="6" t="str">
        <f>HYPERLINK("https://www.biovista.com/db/link/%5B%5B%22Disease%7CLeigh%20Syndrome%22%5D,%20%5B%22Human%20Phenotype%7CProgressive%20neurologic%20deterioration%22%5D%5D?strength-weight-map=%257B%2522MEDLINE_STRENGTH_AB%2522:1.0,%2522HPO%2522:100.0%257D", "Show Evidence...")</f>
        <v>Show Evidence...</v>
      </c>
    </row>
    <row r="1232" spans="1:10" ht="12.75">
      <c r="A1232" s="2" t="s">
        <v>50</v>
      </c>
      <c r="B1232" s="2" t="s">
        <v>1826</v>
      </c>
      <c r="C1232" s="2" t="s">
        <v>24</v>
      </c>
      <c r="D1232" s="2" t="s">
        <v>1827</v>
      </c>
      <c r="E1232" s="2" t="s">
        <v>431</v>
      </c>
      <c r="F1232" s="11" t="s">
        <v>2132</v>
      </c>
      <c r="G1232" t="s">
        <v>38</v>
      </c>
      <c r="H1232" t="s">
        <v>2133</v>
      </c>
      <c r="I1232" t="s">
        <v>2134</v>
      </c>
      <c r="J1232" s="6" t="str">
        <f>HYPERLINK("https://www.biovista.com/db/link/%5B%5B%22Disease%7CLeigh%20Syndrome%22%5D,%20%5B%22Human%20Phenotype%7CInvoluntary%20movements%22%5D%5D?strength-weight-map=%257B%2522MEDLINE_STRENGTH_AB%2522:1.0,%2522HPO%2522:100.0%257D", "Show Evidence...")</f>
        <v>Show Evidence...</v>
      </c>
    </row>
    <row r="1233" spans="1:10" ht="12.75">
      <c r="A1233" s="2" t="s">
        <v>50</v>
      </c>
      <c r="B1233" s="2" t="s">
        <v>1826</v>
      </c>
      <c r="C1233" s="2" t="s">
        <v>24</v>
      </c>
      <c r="D1233" s="2" t="s">
        <v>1827</v>
      </c>
      <c r="E1233" s="2" t="s">
        <v>431</v>
      </c>
      <c r="F1233" s="11" t="s">
        <v>2135</v>
      </c>
      <c r="G1233" t="s">
        <v>38</v>
      </c>
      <c r="H1233" t="s">
        <v>2136</v>
      </c>
      <c r="I1233" t="s">
        <v>2137</v>
      </c>
      <c r="J1233" s="6" t="str">
        <f>HYPERLINK("https://www.biovista.com/db/link/%5B%5B%22Disease%7CLeigh%20Syndrome%22%5D,%20%5B%22Human%20Phenotype%7CDecreased%20activity%20of%20mitochondrial%20complex%20I%22%5D%5D?strength-weight-map=%257B%2522MEDLINE_STRENGTH_AB%2522:1.0,%2522HPO%2522:100.0%257D", "Show Evidence...")</f>
        <v>Show Evidence...</v>
      </c>
    </row>
    <row r="1234" spans="1:10" ht="12.75">
      <c r="A1234" s="2" t="s">
        <v>50</v>
      </c>
      <c r="B1234" s="2" t="s">
        <v>1826</v>
      </c>
      <c r="C1234" s="2" t="s">
        <v>24</v>
      </c>
      <c r="D1234" s="2" t="s">
        <v>1827</v>
      </c>
      <c r="E1234" s="2" t="s">
        <v>431</v>
      </c>
      <c r="F1234" s="11" t="s">
        <v>2138</v>
      </c>
      <c r="G1234" t="s">
        <v>38</v>
      </c>
      <c r="H1234" t="s">
        <v>2139</v>
      </c>
      <c r="I1234" t="s">
        <v>2137</v>
      </c>
      <c r="J1234" s="6" t="str">
        <f>HYPERLINK("https://www.biovista.com/db/link/%5B%5B%22Disease%7CLeigh%20Syndrome%22%5D,%20%5B%22Human%20Phenotype%7CElevated%20brain%20lactate%20level%20by%20MRS%22%5D%5D?strength-weight-map=%257B%2522MEDLINE_STRENGTH_AB%2522:1.0,%2522HPO%2522:100.0%257D", "Show Evidence...")</f>
        <v>Show Evidence...</v>
      </c>
    </row>
    <row r="1235" spans="1:10" ht="12.75">
      <c r="A1235" s="2" t="s">
        <v>50</v>
      </c>
      <c r="B1235" s="2" t="s">
        <v>1826</v>
      </c>
      <c r="C1235" s="2" t="s">
        <v>24</v>
      </c>
      <c r="D1235" s="2" t="s">
        <v>1827</v>
      </c>
      <c r="E1235" s="2" t="s">
        <v>431</v>
      </c>
      <c r="F1235" s="11" t="s">
        <v>2140</v>
      </c>
      <c r="G1235" t="s">
        <v>38</v>
      </c>
      <c r="H1235" t="s">
        <v>2141</v>
      </c>
      <c r="I1235" t="s">
        <v>2137</v>
      </c>
      <c r="J1235" s="6" t="str">
        <f>HYPERLINK("https://www.biovista.com/db/link/%5B%5B%22Disease%7CLeigh%20Syndrome%22%5D,%20%5B%22Human%20Phenotype%7CFocal%20T2%20hyperintense%20basal%20ganglia%20lesion%22%5D%5D?strength-weight-map=%257B%2522MEDLINE_STRENGTH_AB%2522:1.0,%2522HPO%2522:100.0%257D", "Show Evidence...")</f>
        <v>Show Evidence...</v>
      </c>
    </row>
    <row r="1236" spans="1:10" ht="12.75">
      <c r="A1236" s="2" t="s">
        <v>50</v>
      </c>
      <c r="B1236" s="2" t="s">
        <v>1826</v>
      </c>
      <c r="C1236" s="2" t="s">
        <v>24</v>
      </c>
      <c r="D1236" s="2" t="s">
        <v>1827</v>
      </c>
      <c r="E1236" s="2" t="s">
        <v>431</v>
      </c>
      <c r="F1236" s="11" t="s">
        <v>2142</v>
      </c>
      <c r="G1236" t="s">
        <v>38</v>
      </c>
      <c r="H1236" t="s">
        <v>2143</v>
      </c>
      <c r="I1236" t="s">
        <v>499</v>
      </c>
      <c r="J1236" s="6" t="str">
        <f>HYPERLINK("https://www.biovista.com/db/link/%5B%5B%22Disease%7CLeigh%20Syndrome%22%5D,%20%5B%22Human%20Phenotype%7CAbnormal%20basal%20ganglia%20MRI%20signal%20intensity%22%5D%5D?strength-weight-map=%257B%2522MEDLINE_STRENGTH_AB%2522:1.0,%2522HPO%2522:100.0%257D", "Show Evidence...")</f>
        <v>Show Evidence...</v>
      </c>
    </row>
    <row r="1237" spans="1:10" ht="12.75">
      <c r="A1237" s="2" t="s">
        <v>50</v>
      </c>
      <c r="B1237" s="2" t="s">
        <v>1826</v>
      </c>
      <c r="C1237" s="2" t="s">
        <v>24</v>
      </c>
      <c r="D1237" s="2" t="s">
        <v>1827</v>
      </c>
      <c r="E1237" s="2" t="s">
        <v>431</v>
      </c>
      <c r="F1237" s="11" t="s">
        <v>2144</v>
      </c>
      <c r="G1237" t="s">
        <v>38</v>
      </c>
      <c r="H1237" t="s">
        <v>2145</v>
      </c>
      <c r="I1237" t="s">
        <v>499</v>
      </c>
      <c r="J1237" s="6" t="str">
        <f>HYPERLINK("https://www.biovista.com/db/link/%5B%5B%22Disease%7CLeigh%20Syndrome%22%5D,%20%5B%22Human%20Phenotype%7CAbnormal%20brainstem%20MRI%20signal%20intensity%22%5D%5D?strength-weight-map=%257B%2522MEDLINE_STRENGTH_AB%2522:1.0,%2522HPO%2522:100.0%257D", "Show Evidence...")</f>
        <v>Show Evidence...</v>
      </c>
    </row>
    <row r="1238" spans="1:10" ht="12.75">
      <c r="A1238" s="2" t="s">
        <v>50</v>
      </c>
      <c r="B1238" s="2" t="s">
        <v>1826</v>
      </c>
      <c r="C1238" s="2" t="s">
        <v>24</v>
      </c>
      <c r="D1238" s="2" t="s">
        <v>1827</v>
      </c>
      <c r="E1238" s="2" t="s">
        <v>431</v>
      </c>
      <c r="F1238" s="11" t="s">
        <v>2146</v>
      </c>
      <c r="G1238" t="s">
        <v>38</v>
      </c>
      <c r="H1238" t="s">
        <v>2147</v>
      </c>
      <c r="I1238" t="s">
        <v>499</v>
      </c>
      <c r="J1238" s="6" t="str">
        <f>HYPERLINK("https://www.biovista.com/db/link/%5B%5B%22Disease%7CLeigh%20Syndrome%22%5D,%20%5B%22Human%20Phenotype%7CAbnormal%20dentate%20nucleus%20morphology%22%5D%5D?strength-weight-map=%257B%2522MEDLINE_STRENGTH_AB%2522:1.0,%2522HPO%2522:100.0%257D", "Show Evidence...")</f>
        <v>Show Evidence...</v>
      </c>
    </row>
    <row r="1239" spans="1:10" ht="12.75">
      <c r="A1239" s="2" t="s">
        <v>50</v>
      </c>
      <c r="B1239" s="2" t="s">
        <v>1826</v>
      </c>
      <c r="C1239" s="2" t="s">
        <v>24</v>
      </c>
      <c r="D1239" s="2" t="s">
        <v>1827</v>
      </c>
      <c r="E1239" s="2" t="s">
        <v>431</v>
      </c>
      <c r="F1239" s="11" t="s">
        <v>2148</v>
      </c>
      <c r="G1239" t="s">
        <v>38</v>
      </c>
      <c r="H1239" t="s">
        <v>2149</v>
      </c>
      <c r="I1239" t="s">
        <v>499</v>
      </c>
      <c r="J1239" s="6" t="str">
        <f>HYPERLINK("https://www.biovista.com/db/link/%5B%5B%22Disease%7CLeigh%20Syndrome%22%5D,%20%5B%22Human%20Phenotype%7CAbnormal%20optic%20nerve%20morphology%22%5D%5D?strength-weight-map=%257B%2522MEDLINE_STRENGTH_AB%2522:1.0,%2522HPO%2522:100.0%257D", "Show Evidence...")</f>
        <v>Show Evidence...</v>
      </c>
    </row>
    <row r="1240" spans="1:10" ht="12.75">
      <c r="A1240" s="2" t="s">
        <v>50</v>
      </c>
      <c r="B1240" s="2" t="s">
        <v>1826</v>
      </c>
      <c r="C1240" s="2" t="s">
        <v>24</v>
      </c>
      <c r="D1240" s="2" t="s">
        <v>1827</v>
      </c>
      <c r="E1240" s="2" t="s">
        <v>431</v>
      </c>
      <c r="F1240" s="11" t="s">
        <v>2150</v>
      </c>
      <c r="G1240" t="s">
        <v>38</v>
      </c>
      <c r="H1240" t="s">
        <v>2151</v>
      </c>
      <c r="I1240" t="s">
        <v>499</v>
      </c>
      <c r="J1240" s="6" t="str">
        <f>HYPERLINK("https://www.biovista.com/db/link/%5B%5B%22Disease%7CLeigh%20Syndrome%22%5D,%20%5B%22Human%20Phenotype%7CAbnormal%20thalamic%20MRI%20signal%20intensity%22%5D%5D?strength-weight-map=%257B%2522MEDLINE_STRENGTH_AB%2522:1.0,%2522HPO%2522:100.0%257D", "Show Evidence...")</f>
        <v>Show Evidence...</v>
      </c>
    </row>
    <row r="1241" spans="1:10" ht="12.75">
      <c r="A1241" s="2" t="s">
        <v>50</v>
      </c>
      <c r="B1241" s="2" t="s">
        <v>1826</v>
      </c>
      <c r="C1241" s="2" t="s">
        <v>24</v>
      </c>
      <c r="D1241" s="2" t="s">
        <v>1827</v>
      </c>
      <c r="E1241" s="2" t="s">
        <v>431</v>
      </c>
      <c r="F1241" s="11" t="s">
        <v>2152</v>
      </c>
      <c r="G1241" t="s">
        <v>38</v>
      </c>
      <c r="H1241" t="s">
        <v>2153</v>
      </c>
      <c r="I1241" t="s">
        <v>499</v>
      </c>
      <c r="J1241" s="6" t="str">
        <f>HYPERLINK("https://www.biovista.com/db/link/%5B%5B%22Disease%7CLeigh%20Syndrome%22%5D,%20%5B%22Human%20Phenotype%7CBrain%20imaging%20abnormality%22%5D%5D?strength-weight-map=%257B%2522MEDLINE_STRENGTH_AB%2522:1.0,%2522HPO%2522:100.0%257D", "Show Evidence...")</f>
        <v>Show Evidence...</v>
      </c>
    </row>
    <row r="1242" spans="1:10" ht="12.75">
      <c r="A1242" s="2" t="s">
        <v>50</v>
      </c>
      <c r="B1242" s="2" t="s">
        <v>1826</v>
      </c>
      <c r="C1242" s="2" t="s">
        <v>24</v>
      </c>
      <c r="D1242" s="2" t="s">
        <v>1827</v>
      </c>
      <c r="E1242" s="2" t="s">
        <v>431</v>
      </c>
      <c r="F1242" s="11" t="s">
        <v>2154</v>
      </c>
      <c r="G1242" t="s">
        <v>38</v>
      </c>
      <c r="H1242" t="s">
        <v>2155</v>
      </c>
      <c r="I1242" t="s">
        <v>499</v>
      </c>
      <c r="J1242" s="6" t="str">
        <f>HYPERLINK("https://www.biovista.com/db/link/%5B%5B%22Disease%7CLeigh%20Syndrome%22%5D,%20%5B%22Human%20Phenotype%7CComplex%20organic%20aciduria%22%5D%5D?strength-weight-map=%257B%2522MEDLINE_STRENGTH_AB%2522:1.0,%2522HPO%2522:100.0%257D", "Show Evidence...")</f>
        <v>Show Evidence...</v>
      </c>
    </row>
    <row r="1243" spans="1:10" ht="12.75">
      <c r="A1243" s="2" t="s">
        <v>50</v>
      </c>
      <c r="B1243" s="2" t="s">
        <v>1826</v>
      </c>
      <c r="C1243" s="2" t="s">
        <v>24</v>
      </c>
      <c r="D1243" s="2" t="s">
        <v>1827</v>
      </c>
      <c r="E1243" s="2" t="s">
        <v>431</v>
      </c>
      <c r="F1243" s="11" t="s">
        <v>2156</v>
      </c>
      <c r="G1243" t="s">
        <v>38</v>
      </c>
      <c r="H1243" t="s">
        <v>2157</v>
      </c>
      <c r="I1243" t="s">
        <v>499</v>
      </c>
      <c r="J1243" s="6" t="s">
        <v>2158</v>
      </c>
    </row>
    <row r="1244" spans="1:10" ht="12.75">
      <c r="A1244" s="2" t="s">
        <v>50</v>
      </c>
      <c r="B1244" s="2" t="s">
        <v>1826</v>
      </c>
      <c r="C1244" s="2" t="s">
        <v>24</v>
      </c>
      <c r="D1244" s="2" t="s">
        <v>1827</v>
      </c>
      <c r="E1244" s="2" t="s">
        <v>431</v>
      </c>
      <c r="F1244" s="11" t="s">
        <v>2159</v>
      </c>
      <c r="G1244" t="s">
        <v>38</v>
      </c>
      <c r="H1244" t="s">
        <v>2160</v>
      </c>
      <c r="I1244" t="s">
        <v>499</v>
      </c>
      <c r="J1244" s="6" t="str">
        <f>HYPERLINK("https://www.biovista.com/db/link/%5B%5B%22Disease%7CLeigh%20Syndrome%22%5D,%20%5B%22Human%20Phenotype%7CDiffuse%20spongiform%20leukoencephalopathy%22%5D%5D?strength-weight-map=%257B%2522MEDLINE_STRENGTH_AB%2522:1.0,%2522HPO%2522:100.0%257D", "Show Evidence...")</f>
        <v>Show Evidence...</v>
      </c>
    </row>
    <row r="1245" spans="1:10" ht="12.75">
      <c r="A1245" s="2" t="s">
        <v>50</v>
      </c>
      <c r="B1245" s="2" t="s">
        <v>1826</v>
      </c>
      <c r="C1245" s="2" t="s">
        <v>24</v>
      </c>
      <c r="D1245" s="2" t="s">
        <v>1827</v>
      </c>
      <c r="E1245" s="2" t="s">
        <v>431</v>
      </c>
      <c r="F1245" s="11" t="s">
        <v>2161</v>
      </c>
      <c r="G1245" t="s">
        <v>38</v>
      </c>
      <c r="H1245" t="s">
        <v>2162</v>
      </c>
      <c r="I1245" t="s">
        <v>499</v>
      </c>
      <c r="J1245" s="6" t="str">
        <f>HYPERLINK("https://www.biovista.com/db/link/%5B%5B%22Disease%7CLeigh%20Syndrome%22%5D,%20%5B%22Human%20Phenotype%7CFocal%20T2%20hyperintense%20brainstem%20lesion%22%5D%5D?strength-weight-map=%257B%2522MEDLINE_STRENGTH_AB%2522:1.0,%2522HPO%2522:100.0%257D", "Show Evidence...")</f>
        <v>Show Evidence...</v>
      </c>
    </row>
    <row r="1246" spans="1:10" ht="12.75">
      <c r="A1246" s="2" t="s">
        <v>50</v>
      </c>
      <c r="B1246" s="2" t="s">
        <v>1826</v>
      </c>
      <c r="C1246" s="2" t="s">
        <v>24</v>
      </c>
      <c r="D1246" s="2" t="s">
        <v>1827</v>
      </c>
      <c r="E1246" s="2" t="s">
        <v>431</v>
      </c>
      <c r="F1246" s="11" t="s">
        <v>2163</v>
      </c>
      <c r="G1246" t="s">
        <v>38</v>
      </c>
      <c r="H1246" t="s">
        <v>2164</v>
      </c>
      <c r="I1246" t="s">
        <v>499</v>
      </c>
      <c r="J1246" s="6" t="str">
        <f>HYPERLINK("https://www.biovista.com/db/link/%5B%5B%22Disease%7CLeigh%20Syndrome%22%5D,%20%5B%22Human%20Phenotype%7CSevere%20viral%20infection%22%5D%5D?strength-weight-map=%257B%2522MEDLINE_STRENGTH_AB%2522:1.0,%2522HPO%2522:100.0%257D", "Show Evidence...")</f>
        <v>Show Evidence...</v>
      </c>
    </row>
    <row r="1247" spans="1:10" ht="12.75">
      <c r="A1247" s="2" t="s">
        <v>50</v>
      </c>
      <c r="B1247" s="2" t="s">
        <v>1826</v>
      </c>
      <c r="C1247" s="2" t="s">
        <v>24</v>
      </c>
      <c r="D1247" s="2" t="s">
        <v>1827</v>
      </c>
      <c r="E1247" s="2" t="s">
        <v>431</v>
      </c>
      <c r="F1247" s="11" t="s">
        <v>2165</v>
      </c>
      <c r="G1247" t="s">
        <v>38</v>
      </c>
      <c r="H1247" t="s">
        <v>2166</v>
      </c>
      <c r="I1247" t="s">
        <v>499</v>
      </c>
      <c r="J1247" s="6" t="str">
        <f>HYPERLINK("https://www.biovista.com/db/link/%5B%5B%22Disease%7CLeigh%20Syndrome%22%5D,%20%5B%22Human%20Phenotype%7CUpper%20motor%20neuron%20dysfunction%22%5D%5D?strength-weight-map=%257B%2522MEDLINE_STRENGTH_AB%2522:1.0,%2522HPO%2522:100.0%257D", "Show Evidence...")</f>
        <v>Show Evidence...</v>
      </c>
    </row>
    <row r="1248" spans="1:10" ht="12.75">
      <c r="A1248" s="2" t="s">
        <v>50</v>
      </c>
      <c r="B1248" s="2" t="s">
        <v>1826</v>
      </c>
      <c r="C1248" s="2" t="s">
        <v>24</v>
      </c>
      <c r="D1248" s="2" t="s">
        <v>1827</v>
      </c>
      <c r="E1248" s="2" t="s">
        <v>431</v>
      </c>
      <c r="F1248" s="11" t="s">
        <v>517</v>
      </c>
      <c r="G1248" t="s">
        <v>38</v>
      </c>
      <c r="H1248" t="s">
        <v>518</v>
      </c>
      <c r="I1248" t="s">
        <v>2167</v>
      </c>
      <c r="J1248" s="6" t="str">
        <f>HYPERLINK("https://www.biovista.com/db/link/%5B%5B%22Disease%7CLeigh%20Syndrome%22%5D,%20%5B%22Human%20Phenotype%7CSeizure%22%5D%5D?strength-weight-map=%257B%2522MEDLINE_STRENGTH_AB%2522:1.0,%2522HPO%2522:100.0%257D", "Show Evidence...")</f>
        <v>Show Evidence...</v>
      </c>
    </row>
    <row r="1249" spans="1:10" ht="12.75">
      <c r="A1249" s="2" t="s">
        <v>50</v>
      </c>
      <c r="B1249" s="2" t="s">
        <v>1826</v>
      </c>
      <c r="C1249" s="2" t="s">
        <v>24</v>
      </c>
      <c r="D1249" s="2" t="s">
        <v>1827</v>
      </c>
      <c r="E1249" s="2" t="s">
        <v>431</v>
      </c>
      <c r="F1249" s="11" t="s">
        <v>464</v>
      </c>
      <c r="G1249" t="s">
        <v>38</v>
      </c>
      <c r="H1249" t="s">
        <v>465</v>
      </c>
      <c r="I1249" t="s">
        <v>2168</v>
      </c>
      <c r="J1249" s="6" t="str">
        <f>HYPERLINK("https://www.biovista.com/db/link/%5B%5B%22Disease%7CLeigh%20Syndrome%22%5D,%20%5B%22Human%20Phenotype%7CAtaxia%22%5D%5D?strength-weight-map=%257B%2522MEDLINE_STRENGTH_AB%2522:1.0,%2522HPO%2522:100.0%257D", "Show Evidence...")</f>
        <v>Show Evidence...</v>
      </c>
    </row>
    <row r="1250" spans="1:10" ht="12.75">
      <c r="A1250" s="2" t="s">
        <v>50</v>
      </c>
      <c r="B1250" s="2" t="s">
        <v>1826</v>
      </c>
      <c r="C1250" s="2" t="s">
        <v>24</v>
      </c>
      <c r="D1250" s="2" t="s">
        <v>1827</v>
      </c>
      <c r="E1250" s="2" t="s">
        <v>431</v>
      </c>
      <c r="F1250" s="11" t="s">
        <v>1225</v>
      </c>
      <c r="G1250" t="s">
        <v>38</v>
      </c>
      <c r="H1250" t="s">
        <v>1226</v>
      </c>
      <c r="I1250" t="s">
        <v>2169</v>
      </c>
      <c r="J1250" s="6" t="str">
        <f>HYPERLINK("https://www.biovista.com/db/link/%5B%5B%22Disease%7CLeigh%20Syndrome%22%5D,%20%5B%22Human%20Phenotype%7CDystonia%22%5D%5D?strength-weight-map=%257B%2522MEDLINE_STRENGTH_AB%2522:1.0,%2522HPO%2522:100.0%257D", "Show Evidence...")</f>
        <v>Show Evidence...</v>
      </c>
    </row>
    <row r="1251" spans="1:10" ht="12.75">
      <c r="A1251" s="2" t="s">
        <v>50</v>
      </c>
      <c r="B1251" s="2" t="s">
        <v>1826</v>
      </c>
      <c r="C1251" s="2" t="s">
        <v>24</v>
      </c>
      <c r="D1251" s="2" t="s">
        <v>1827</v>
      </c>
      <c r="E1251" s="2" t="s">
        <v>431</v>
      </c>
      <c r="F1251" s="11" t="s">
        <v>1359</v>
      </c>
      <c r="G1251" t="s">
        <v>38</v>
      </c>
      <c r="H1251" t="s">
        <v>1360</v>
      </c>
      <c r="I1251" t="s">
        <v>2170</v>
      </c>
      <c r="J1251" s="6" t="str">
        <f>HYPERLINK("https://www.biovista.com/db/link/%5B%5B%22Disease%7CLeigh%20Syndrome%22%5D,%20%5B%22Human%20Phenotype%7CPeripheral%20neuropathy%22%5D%5D?strength-weight-map=%257B%2522MEDLINE_STRENGTH_AB%2522:1.0,%2522HPO%2522:100.0%257D", "Show Evidence...")</f>
        <v>Show Evidence...</v>
      </c>
    </row>
    <row r="1252" spans="1:10" ht="12.75">
      <c r="A1252" s="2" t="s">
        <v>50</v>
      </c>
      <c r="B1252" s="2" t="s">
        <v>1826</v>
      </c>
      <c r="C1252" s="2" t="s">
        <v>24</v>
      </c>
      <c r="D1252" s="2" t="s">
        <v>1827</v>
      </c>
      <c r="E1252" s="2" t="s">
        <v>431</v>
      </c>
      <c r="F1252" s="11" t="s">
        <v>2171</v>
      </c>
      <c r="G1252" t="s">
        <v>38</v>
      </c>
      <c r="H1252" t="s">
        <v>2172</v>
      </c>
      <c r="I1252" t="s">
        <v>2173</v>
      </c>
      <c r="J1252" s="6" t="str">
        <f>HYPERLINK("https://www.biovista.com/db/link/%5B%5B%22Disease%7CLeigh%20Syndrome%22%5D,%20%5B%22Human%20Phenotype%7CRespiratory%20failure%22%5D%5D?strength-weight-map=%257B%2522MEDLINE_STRENGTH_AB%2522:1.0,%2522HPO%2522:100.0%257D", "Show Evidence...")</f>
        <v>Show Evidence...</v>
      </c>
    </row>
    <row r="1253" spans="1:10" ht="12.75">
      <c r="A1253" s="2" t="s">
        <v>50</v>
      </c>
      <c r="B1253" s="2" t="s">
        <v>1826</v>
      </c>
      <c r="C1253" s="2" t="s">
        <v>24</v>
      </c>
      <c r="D1253" s="2" t="s">
        <v>1827</v>
      </c>
      <c r="E1253" s="2" t="s">
        <v>431</v>
      </c>
      <c r="F1253" s="11" t="s">
        <v>671</v>
      </c>
      <c r="G1253" t="s">
        <v>38</v>
      </c>
      <c r="H1253" t="s">
        <v>672</v>
      </c>
      <c r="I1253" t="s">
        <v>2174</v>
      </c>
      <c r="J1253" s="6" t="str">
        <f>HYPERLINK("https://www.biovista.com/db/link/%5B%5B%22Disease%7CLeigh%20Syndrome%22%5D,%20%5B%22Human%20Phenotype%7CMyopathy%22%5D%5D?strength-weight-map=%257B%2522MEDLINE_STRENGTH_AB%2522:1.0,%2522HPO%2522:100.0%257D", "Show Evidence...")</f>
        <v>Show Evidence...</v>
      </c>
    </row>
    <row r="1254" spans="1:10" ht="12.75">
      <c r="A1254" s="2" t="s">
        <v>50</v>
      </c>
      <c r="B1254" s="2" t="s">
        <v>1826</v>
      </c>
      <c r="C1254" s="2" t="s">
        <v>24</v>
      </c>
      <c r="D1254" s="2" t="s">
        <v>1827</v>
      </c>
      <c r="E1254" s="2" t="s">
        <v>431</v>
      </c>
      <c r="F1254" s="11" t="s">
        <v>587</v>
      </c>
      <c r="G1254" t="s">
        <v>38</v>
      </c>
      <c r="H1254" t="s">
        <v>588</v>
      </c>
      <c r="I1254" t="s">
        <v>2175</v>
      </c>
      <c r="J1254" s="6" t="str">
        <f>HYPERLINK("https://www.biovista.com/db/link/%5B%5B%22Disease%7CLeigh%20Syndrome%22%5D,%20%5B%22Human%20Phenotype%7CNystagmus%22%5D%5D?strength-weight-map=%257B%2522MEDLINE_STRENGTH_AB%2522:1.0,%2522HPO%2522:100.0%257D", "Show Evidence...")</f>
        <v>Show Evidence...</v>
      </c>
    </row>
    <row r="1255" spans="1:10" ht="12.75">
      <c r="A1255" s="2" t="s">
        <v>50</v>
      </c>
      <c r="B1255" s="2" t="s">
        <v>1826</v>
      </c>
      <c r="C1255" s="2" t="s">
        <v>24</v>
      </c>
      <c r="D1255" s="2" t="s">
        <v>1827</v>
      </c>
      <c r="E1255" s="2" t="s">
        <v>431</v>
      </c>
      <c r="F1255" s="11" t="s">
        <v>1427</v>
      </c>
      <c r="G1255" t="s">
        <v>38</v>
      </c>
      <c r="H1255" t="s">
        <v>1428</v>
      </c>
      <c r="I1255" t="s">
        <v>2176</v>
      </c>
      <c r="J1255" s="6" t="str">
        <f>HYPERLINK("https://www.biovista.com/db/link/%5B%5B%22Disease%7CLeigh%20Syndrome%22%5D,%20%5B%22Human%20Phenotype%7CSpasticity%22%5D%5D?strength-weight-map=%257B%2522MEDLINE_STRENGTH_AB%2522:1.0,%2522HPO%2522:100.0%257D", "Show Evidence...")</f>
        <v>Show Evidence...</v>
      </c>
    </row>
    <row r="1256" spans="1:10" ht="12.75">
      <c r="A1256" s="2" t="s">
        <v>50</v>
      </c>
      <c r="B1256" s="2" t="s">
        <v>1826</v>
      </c>
      <c r="C1256" s="2" t="s">
        <v>24</v>
      </c>
      <c r="D1256" s="2" t="s">
        <v>1827</v>
      </c>
      <c r="E1256" s="2" t="s">
        <v>431</v>
      </c>
      <c r="F1256" s="11" t="s">
        <v>622</v>
      </c>
      <c r="G1256" t="s">
        <v>38</v>
      </c>
      <c r="H1256" t="s">
        <v>623</v>
      </c>
      <c r="I1256" t="s">
        <v>2177</v>
      </c>
      <c r="J1256" s="6" t="str">
        <f>HYPERLINK("https://www.biovista.com/db/link/%5B%5B%22Disease%7CLeigh%20Syndrome%22%5D,%20%5B%22Human%20Phenotype%7CMuscle%20weakness%22%5D%5D?strength-weight-map=%257B%2522MEDLINE_STRENGTH_AB%2522:1.0,%2522HPO%2522:100.0%257D", "Show Evidence...")</f>
        <v>Show Evidence...</v>
      </c>
    </row>
    <row r="1257" spans="1:10" ht="12.75">
      <c r="A1257" s="2" t="s">
        <v>50</v>
      </c>
      <c r="B1257" s="2" t="s">
        <v>1826</v>
      </c>
      <c r="C1257" s="2" t="s">
        <v>24</v>
      </c>
      <c r="D1257" s="2" t="s">
        <v>1827</v>
      </c>
      <c r="E1257" s="2" t="s">
        <v>431</v>
      </c>
      <c r="F1257" s="11" t="s">
        <v>435</v>
      </c>
      <c r="G1257" t="s">
        <v>38</v>
      </c>
      <c r="H1257" t="s">
        <v>436</v>
      </c>
      <c r="I1257" t="s">
        <v>2178</v>
      </c>
      <c r="J1257" s="6" t="str">
        <f>HYPERLINK("https://www.biovista.com/db/link/%5B%5B%22Disease%7CLeigh%20Syndrome%22%5D,%20%5B%22Human%20Phenotype%7CPtosis%22%5D%5D?strength-weight-map=%257B%2522MEDLINE_STRENGTH_AB%2522:1.0,%2522HPO%2522:100.0%257D", "Show Evidence...")</f>
        <v>Show Evidence...</v>
      </c>
    </row>
    <row r="1258" spans="1:10" ht="12.75">
      <c r="A1258" s="2" t="s">
        <v>50</v>
      </c>
      <c r="B1258" s="2" t="s">
        <v>1826</v>
      </c>
      <c r="C1258" s="2" t="s">
        <v>24</v>
      </c>
      <c r="D1258" s="2" t="s">
        <v>1827</v>
      </c>
      <c r="E1258" s="2" t="s">
        <v>431</v>
      </c>
      <c r="F1258" s="11" t="s">
        <v>441</v>
      </c>
      <c r="G1258" t="s">
        <v>38</v>
      </c>
      <c r="H1258" t="s">
        <v>442</v>
      </c>
      <c r="I1258" t="s">
        <v>2179</v>
      </c>
      <c r="J1258" s="6" t="str">
        <f>HYPERLINK("https://www.biovista.com/db/link/%5B%5B%22Disease%7CLeigh%20Syndrome%22%5D,%20%5B%22Human%20Phenotype%7CDysphagia%22%5D%5D?strength-weight-map=%257B%2522MEDLINE_STRENGTH_AB%2522:1.0,%2522HPO%2522:100.0%257D", "Show Evidence...")</f>
        <v>Show Evidence...</v>
      </c>
    </row>
    <row r="1259" spans="1:10" ht="12.75">
      <c r="A1259" s="2" t="s">
        <v>50</v>
      </c>
      <c r="B1259" s="2" t="s">
        <v>1826</v>
      </c>
      <c r="C1259" s="2" t="s">
        <v>24</v>
      </c>
      <c r="D1259" s="2" t="s">
        <v>1827</v>
      </c>
      <c r="E1259" s="2" t="s">
        <v>431</v>
      </c>
      <c r="F1259" s="11" t="s">
        <v>2180</v>
      </c>
      <c r="G1259" t="s">
        <v>38</v>
      </c>
      <c r="H1259" t="s">
        <v>2181</v>
      </c>
      <c r="I1259" t="s">
        <v>2182</v>
      </c>
      <c r="J1259" s="6" t="str">
        <f>HYPERLINK("https://www.biovista.com/db/link/%5B%5B%22Disease%7CLeigh%20Syndrome%22%5D,%20%5B%22Human%20Phenotype%7C3-Methylglutaconic%20aciduria%22%5D%5D?strength-weight-map=%257B%2522MEDLINE_STRENGTH_AB%2522:1.0,%2522HPO%2522:100.0%257D", "Show Evidence...")</f>
        <v>Show Evidence...</v>
      </c>
    </row>
    <row r="1260" spans="1:10" ht="12.75">
      <c r="A1260" s="2" t="s">
        <v>50</v>
      </c>
      <c r="B1260" s="2" t="s">
        <v>1826</v>
      </c>
      <c r="C1260" s="2" t="s">
        <v>24</v>
      </c>
      <c r="D1260" s="2" t="s">
        <v>1827</v>
      </c>
      <c r="E1260" s="2" t="s">
        <v>431</v>
      </c>
      <c r="F1260" s="11" t="s">
        <v>1424</v>
      </c>
      <c r="G1260" t="s">
        <v>38</v>
      </c>
      <c r="H1260" t="s">
        <v>1425</v>
      </c>
      <c r="I1260" t="s">
        <v>2182</v>
      </c>
      <c r="J1260" s="6" t="str">
        <f>HYPERLINK("https://www.biovista.com/db/link/%5B%5B%22Disease%7CLeigh%20Syndrome%22%5D,%20%5B%22Human%20Phenotype%7CHypoglycemia%22%5D%5D?strength-weight-map=%257B%2522MEDLINE_STRENGTH_AB%2522:1.0,%2522HPO%2522:100.0%257D", "Show Evidence...")</f>
        <v>Show Evidence...</v>
      </c>
    </row>
    <row r="1261" spans="1:10" ht="12.75">
      <c r="A1261" s="2" t="s">
        <v>50</v>
      </c>
      <c r="B1261" s="2" t="s">
        <v>1826</v>
      </c>
      <c r="C1261" s="2" t="s">
        <v>24</v>
      </c>
      <c r="D1261" s="2" t="s">
        <v>1827</v>
      </c>
      <c r="E1261" s="2" t="s">
        <v>431</v>
      </c>
      <c r="F1261" s="11" t="s">
        <v>1445</v>
      </c>
      <c r="G1261" t="s">
        <v>38</v>
      </c>
      <c r="H1261" t="s">
        <v>1446</v>
      </c>
      <c r="I1261" t="s">
        <v>2183</v>
      </c>
      <c r="J1261" s="6" t="str">
        <f>HYPERLINK("https://www.biovista.com/db/link/%5B%5B%22Disease%7CLeigh%20Syndrome%22%5D,%20%5B%22Human%20Phenotype%7CAbnormality%20of%20extrapyramidal%20motor%20function%22%5D%5D?strength-weight-map=%257B%2522MEDLINE_STRENGTH_AB%2522:1.0,%2522HPO%2522:100.0%257D", "Show Evidence...")</f>
        <v>Show Evidence...</v>
      </c>
    </row>
    <row r="1262" spans="1:10" ht="12.75">
      <c r="A1262" s="2" t="s">
        <v>50</v>
      </c>
      <c r="B1262" s="2" t="s">
        <v>1826</v>
      </c>
      <c r="C1262" s="2" t="s">
        <v>24</v>
      </c>
      <c r="D1262" s="2" t="s">
        <v>1827</v>
      </c>
      <c r="E1262" s="2" t="s">
        <v>431</v>
      </c>
      <c r="F1262" s="11" t="s">
        <v>1324</v>
      </c>
      <c r="G1262" t="s">
        <v>38</v>
      </c>
      <c r="H1262" t="s">
        <v>1325</v>
      </c>
      <c r="I1262" t="s">
        <v>2184</v>
      </c>
      <c r="J1262" s="6" t="str">
        <f>HYPERLINK("https://www.biovista.com/db/link/%5B%5B%22Disease%7CLeigh%20Syndrome%22%5D,%20%5B%22Human%20Phenotype%7CChorea%22%5D%5D?strength-weight-map=%257B%2522MEDLINE_STRENGTH_AB%2522:1.0,%2522HPO%2522:100.0%257D", "Show Evidence...")</f>
        <v>Show Evidence...</v>
      </c>
    </row>
    <row r="1263" spans="1:10" ht="12.75">
      <c r="A1263" s="2" t="s">
        <v>50</v>
      </c>
      <c r="B1263" s="2" t="s">
        <v>1826</v>
      </c>
      <c r="C1263" s="2" t="s">
        <v>24</v>
      </c>
      <c r="D1263" s="2" t="s">
        <v>1827</v>
      </c>
      <c r="E1263" s="2" t="s">
        <v>431</v>
      </c>
      <c r="F1263" s="11" t="s">
        <v>2185</v>
      </c>
      <c r="G1263" t="s">
        <v>38</v>
      </c>
      <c r="H1263" t="s">
        <v>2186</v>
      </c>
      <c r="I1263" t="s">
        <v>2184</v>
      </c>
      <c r="J1263" s="6" t="str">
        <f>HYPERLINK("https://www.biovista.com/db/link/%5B%5B%22Disease%7CLeigh%20Syndrome%22%5D,%20%5B%22Human%20Phenotype%7CHepatic%20failure%22%5D%5D?strength-weight-map=%257B%2522MEDLINE_STRENGTH_AB%2522:1.0,%2522HPO%2522:100.0%257D", "Show Evidence...")</f>
        <v>Show Evidence...</v>
      </c>
    </row>
    <row r="1264" spans="1:10" ht="12.75">
      <c r="A1264" s="2" t="s">
        <v>50</v>
      </c>
      <c r="B1264" s="2" t="s">
        <v>1826</v>
      </c>
      <c r="C1264" s="2" t="s">
        <v>24</v>
      </c>
      <c r="D1264" s="2" t="s">
        <v>1827</v>
      </c>
      <c r="E1264" s="2" t="s">
        <v>431</v>
      </c>
      <c r="F1264" s="11" t="s">
        <v>2187</v>
      </c>
      <c r="G1264" t="s">
        <v>38</v>
      </c>
      <c r="H1264" t="s">
        <v>2188</v>
      </c>
      <c r="I1264" t="s">
        <v>2189</v>
      </c>
      <c r="J1264" s="6" t="str">
        <f>HYPERLINK("https://www.biovista.com/db/link/%5B%5B%22Disease%7CLeigh%20Syndrome%22%5D,%20%5B%22Human%20Phenotype%7CAnemia%22%5D%5D?strength-weight-map=%257B%2522MEDLINE_STRENGTH_AB%2522:1.0,%2522HPO%2522:100.0%257D", "Show Evidence...")</f>
        <v>Show Evidence...</v>
      </c>
    </row>
    <row r="1265" spans="1:10" ht="12.75">
      <c r="A1265" s="2" t="s">
        <v>50</v>
      </c>
      <c r="B1265" s="2" t="s">
        <v>1826</v>
      </c>
      <c r="C1265" s="2" t="s">
        <v>24</v>
      </c>
      <c r="D1265" s="2" t="s">
        <v>1827</v>
      </c>
      <c r="E1265" s="2" t="s">
        <v>431</v>
      </c>
      <c r="F1265" s="11" t="s">
        <v>2190</v>
      </c>
      <c r="G1265" t="s">
        <v>38</v>
      </c>
      <c r="H1265" t="s">
        <v>2191</v>
      </c>
      <c r="I1265" t="s">
        <v>2189</v>
      </c>
      <c r="J1265" s="6" t="str">
        <f>HYPERLINK("https://www.biovista.com/db/link/%5B%5B%22Disease%7CLeigh%20Syndrome%22%5D,%20%5B%22Human%20Phenotype%7CSkeletal%20muscle%20atrophy%22%5D%5D?strength-weight-map=%257B%2522MEDLINE_STRENGTH_AB%2522:1.0,%2522HPO%2522:100.0%257D", "Show Evidence...")</f>
        <v>Show Evidence...</v>
      </c>
    </row>
    <row r="1266" spans="1:10" ht="12.75">
      <c r="A1266" s="2" t="s">
        <v>50</v>
      </c>
      <c r="B1266" s="2" t="s">
        <v>1826</v>
      </c>
      <c r="C1266" s="2" t="s">
        <v>24</v>
      </c>
      <c r="D1266" s="2" t="s">
        <v>1827</v>
      </c>
      <c r="E1266" s="2" t="s">
        <v>431</v>
      </c>
      <c r="F1266" s="11" t="s">
        <v>2192</v>
      </c>
      <c r="G1266" t="s">
        <v>38</v>
      </c>
      <c r="H1266" t="s">
        <v>2193</v>
      </c>
      <c r="I1266" t="s">
        <v>2194</v>
      </c>
      <c r="J1266" s="6" t="str">
        <f>HYPERLINK("https://www.biovista.com/db/link/%5B%5B%22Disease%7CLeigh%20Syndrome%22%5D,%20%5B%22Human%20Phenotype%7CAgenesis%20of%20corpus%20callosum%22%5D%5D?strength-weight-map=%257B%2522MEDLINE_STRENGTH_AB%2522:1.0,%2522HPO%2522:100.0%257D", "Show Evidence...")</f>
        <v>Show Evidence...</v>
      </c>
    </row>
    <row r="1267" spans="1:10" ht="12.75">
      <c r="A1267" s="2" t="s">
        <v>50</v>
      </c>
      <c r="B1267" s="2" t="s">
        <v>1826</v>
      </c>
      <c r="C1267" s="2" t="s">
        <v>24</v>
      </c>
      <c r="D1267" s="2" t="s">
        <v>1827</v>
      </c>
      <c r="E1267" s="2" t="s">
        <v>431</v>
      </c>
      <c r="F1267" s="11" t="s">
        <v>628</v>
      </c>
      <c r="G1267" t="s">
        <v>38</v>
      </c>
      <c r="H1267" t="s">
        <v>629</v>
      </c>
      <c r="I1267" t="s">
        <v>2194</v>
      </c>
      <c r="J1267" s="6" t="str">
        <f>HYPERLINK("https://www.biovista.com/db/link/%5B%5B%22Disease%7CLeigh%20Syndrome%22%5D,%20%5B%22Human%20Phenotype%7CCongestive%20heart%20failure%22%5D%5D?strength-weight-map=%257B%2522MEDLINE_STRENGTH_AB%2522:1.0,%2522HPO%2522:100.0%257D", "Show Evidence...")</f>
        <v>Show Evidence...</v>
      </c>
    </row>
    <row r="1268" spans="1:10" ht="12.75">
      <c r="A1268" s="2" t="s">
        <v>50</v>
      </c>
      <c r="B1268" s="2" t="s">
        <v>1826</v>
      </c>
      <c r="C1268" s="2" t="s">
        <v>24</v>
      </c>
      <c r="D1268" s="2" t="s">
        <v>1827</v>
      </c>
      <c r="E1268" s="2" t="s">
        <v>431</v>
      </c>
      <c r="F1268" s="11" t="s">
        <v>2195</v>
      </c>
      <c r="G1268" t="s">
        <v>38</v>
      </c>
      <c r="H1268" t="s">
        <v>2196</v>
      </c>
      <c r="I1268" t="s">
        <v>2197</v>
      </c>
      <c r="J1268" s="6" t="str">
        <f>HYPERLINK("https://www.biovista.com/db/link/%5B%5B%22Disease%7CLeigh%20Syndrome%22%5D,%20%5B%22Human%20Phenotype%7CAbnormal%20pattern%20of%20respiration%22%5D%5D?strength-weight-map=%257B%2522MEDLINE_STRENGTH_AB%2522:1.0,%2522HPO%2522:100.0%257D", "Show Evidence...")</f>
        <v>Show Evidence...</v>
      </c>
    </row>
    <row r="1269" spans="1:10" ht="12.75">
      <c r="A1269" s="2" t="s">
        <v>50</v>
      </c>
      <c r="B1269" s="2" t="s">
        <v>1826</v>
      </c>
      <c r="C1269" s="2" t="s">
        <v>24</v>
      </c>
      <c r="D1269" s="2" t="s">
        <v>1827</v>
      </c>
      <c r="E1269" s="2" t="s">
        <v>431</v>
      </c>
      <c r="F1269" s="11" t="s">
        <v>1410</v>
      </c>
      <c r="G1269" t="s">
        <v>38</v>
      </c>
      <c r="H1269" t="s">
        <v>1411</v>
      </c>
      <c r="I1269" t="s">
        <v>2198</v>
      </c>
      <c r="J1269" s="6" t="str">
        <f>HYPERLINK("https://www.biovista.com/db/link/%5B%5B%22Disease%7CLeigh%20Syndrome%22%5D,%20%5B%22Human%20Phenotype%7CChoreoathetosis%22%5D%5D?strength-weight-map=%257B%2522MEDLINE_STRENGTH_AB%2522:1.0,%2522HPO%2522:100.0%257D", "Show Evidence...")</f>
        <v>Show Evidence...</v>
      </c>
    </row>
    <row r="1270" spans="1:10" ht="12.75">
      <c r="A1270" s="2" t="s">
        <v>50</v>
      </c>
      <c r="B1270" s="2" t="s">
        <v>1826</v>
      </c>
      <c r="C1270" s="2" t="s">
        <v>24</v>
      </c>
      <c r="D1270" s="2" t="s">
        <v>1827</v>
      </c>
      <c r="E1270" s="2" t="s">
        <v>431</v>
      </c>
      <c r="F1270" s="11" t="s">
        <v>1271</v>
      </c>
      <c r="G1270" t="s">
        <v>38</v>
      </c>
      <c r="H1270" t="s">
        <v>1272</v>
      </c>
      <c r="I1270" t="s">
        <v>2199</v>
      </c>
      <c r="J1270" s="6" t="str">
        <f>HYPERLINK("https://www.biovista.com/db/link/%5B%5B%22Disease%7CLeigh%20Syndrome%22%5D,%20%5B%22Human%20Phenotype%7CAthetosis%22%5D%5D?strength-weight-map=%257B%2522MEDLINE_STRENGTH_AB%2522:1.0,%2522HPO%2522:100.0%257D", "Show Evidence...")</f>
        <v>Show Evidence...</v>
      </c>
    </row>
    <row r="1271" spans="1:10" ht="12.75">
      <c r="A1271" s="2" t="s">
        <v>50</v>
      </c>
      <c r="B1271" s="2" t="s">
        <v>1826</v>
      </c>
      <c r="C1271" s="2" t="s">
        <v>24</v>
      </c>
      <c r="D1271" s="2" t="s">
        <v>1827</v>
      </c>
      <c r="E1271" s="2" t="s">
        <v>431</v>
      </c>
      <c r="F1271" s="11" t="s">
        <v>2200</v>
      </c>
      <c r="G1271" t="s">
        <v>38</v>
      </c>
      <c r="H1271" t="s">
        <v>2201</v>
      </c>
      <c r="I1271" t="s">
        <v>2202</v>
      </c>
      <c r="J1271" s="6" t="str">
        <f>HYPERLINK("https://www.biovista.com/db/link/%5B%5B%22Disease%7CLeigh%20Syndrome%22%5D,%20%5B%22Human%20Phenotype%7CAbnormality%20of%20the%20skeletal%20system%22%5D%5D?strength-weight-map=%257B%2522MEDLINE_STRENGTH_AB%2522:1.0,%2522HPO%2522:100.0%257D", "Show Evidence...")</f>
        <v>Show Evidence...</v>
      </c>
    </row>
    <row r="1272" spans="1:10" ht="12.75">
      <c r="A1272" s="2" t="s">
        <v>50</v>
      </c>
      <c r="B1272" s="2" t="s">
        <v>1826</v>
      </c>
      <c r="C1272" s="2" t="s">
        <v>24</v>
      </c>
      <c r="D1272" s="2" t="s">
        <v>1827</v>
      </c>
      <c r="E1272" s="2" t="s">
        <v>431</v>
      </c>
      <c r="F1272" s="11" t="s">
        <v>1786</v>
      </c>
      <c r="G1272" t="s">
        <v>38</v>
      </c>
      <c r="H1272" t="s">
        <v>1787</v>
      </c>
      <c r="I1272" t="s">
        <v>2202</v>
      </c>
      <c r="J1272" s="6" t="str">
        <f>HYPERLINK("https://www.biovista.com/db/link/%5B%5B%22Disease%7CLeigh%20Syndrome%22%5D,%20%5B%22Human%20Phenotype%7CHyperkinetic%20movements%22%5D%5D?strength-weight-map=%257B%2522MEDLINE_STRENGTH_AB%2522:1.0,%2522HPO%2522:100.0%257D", "Show Evidence...")</f>
        <v>Show Evidence...</v>
      </c>
    </row>
    <row r="1273" spans="1:10" ht="12.75">
      <c r="A1273" s="2" t="s">
        <v>50</v>
      </c>
      <c r="B1273" s="2" t="s">
        <v>1826</v>
      </c>
      <c r="C1273" s="2" t="s">
        <v>24</v>
      </c>
      <c r="D1273" s="2" t="s">
        <v>1827</v>
      </c>
      <c r="E1273" s="2" t="s">
        <v>431</v>
      </c>
      <c r="F1273" s="11" t="s">
        <v>2203</v>
      </c>
      <c r="G1273" t="s">
        <v>38</v>
      </c>
      <c r="H1273" t="s">
        <v>2204</v>
      </c>
      <c r="I1273" t="s">
        <v>2202</v>
      </c>
      <c r="J1273" s="6" t="str">
        <f>HYPERLINK("https://www.biovista.com/db/link/%5B%5B%22Disease%7CLeigh%20Syndrome%22%5D,%20%5B%22Human%20Phenotype%7CHypoplasia%20of%20the%20corpus%20callosum%22%5D%5D?strength-weight-map=%257B%2522MEDLINE_STRENGTH_AB%2522:1.0,%2522HPO%2522:100.0%257D", "Show Evidence...")</f>
        <v>Show Evidence...</v>
      </c>
    </row>
    <row r="1274" spans="1:10" ht="12.75">
      <c r="A1274" s="2" t="s">
        <v>50</v>
      </c>
      <c r="B1274" s="2" t="s">
        <v>1826</v>
      </c>
      <c r="C1274" s="2" t="s">
        <v>24</v>
      </c>
      <c r="D1274" s="2" t="s">
        <v>1827</v>
      </c>
      <c r="E1274" s="2" t="s">
        <v>431</v>
      </c>
      <c r="F1274" s="11" t="s">
        <v>2205</v>
      </c>
      <c r="G1274" t="s">
        <v>38</v>
      </c>
      <c r="H1274" t="s">
        <v>2206</v>
      </c>
      <c r="I1274" t="s">
        <v>2202</v>
      </c>
      <c r="J1274" s="6" t="str">
        <f>HYPERLINK("https://www.biovista.com/db/link/%5B%5B%22Disease%7CLeigh%20Syndrome%22%5D,%20%5B%22Human%20Phenotype%7CHypsarrhythmia%22%5D%5D?strength-weight-map=%257B%2522MEDLINE_STRENGTH_AB%2522:1.0,%2522HPO%2522:100.0%257D", "Show Evidence...")</f>
        <v>Show Evidence...</v>
      </c>
    </row>
    <row r="1275" spans="1:10" ht="12.75">
      <c r="A1275" s="2" t="s">
        <v>50</v>
      </c>
      <c r="B1275" s="2" t="s">
        <v>1826</v>
      </c>
      <c r="C1275" s="2" t="s">
        <v>24</v>
      </c>
      <c r="D1275" s="2" t="s">
        <v>1827</v>
      </c>
      <c r="E1275" s="2" t="s">
        <v>431</v>
      </c>
      <c r="F1275" s="11" t="s">
        <v>1394</v>
      </c>
      <c r="G1275" t="s">
        <v>38</v>
      </c>
      <c r="H1275" t="s">
        <v>1395</v>
      </c>
      <c r="I1275" t="s">
        <v>2202</v>
      </c>
      <c r="J1275" s="6" t="str">
        <f>HYPERLINK("https://www.biovista.com/db/link/%5B%5B%22Disease%7CLeigh%20Syndrome%22%5D,%20%5B%22Human%20Phenotype%7CMethylmalonic%20aciduria%22%5D%5D?strength-weight-map=%257B%2522MEDLINE_STRENGTH_AB%2522:1.0,%2522HPO%2522:100.0%257D", "Show Evidence...")</f>
        <v>Show Evidence...</v>
      </c>
    </row>
    <row r="1276" spans="1:10" ht="12.75">
      <c r="A1276" s="2" t="s">
        <v>50</v>
      </c>
      <c r="B1276" s="2" t="s">
        <v>1826</v>
      </c>
      <c r="C1276" s="2" t="s">
        <v>24</v>
      </c>
      <c r="D1276" s="2" t="s">
        <v>1827</v>
      </c>
      <c r="E1276" s="2" t="s">
        <v>431</v>
      </c>
      <c r="F1276" s="11" t="s">
        <v>2207</v>
      </c>
      <c r="G1276" t="s">
        <v>38</v>
      </c>
      <c r="H1276" t="s">
        <v>2208</v>
      </c>
      <c r="I1276" t="s">
        <v>2209</v>
      </c>
      <c r="J1276" s="6" t="str">
        <f>HYPERLINK("https://www.biovista.com/db/link/%5B%5B%22Disease%7CLeigh%20Syndrome%22%5D,%20%5B%22Human%20Phenotype%7CHyperalaninemia%22%5D%5D?strength-weight-map=%257B%2522MEDLINE_STRENGTH_AB%2522:1.0,%2522HPO%2522:100.0%257D", "Show Evidence...")</f>
        <v>Show Evidence...</v>
      </c>
    </row>
    <row r="1277" spans="1:10" ht="12.75">
      <c r="A1277" s="2" t="s">
        <v>50</v>
      </c>
      <c r="B1277" s="2" t="s">
        <v>1826</v>
      </c>
      <c r="C1277" s="2" t="s">
        <v>24</v>
      </c>
      <c r="D1277" s="2" t="s">
        <v>1827</v>
      </c>
      <c r="E1277" s="2" t="s">
        <v>431</v>
      </c>
      <c r="F1277" s="11" t="s">
        <v>2210</v>
      </c>
      <c r="G1277" t="s">
        <v>38</v>
      </c>
      <c r="H1277" t="s">
        <v>2211</v>
      </c>
      <c r="I1277" t="s">
        <v>2209</v>
      </c>
      <c r="J1277" s="6" t="str">
        <f>HYPERLINK("https://www.biovista.com/db/link/%5B%5B%22Disease%7CLeigh%20Syndrome%22%5D,%20%5B%22Human%20Phenotype%7CKetoacidosis%22%5D%5D?strength-weight-map=%257B%2522MEDLINE_STRENGTH_AB%2522:1.0,%2522HPO%2522:100.0%257D", "Show Evidence...")</f>
        <v>Show Evidence...</v>
      </c>
    </row>
    <row r="1278" spans="1:10" ht="12.75">
      <c r="A1278" s="2" t="s">
        <v>50</v>
      </c>
      <c r="B1278" s="2" t="s">
        <v>1826</v>
      </c>
      <c r="C1278" s="2" t="s">
        <v>24</v>
      </c>
      <c r="D1278" s="2" t="s">
        <v>1827</v>
      </c>
      <c r="E1278" s="2" t="s">
        <v>431</v>
      </c>
      <c r="F1278" s="11" t="s">
        <v>2212</v>
      </c>
      <c r="G1278" t="s">
        <v>38</v>
      </c>
      <c r="H1278" t="s">
        <v>2213</v>
      </c>
      <c r="I1278" t="s">
        <v>552</v>
      </c>
      <c r="J1278" s="6" t="str">
        <f>HYPERLINK("https://www.biovista.com/db/link/%5B%5B%22Disease%7CLeigh%20Syndrome%22%5D,%20%5B%22Human%20Phenotype%7CDecreased%20activity%20of%20mitochondrial%20complex%20III%22%5D%5D?strength-weight-map=%257B%2522MEDLINE_STRENGTH_AB%2522:1.0,%2522HPO%2522:100.0%257D", "Show Evidence...")</f>
        <v>Show Evidence...</v>
      </c>
    </row>
    <row r="1279" spans="1:10" ht="12.75">
      <c r="A1279" s="2" t="s">
        <v>50</v>
      </c>
      <c r="B1279" s="2" t="s">
        <v>1826</v>
      </c>
      <c r="C1279" s="2" t="s">
        <v>24</v>
      </c>
      <c r="D1279" s="2" t="s">
        <v>1827</v>
      </c>
      <c r="E1279" s="2" t="s">
        <v>431</v>
      </c>
      <c r="F1279" s="11" t="s">
        <v>2214</v>
      </c>
      <c r="G1279" t="s">
        <v>38</v>
      </c>
      <c r="H1279" t="s">
        <v>2215</v>
      </c>
      <c r="I1279" t="s">
        <v>552</v>
      </c>
      <c r="J1279" s="6" t="str">
        <f>HYPERLINK("https://www.biovista.com/db/link/%5B%5B%22Disease%7CLeigh%20Syndrome%22%5D,%20%5B%22Human%20Phenotype%7CDecreased%20activity%20of%20mitochondrial%20complex%20IV%22%5D%5D?strength-weight-map=%257B%2522MEDLINE_STRENGTH_AB%2522:1.0,%2522HPO%2522:100.0%257D", "Show Evidence...")</f>
        <v>Show Evidence...</v>
      </c>
    </row>
    <row r="1280" spans="1:10" ht="12.75">
      <c r="A1280" s="2" t="s">
        <v>50</v>
      </c>
      <c r="B1280" s="2" t="s">
        <v>1826</v>
      </c>
      <c r="C1280" s="2" t="s">
        <v>24</v>
      </c>
      <c r="D1280" s="2" t="s">
        <v>1827</v>
      </c>
      <c r="E1280" s="2" t="s">
        <v>431</v>
      </c>
      <c r="F1280" s="11" t="s">
        <v>2216</v>
      </c>
      <c r="G1280" t="s">
        <v>38</v>
      </c>
      <c r="H1280" t="s">
        <v>2217</v>
      </c>
      <c r="I1280" t="s">
        <v>552</v>
      </c>
      <c r="J1280" s="6" t="str">
        <f>HYPERLINK("https://www.biovista.com/db/link/%5B%5B%22Disease%7CLeigh%20Syndrome%22%5D,%20%5B%22Human%20Phenotype%7CDecreased%20circulating%20biotinidase%20concentration%22%5D%5D?strength-weight-map=%257B%2522MEDLINE_STRENGTH_AB%2522:1.0,%2522HPO%2522:100.0%257D", "Show Evidence...")</f>
        <v>Show Evidence...</v>
      </c>
    </row>
    <row r="1281" spans="1:10" ht="12.75">
      <c r="A1281" s="2" t="s">
        <v>50</v>
      </c>
      <c r="B1281" s="2" t="s">
        <v>1826</v>
      </c>
      <c r="C1281" s="2" t="s">
        <v>24</v>
      </c>
      <c r="D1281" s="2" t="s">
        <v>1827</v>
      </c>
      <c r="E1281" s="2" t="s">
        <v>431</v>
      </c>
      <c r="F1281" s="11" t="s">
        <v>2218</v>
      </c>
      <c r="G1281" t="s">
        <v>38</v>
      </c>
      <c r="H1281" t="s">
        <v>2219</v>
      </c>
      <c r="I1281" t="s">
        <v>552</v>
      </c>
      <c r="J1281" s="6" t="str">
        <f>HYPERLINK("https://www.biovista.com/db/link/%5B%5B%22Disease%7CLeigh%20Syndrome%22%5D,%20%5B%22Human%20Phenotype%7CDistal%20muscle%20weakness%22%5D%5D?strength-weight-map=%257B%2522MEDLINE_STRENGTH_AB%2522:1.0,%2522HPO%2522:100.0%257D", "Show Evidence...")</f>
        <v>Show Evidence...</v>
      </c>
    </row>
    <row r="1282" spans="1:10" ht="12.75">
      <c r="A1282" s="2" t="s">
        <v>50</v>
      </c>
      <c r="B1282" s="2" t="s">
        <v>1826</v>
      </c>
      <c r="C1282" s="2" t="s">
        <v>24</v>
      </c>
      <c r="D1282" s="2" t="s">
        <v>1827</v>
      </c>
      <c r="E1282" s="2" t="s">
        <v>431</v>
      </c>
      <c r="F1282" s="11" t="s">
        <v>2220</v>
      </c>
      <c r="G1282" t="s">
        <v>38</v>
      </c>
      <c r="H1282" t="s">
        <v>2221</v>
      </c>
      <c r="I1282" t="s">
        <v>552</v>
      </c>
      <c r="J1282" s="6" t="str">
        <f>HYPERLINK("https://www.biovista.com/db/link/%5B%5B%22Disease%7CLeigh%20Syndrome%22%5D,%20%5B%22Human%20Phenotype%7CEthylmalonic%20aciduria%22%5D%5D?strength-weight-map=%257B%2522MEDLINE_STRENGTH_AB%2522:1.0,%2522HPO%2522:100.0%257D", "Show Evidence...")</f>
        <v>Show Evidence...</v>
      </c>
    </row>
    <row r="1283" spans="1:10" ht="12.75">
      <c r="A1283" s="2" t="s">
        <v>50</v>
      </c>
      <c r="B1283" s="2" t="s">
        <v>1826</v>
      </c>
      <c r="C1283" s="2" t="s">
        <v>24</v>
      </c>
      <c r="D1283" s="2" t="s">
        <v>1827</v>
      </c>
      <c r="E1283" s="2" t="s">
        <v>431</v>
      </c>
      <c r="F1283" s="11" t="s">
        <v>2222</v>
      </c>
      <c r="G1283" t="s">
        <v>38</v>
      </c>
      <c r="H1283" t="s">
        <v>2223</v>
      </c>
      <c r="I1283" t="s">
        <v>552</v>
      </c>
      <c r="J1283" s="6" t="str">
        <f>HYPERLINK("https://www.biovista.com/db/link/%5B%5B%22Disease%7CLeigh%20Syndrome%22%5D,%20%5B%22Human%20Phenotype%7CGeneralized%20aminoaciduria%22%5D%5D?strength-weight-map=%257B%2522MEDLINE_STRENGTH_AB%2522:1.0,%2522HPO%2522:100.0%257D", "Show Evidence...")</f>
        <v>Show Evidence...</v>
      </c>
    </row>
    <row r="1284" spans="1:10" ht="12.75">
      <c r="A1284" s="2" t="s">
        <v>50</v>
      </c>
      <c r="B1284" s="2" t="s">
        <v>1826</v>
      </c>
      <c r="C1284" s="2" t="s">
        <v>24</v>
      </c>
      <c r="D1284" s="2" t="s">
        <v>1827</v>
      </c>
      <c r="E1284" s="2" t="s">
        <v>431</v>
      </c>
      <c r="F1284" s="11" t="s">
        <v>2224</v>
      </c>
      <c r="G1284" t="s">
        <v>38</v>
      </c>
      <c r="H1284" t="s">
        <v>2225</v>
      </c>
      <c r="I1284" t="s">
        <v>552</v>
      </c>
      <c r="J1284" s="6" t="str">
        <f>HYPERLINK("https://www.biovista.com/db/link/%5B%5B%22Disease%7CLeigh%20Syndrome%22%5D,%20%5B%22Human%20Phenotype%7CMultiple%20joint%20contractures%22%5D%5D?strength-weight-map=%257B%2522MEDLINE_STRENGTH_AB%2522:1.0,%2522HPO%2522:100.0%257D", "Show Evidence...")</f>
        <v>Show Evidence...</v>
      </c>
    </row>
    <row r="1285" spans="1:10" ht="12.75">
      <c r="A1285" s="2" t="s">
        <v>50</v>
      </c>
      <c r="B1285" s="2" t="s">
        <v>1826</v>
      </c>
      <c r="C1285" s="2" t="s">
        <v>24</v>
      </c>
      <c r="D1285" s="2" t="s">
        <v>1827</v>
      </c>
      <c r="E1285" s="2" t="s">
        <v>431</v>
      </c>
      <c r="F1285" s="11" t="s">
        <v>2226</v>
      </c>
      <c r="G1285" t="s">
        <v>38</v>
      </c>
      <c r="H1285" t="s">
        <v>2227</v>
      </c>
      <c r="I1285" t="s">
        <v>552</v>
      </c>
      <c r="J1285" s="6" t="str">
        <f>HYPERLINK("https://www.biovista.com/db/link/%5B%5B%22Disease%7CLeigh%20Syndrome%22%5D,%20%5B%22Human%20Phenotype%7CNeuronal%20loss%20in%20basal%20ganglia%22%5D%5D?strength-weight-map=%257B%2522MEDLINE_STRENGTH_AB%2522:1.0,%2522HPO%2522:100.0%257D", "Show Evidence...")</f>
        <v>Show Evidence...</v>
      </c>
    </row>
    <row r="1286" spans="1:10" ht="12.75">
      <c r="A1286" s="2" t="s">
        <v>50</v>
      </c>
      <c r="B1286" s="2" t="s">
        <v>1826</v>
      </c>
      <c r="C1286" s="2" t="s">
        <v>24</v>
      </c>
      <c r="D1286" s="2" t="s">
        <v>1827</v>
      </c>
      <c r="E1286" s="2" t="s">
        <v>431</v>
      </c>
      <c r="F1286" s="11" t="s">
        <v>2228</v>
      </c>
      <c r="G1286" t="s">
        <v>38</v>
      </c>
      <c r="H1286" t="s">
        <v>2229</v>
      </c>
      <c r="I1286" t="s">
        <v>552</v>
      </c>
      <c r="J1286" s="6" t="str">
        <f>HYPERLINK("https://www.biovista.com/db/link/%5B%5B%22Disease%7CLeigh%20Syndrome%22%5D,%20%5B%22Human%20Phenotype%7COlivopontocerebellar%20atrophy%22%5D%5D?strength-weight-map=%257B%2522MEDLINE_STRENGTH_AB%2522:1.0,%2522HPO%2522:100.0%257D", "Show Evidence...")</f>
        <v>Show Evidence...</v>
      </c>
    </row>
    <row r="1287" spans="1:10" ht="12.75">
      <c r="A1287" s="2" t="s">
        <v>50</v>
      </c>
      <c r="B1287" s="2" t="s">
        <v>1826</v>
      </c>
      <c r="C1287" s="2" t="s">
        <v>24</v>
      </c>
      <c r="D1287" s="2" t="s">
        <v>1827</v>
      </c>
      <c r="E1287" s="2" t="s">
        <v>431</v>
      </c>
      <c r="F1287" s="11" t="s">
        <v>2230</v>
      </c>
      <c r="G1287" t="s">
        <v>38</v>
      </c>
      <c r="H1287" t="s">
        <v>2231</v>
      </c>
      <c r="I1287" t="s">
        <v>552</v>
      </c>
      <c r="J1287" s="6" t="str">
        <f>HYPERLINK("https://www.biovista.com/db/link/%5B%5B%22Disease%7CLeigh%20Syndrome%22%5D,%20%5B%22Human%20Phenotype%7CSensory%20axonal%20neuropathy%22%5D%5D?strength-weight-map=%257B%2522MEDLINE_STRENGTH_AB%2522:1.0,%2522HPO%2522:100.0%257D", "Show Evidence...")</f>
        <v>Show Evidence...</v>
      </c>
    </row>
    <row r="1288" spans="1:10" ht="12.75">
      <c r="A1288" s="2" t="s">
        <v>50</v>
      </c>
      <c r="B1288" s="2" t="s">
        <v>1826</v>
      </c>
      <c r="C1288" s="2" t="s">
        <v>24</v>
      </c>
      <c r="D1288" s="2" t="s">
        <v>1827</v>
      </c>
      <c r="E1288" s="2" t="s">
        <v>431</v>
      </c>
      <c r="F1288" s="11" t="s">
        <v>2232</v>
      </c>
      <c r="G1288" t="s">
        <v>38</v>
      </c>
      <c r="H1288" t="s">
        <v>2233</v>
      </c>
      <c r="I1288" t="s">
        <v>552</v>
      </c>
      <c r="J1288" s="6" t="str">
        <f>HYPERLINK("https://www.biovista.com/db/link/%5B%5B%22Disease%7CLeigh%20Syndrome%22%5D,%20%5B%22Human%20Phenotype%7CSpastic%20diplegia%22%5D%5D?strength-weight-map=%257B%2522MEDLINE_STRENGTH_AB%2522:1.0,%2522HPO%2522:100.0%257D", "Show Evidence...")</f>
        <v>Show Evidence...</v>
      </c>
    </row>
    <row r="1289" spans="1:10" ht="12.75">
      <c r="A1289" s="2" t="s">
        <v>50</v>
      </c>
      <c r="B1289" s="2" t="s">
        <v>1826</v>
      </c>
      <c r="C1289" s="2" t="s">
        <v>24</v>
      </c>
      <c r="D1289" s="2" t="s">
        <v>1827</v>
      </c>
      <c r="E1289" s="2" t="s">
        <v>431</v>
      </c>
      <c r="F1289" s="11" t="s">
        <v>2234</v>
      </c>
      <c r="G1289" t="s">
        <v>38</v>
      </c>
      <c r="H1289" t="s">
        <v>2235</v>
      </c>
      <c r="I1289" t="s">
        <v>2236</v>
      </c>
      <c r="J1289" s="6" t="str">
        <f>HYPERLINK("https://www.biovista.com/db/link/%5B%5B%22Disease%7CLeigh%20Syndrome%22%5D,%20%5B%22Human%20Phenotype%7CEncephalomalacia%22%5D%5D?strength-weight-map=%257B%2522MEDLINE_STRENGTH_AB%2522:1.0,%2522HPO%2522:100.0%257D", "Show Evidence...")</f>
        <v>Show Evidence...</v>
      </c>
    </row>
    <row r="1290" spans="1:10" ht="12.75">
      <c r="A1290" s="2" t="s">
        <v>50</v>
      </c>
      <c r="B1290" s="2" t="s">
        <v>1826</v>
      </c>
      <c r="C1290" s="2" t="s">
        <v>24</v>
      </c>
      <c r="D1290" s="2" t="s">
        <v>1827</v>
      </c>
      <c r="E1290" s="2" t="s">
        <v>431</v>
      </c>
      <c r="F1290" s="11" t="s">
        <v>1260</v>
      </c>
      <c r="G1290" t="s">
        <v>38</v>
      </c>
      <c r="H1290" t="s">
        <v>1261</v>
      </c>
      <c r="I1290" t="s">
        <v>1965</v>
      </c>
      <c r="J1290" s="6" t="str">
        <f>HYPERLINK("https://www.biovista.com/db/link/%5B%5B%22Disease%7CLeigh%20Syndrome%22%5D,%20%5B%22Human%20Phenotype%7CEncephalopathy%22%5D%5D?strength-weight-map=%257B%2522MEDLINE_STRENGTH_AB%2522:1.0,%2522HPO%2522:100.0%257D", "Show Evidence...")</f>
        <v>Show Evidence...</v>
      </c>
    </row>
    <row r="1291" spans="1:10" ht="12.75">
      <c r="A1291" s="2" t="s">
        <v>50</v>
      </c>
      <c r="B1291" s="2" t="s">
        <v>1826</v>
      </c>
      <c r="C1291" s="2" t="s">
        <v>24</v>
      </c>
      <c r="D1291" s="2" t="s">
        <v>1827</v>
      </c>
      <c r="E1291" s="2" t="s">
        <v>431</v>
      </c>
      <c r="F1291" s="11" t="s">
        <v>1376</v>
      </c>
      <c r="G1291" t="s">
        <v>38</v>
      </c>
      <c r="H1291" t="s">
        <v>1377</v>
      </c>
      <c r="I1291" t="s">
        <v>2237</v>
      </c>
      <c r="J1291" s="6" t="str">
        <f>HYPERLINK("https://www.biovista.com/db/link/%5B%5B%22Disease%7CLeigh%20Syndrome%22%5D,%20%5B%22Human%20Phenotype%7CNeurodegeneration%22%5D%5D?strength-weight-map=%257B%2522MEDLINE_STRENGTH_AB%2522:1.0,%2522HPO%2522:100.0%257D", "Show Evidence...")</f>
        <v>Show Evidence...</v>
      </c>
    </row>
    <row r="1292" spans="1:10" ht="12.75">
      <c r="A1292" s="2" t="s">
        <v>50</v>
      </c>
      <c r="B1292" s="2" t="s">
        <v>1826</v>
      </c>
      <c r="C1292" s="2" t="s">
        <v>24</v>
      </c>
      <c r="D1292" s="2" t="s">
        <v>1827</v>
      </c>
      <c r="E1292" s="2" t="s">
        <v>431</v>
      </c>
      <c r="F1292" s="11" t="s">
        <v>514</v>
      </c>
      <c r="G1292" t="s">
        <v>38</v>
      </c>
      <c r="H1292" t="s">
        <v>515</v>
      </c>
      <c r="I1292" t="s">
        <v>2238</v>
      </c>
      <c r="J1292" s="6" t="str">
        <f>HYPERLINK("https://www.biovista.com/db/link/%5B%5B%22Disease%7CLeigh%20Syndrome%22%5D,%20%5B%22Human%20Phenotype%7CHypotonia%22%5D%5D?strength-weight-map=%257B%2522MEDLINE_STRENGTH_AB%2522:1.0,%2522HPO%2522:100.0%257D", "Show Evidence...")</f>
        <v>Show Evidence...</v>
      </c>
    </row>
    <row r="1293" spans="1:10" ht="12.75">
      <c r="A1293" s="2" t="s">
        <v>50</v>
      </c>
      <c r="B1293" s="2" t="s">
        <v>1826</v>
      </c>
      <c r="C1293" s="2" t="s">
        <v>24</v>
      </c>
      <c r="D1293" s="2" t="s">
        <v>1827</v>
      </c>
      <c r="E1293" s="2" t="s">
        <v>431</v>
      </c>
      <c r="F1293" s="11" t="s">
        <v>2239</v>
      </c>
      <c r="G1293" t="s">
        <v>38</v>
      </c>
      <c r="H1293" t="s">
        <v>2240</v>
      </c>
      <c r="I1293" t="s">
        <v>2241</v>
      </c>
      <c r="J1293" s="6" t="str">
        <f>HYPERLINK("https://www.biovista.com/db/link/%5B%5B%22Disease%7CLeigh%20Syndrome%22%5D,%20%5B%22Human%20Phenotype%7CCerebellar%20atrophy%22%5D%5D?strength-weight-map=%257B%2522MEDLINE_STRENGTH_AB%2522:1.0,%2522HPO%2522:100.0%257D", "Show Evidence...")</f>
        <v>Show Evidence...</v>
      </c>
    </row>
    <row r="1294" spans="1:10" ht="12.75">
      <c r="A1294" s="2" t="s">
        <v>50</v>
      </c>
      <c r="B1294" s="2" t="s">
        <v>1826</v>
      </c>
      <c r="C1294" s="2" t="s">
        <v>24</v>
      </c>
      <c r="D1294" s="2" t="s">
        <v>1827</v>
      </c>
      <c r="E1294" s="2" t="s">
        <v>431</v>
      </c>
      <c r="F1294" s="11" t="s">
        <v>2242</v>
      </c>
      <c r="G1294" t="s">
        <v>38</v>
      </c>
      <c r="H1294" t="s">
        <v>2243</v>
      </c>
      <c r="I1294" t="s">
        <v>2244</v>
      </c>
      <c r="J1294" s="6" t="str">
        <f>HYPERLINK("https://www.biovista.com/db/link/%5B%5B%22Disease%7CLeigh%20Syndrome%22%5D,%20%5B%22Human%20Phenotype%7CCataract%22%5D%5D?strength-weight-map=%257B%2522MEDLINE_STRENGTH_AB%2522:1.0,%2522HPO%2522:100.0%257D", "Show Evidence...")</f>
        <v>Show Evidence...</v>
      </c>
    </row>
    <row r="1295" spans="1:10" ht="12.75">
      <c r="A1295" s="2" t="s">
        <v>50</v>
      </c>
      <c r="B1295" s="2" t="s">
        <v>1826</v>
      </c>
      <c r="C1295" s="2" t="s">
        <v>24</v>
      </c>
      <c r="D1295" s="2" t="s">
        <v>1827</v>
      </c>
      <c r="E1295" s="2" t="s">
        <v>431</v>
      </c>
      <c r="F1295" s="11" t="s">
        <v>1331</v>
      </c>
      <c r="G1295" t="s">
        <v>38</v>
      </c>
      <c r="H1295" t="s">
        <v>1332</v>
      </c>
      <c r="I1295" t="s">
        <v>2245</v>
      </c>
      <c r="J1295" s="6" t="str">
        <f>HYPERLINK("https://www.biovista.com/db/link/%5B%5B%22Disease%7CLeigh%20Syndrome%22%5D,%20%5B%22Human%20Phenotype%7CInfantile%20spasms%22%5D%5D?strength-weight-map=%257B%2522MEDLINE_STRENGTH_AB%2522:1.0,%2522HPO%2522:100.0%257D", "Show Evidence...")</f>
        <v>Show Evidence...</v>
      </c>
    </row>
    <row r="1296" spans="1:10" ht="12.75">
      <c r="A1296" s="2" t="s">
        <v>50</v>
      </c>
      <c r="B1296" s="2" t="s">
        <v>1826</v>
      </c>
      <c r="C1296" s="2" t="s">
        <v>24</v>
      </c>
      <c r="D1296" s="2" t="s">
        <v>1827</v>
      </c>
      <c r="E1296" s="2" t="s">
        <v>431</v>
      </c>
      <c r="F1296" s="11" t="s">
        <v>2246</v>
      </c>
      <c r="G1296" t="s">
        <v>38</v>
      </c>
      <c r="H1296" t="s">
        <v>2247</v>
      </c>
      <c r="I1296" t="s">
        <v>2248</v>
      </c>
      <c r="J1296" s="6" t="str">
        <f>HYPERLINK("https://www.biovista.com/db/link/%5B%5B%22Disease%7CLeigh%20Syndrome%22%5D,%20%5B%22Human%20Phenotype%7CStatus%20epilepticus%22%5D%5D?strength-weight-map=%257B%2522MEDLINE_STRENGTH_AB%2522:1.0,%2522HPO%2522:100.0%257D", "Show Evidence...")</f>
        <v>Show Evidence...</v>
      </c>
    </row>
    <row r="1297" spans="1:10" ht="12.75">
      <c r="A1297" s="2" t="s">
        <v>50</v>
      </c>
      <c r="B1297" s="2" t="s">
        <v>1826</v>
      </c>
      <c r="C1297" s="2" t="s">
        <v>24</v>
      </c>
      <c r="D1297" s="2" t="s">
        <v>1827</v>
      </c>
      <c r="E1297" s="2" t="s">
        <v>431</v>
      </c>
      <c r="F1297" s="11" t="s">
        <v>1406</v>
      </c>
      <c r="G1297" t="s">
        <v>38</v>
      </c>
      <c r="H1297" t="s">
        <v>1407</v>
      </c>
      <c r="I1297" t="s">
        <v>2249</v>
      </c>
      <c r="J1297" s="6" t="str">
        <f>HYPERLINK("https://www.biovista.com/db/link/%5B%5B%22Disease%7CLeigh%20Syndrome%22%5D,%20%5B%22Human%20Phenotype%7CDyskinesia%22%5D%5D?strength-weight-map=%257B%2522MEDLINE_STRENGTH_AB%2522:1.0,%2522HPO%2522:100.0%257D", "Show Evidence...")</f>
        <v>Show Evidence...</v>
      </c>
    </row>
    <row r="1298" spans="1:10" ht="12.75">
      <c r="A1298" s="2" t="s">
        <v>50</v>
      </c>
      <c r="B1298" s="2" t="s">
        <v>1826</v>
      </c>
      <c r="C1298" s="2" t="s">
        <v>24</v>
      </c>
      <c r="D1298" s="2" t="s">
        <v>1827</v>
      </c>
      <c r="E1298" s="2" t="s">
        <v>431</v>
      </c>
      <c r="F1298" s="11" t="s">
        <v>2250</v>
      </c>
      <c r="G1298" t="s">
        <v>38</v>
      </c>
      <c r="H1298" t="s">
        <v>2251</v>
      </c>
      <c r="I1298" t="s">
        <v>2249</v>
      </c>
      <c r="J1298" s="6" t="str">
        <f>HYPERLINK("https://www.biovista.com/db/link/%5B%5B%22Disease%7CLeigh%20Syndrome%22%5D,%20%5B%22Human%20Phenotype%7CIntrauterine%20growth%20retardation%22%5D%5D?strength-weight-map=%257B%2522MEDLINE_STRENGTH_AB%2522:1.0,%2522HPO%2522:100.0%257D", "Show Evidence...")</f>
        <v>Show Evidence...</v>
      </c>
    </row>
    <row r="1299" spans="1:10" ht="12.75">
      <c r="A1299" s="2" t="s">
        <v>50</v>
      </c>
      <c r="B1299" s="2" t="s">
        <v>1826</v>
      </c>
      <c r="C1299" s="2" t="s">
        <v>24</v>
      </c>
      <c r="D1299" s="2" t="s">
        <v>1827</v>
      </c>
      <c r="E1299" s="2" t="s">
        <v>431</v>
      </c>
      <c r="F1299" s="11" t="s">
        <v>2252</v>
      </c>
      <c r="G1299" t="s">
        <v>38</v>
      </c>
      <c r="H1299" t="s">
        <v>2253</v>
      </c>
      <c r="I1299" t="s">
        <v>2254</v>
      </c>
      <c r="J1299" s="6" t="str">
        <f>HYPERLINK("https://www.biovista.com/db/link/%5B%5B%22Disease%7CLeigh%20Syndrome%22%5D,%20%5B%22Human%20Phenotype%7CAbnormal%20facial%20shape%22%5D%5D?strength-weight-map=%257B%2522MEDLINE_STRENGTH_AB%2522:1.0,%2522HPO%2522:100.0%257D", "Show Evidence...")</f>
        <v>Show Evidence...</v>
      </c>
    </row>
    <row r="1300" spans="1:10" ht="12.75">
      <c r="A1300" s="2" t="s">
        <v>50</v>
      </c>
      <c r="B1300" s="2" t="s">
        <v>1826</v>
      </c>
      <c r="C1300" s="2" t="s">
        <v>24</v>
      </c>
      <c r="D1300" s="2" t="s">
        <v>1827</v>
      </c>
      <c r="E1300" s="2" t="s">
        <v>431</v>
      </c>
      <c r="F1300" s="11" t="s">
        <v>2255</v>
      </c>
      <c r="G1300" t="s">
        <v>38</v>
      </c>
      <c r="H1300" t="s">
        <v>2256</v>
      </c>
      <c r="I1300" t="s">
        <v>2254</v>
      </c>
      <c r="J1300" s="6" t="str">
        <f>HYPERLINK("https://www.biovista.com/db/link/%5B%5B%22Disease%7CLeigh%20Syndrome%22%5D,%20%5B%22Human%20Phenotype%7CNeutropenia%22%5D%5D?strength-weight-map=%257B%2522MEDLINE_STRENGTH_AB%2522:1.0,%2522HPO%2522:100.0%257D", "Show Evidence...")</f>
        <v>Show Evidence...</v>
      </c>
    </row>
    <row r="1301" spans="1:10" ht="12.75">
      <c r="A1301" s="2" t="s">
        <v>50</v>
      </c>
      <c r="B1301" s="2" t="s">
        <v>1826</v>
      </c>
      <c r="C1301" s="2" t="s">
        <v>24</v>
      </c>
      <c r="D1301" s="2" t="s">
        <v>1827</v>
      </c>
      <c r="E1301" s="2" t="s">
        <v>431</v>
      </c>
      <c r="F1301" s="11" t="s">
        <v>2257</v>
      </c>
      <c r="G1301" t="s">
        <v>38</v>
      </c>
      <c r="H1301" t="s">
        <v>2258</v>
      </c>
      <c r="I1301" t="s">
        <v>2259</v>
      </c>
      <c r="J1301" s="6" t="str">
        <f>HYPERLINK("https://www.biovista.com/db/link/%5B%5B%22Disease%7CLeigh%20Syndrome%22%5D,%20%5B%22Human%20Phenotype%7CRenal%20tubular%20acidosis%22%5D%5D?strength-weight-map=%257B%2522MEDLINE_STRENGTH_AB%2522:1.0,%2522HPO%2522:100.0%257D", "Show Evidence...")</f>
        <v>Show Evidence...</v>
      </c>
    </row>
    <row r="1302" spans="1:10" ht="12.75">
      <c r="A1302" s="2" t="s">
        <v>50</v>
      </c>
      <c r="B1302" s="2" t="s">
        <v>1826</v>
      </c>
      <c r="C1302" s="2" t="s">
        <v>24</v>
      </c>
      <c r="D1302" s="2" t="s">
        <v>1827</v>
      </c>
      <c r="E1302" s="2" t="s">
        <v>431</v>
      </c>
      <c r="F1302" s="11" t="s">
        <v>2260</v>
      </c>
      <c r="G1302" t="s">
        <v>38</v>
      </c>
      <c r="H1302" t="s">
        <v>2261</v>
      </c>
      <c r="I1302" t="s">
        <v>2262</v>
      </c>
      <c r="J1302" s="6" t="str">
        <f>HYPERLINK("https://www.biovista.com/db/link/%5B%5B%22Disease%7CLeigh%20Syndrome%22%5D,%20%5B%22Human%20Phenotype%7CNephrotic%20syndrome%22%5D%5D?strength-weight-map=%257B%2522MEDLINE_STRENGTH_AB%2522:1.0,%2522HPO%2522:100.0%257D", "Show Evidence...")</f>
        <v>Show Evidence...</v>
      </c>
    </row>
    <row r="1303" spans="1:10" ht="12.75">
      <c r="A1303" s="2" t="s">
        <v>50</v>
      </c>
      <c r="B1303" s="2" t="s">
        <v>1826</v>
      </c>
      <c r="C1303" s="2" t="s">
        <v>24</v>
      </c>
      <c r="D1303" s="2" t="s">
        <v>1827</v>
      </c>
      <c r="E1303" s="2" t="s">
        <v>431</v>
      </c>
      <c r="F1303" s="11" t="s">
        <v>2263</v>
      </c>
      <c r="G1303" t="s">
        <v>38</v>
      </c>
      <c r="H1303" t="s">
        <v>2264</v>
      </c>
      <c r="I1303" t="s">
        <v>2265</v>
      </c>
      <c r="J1303" s="6" t="str">
        <f>HYPERLINK("https://www.biovista.com/db/link/%5B%5B%22Disease%7CLeigh%20Syndrome%22%5D,%20%5B%22Human%20Phenotype%7CGastrointestinal%20dysmotility%22%5D%5D?strength-weight-map=%257B%2522MEDLINE_STRENGTH_AB%2522:1.0,%2522HPO%2522:100.0%257D", "Show Evidence...")</f>
        <v>Show Evidence...</v>
      </c>
    </row>
    <row r="1304" spans="1:10" ht="12.75">
      <c r="A1304" s="2" t="s">
        <v>50</v>
      </c>
      <c r="B1304" s="2" t="s">
        <v>1826</v>
      </c>
      <c r="C1304" s="2" t="s">
        <v>24</v>
      </c>
      <c r="D1304" s="2" t="s">
        <v>1827</v>
      </c>
      <c r="E1304" s="2" t="s">
        <v>431</v>
      </c>
      <c r="F1304" s="11" t="s">
        <v>2266</v>
      </c>
      <c r="G1304" t="s">
        <v>38</v>
      </c>
      <c r="H1304" t="s">
        <v>2267</v>
      </c>
      <c r="I1304" t="s">
        <v>2268</v>
      </c>
      <c r="J1304" s="6" t="str">
        <f>HYPERLINK("https://www.biovista.com/db/link/%5B%5B%22Disease%7CLeigh%20Syndrome%22%5D,%20%5B%22Human%20Phenotype%7CAlopecia%22%5D%5D?strength-weight-map=%257B%2522MEDLINE_STRENGTH_AB%2522:1.0,%2522HPO%2522:100.0%257D", "Show Evidence...")</f>
        <v>Show Evidence...</v>
      </c>
    </row>
    <row r="1305" spans="1:10" ht="12.75">
      <c r="A1305" s="2" t="s">
        <v>50</v>
      </c>
      <c r="B1305" s="2" t="s">
        <v>1826</v>
      </c>
      <c r="C1305" s="2" t="s">
        <v>24</v>
      </c>
      <c r="D1305" s="2" t="s">
        <v>1827</v>
      </c>
      <c r="E1305" s="2" t="s">
        <v>431</v>
      </c>
      <c r="F1305" s="11" t="s">
        <v>2269</v>
      </c>
      <c r="G1305" t="s">
        <v>38</v>
      </c>
      <c r="H1305" t="s">
        <v>2270</v>
      </c>
      <c r="I1305" t="s">
        <v>604</v>
      </c>
      <c r="J1305" s="6" t="str">
        <f>HYPERLINK("https://www.biovista.com/db/link/%5B%5B%22Disease%7CLeigh%20Syndrome%22%5D,%20%5B%22Human%20Phenotype%7CDecreased%20activity%20of%20mitochondrial%20complex%20II%22%5D%5D?strength-weight-map=%257B%2522MEDLINE_STRENGTH_AB%2522:1.0,%2522HPO%2522:100.0%257D", "Show Evidence...")</f>
        <v>Show Evidence...</v>
      </c>
    </row>
    <row r="1306" spans="1:10" ht="12.75">
      <c r="A1306" s="2" t="s">
        <v>50</v>
      </c>
      <c r="B1306" s="2" t="s">
        <v>1826</v>
      </c>
      <c r="C1306" s="2" t="s">
        <v>24</v>
      </c>
      <c r="D1306" s="2" t="s">
        <v>1827</v>
      </c>
      <c r="E1306" s="2" t="s">
        <v>431</v>
      </c>
      <c r="F1306" s="11" t="s">
        <v>2271</v>
      </c>
      <c r="G1306" t="s">
        <v>38</v>
      </c>
      <c r="H1306" t="s">
        <v>2272</v>
      </c>
      <c r="I1306" t="s">
        <v>604</v>
      </c>
      <c r="J1306" s="6" t="str">
        <f>HYPERLINK("https://www.biovista.com/db/link/%5B%5B%22Disease%7CLeigh%20Syndrome%22%5D,%20%5B%22Human%20Phenotype%7CEczematoid%20dermatitis%22%5D%5D?strength-weight-map=%257B%2522MEDLINE_STRENGTH_AB%2522:1.0,%2522HPO%2522:100.0%257D", "Show Evidence...")</f>
        <v>Show Evidence...</v>
      </c>
    </row>
    <row r="1307" spans="1:10" ht="12.75">
      <c r="A1307" s="2" t="s">
        <v>50</v>
      </c>
      <c r="B1307" s="2" t="s">
        <v>1826</v>
      </c>
      <c r="C1307" s="2" t="s">
        <v>24</v>
      </c>
      <c r="D1307" s="2" t="s">
        <v>1827</v>
      </c>
      <c r="E1307" s="2" t="s">
        <v>431</v>
      </c>
      <c r="F1307" s="11" t="s">
        <v>2273</v>
      </c>
      <c r="G1307" t="s">
        <v>38</v>
      </c>
      <c r="H1307" t="s">
        <v>2274</v>
      </c>
      <c r="I1307" t="s">
        <v>604</v>
      </c>
      <c r="J1307" s="6" t="str">
        <f>HYPERLINK("https://www.biovista.com/db/link/%5B%5B%22Disease%7CLeigh%20Syndrome%22%5D,%20%5B%22Human%20Phenotype%7CFrontal%20hirsutism%22%5D%5D?strength-weight-map=%257B%2522MEDLINE_STRENGTH_AB%2522:1.0,%2522HPO%2522:100.0%257D", "Show Evidence...")</f>
        <v>Show Evidence...</v>
      </c>
    </row>
    <row r="1308" spans="1:10" ht="12.75">
      <c r="A1308" s="2" t="s">
        <v>50</v>
      </c>
      <c r="B1308" s="2" t="s">
        <v>1826</v>
      </c>
      <c r="C1308" s="2" t="s">
        <v>24</v>
      </c>
      <c r="D1308" s="2" t="s">
        <v>1827</v>
      </c>
      <c r="E1308" s="2" t="s">
        <v>431</v>
      </c>
      <c r="F1308" s="11" t="s">
        <v>2275</v>
      </c>
      <c r="G1308" t="s">
        <v>38</v>
      </c>
      <c r="H1308" t="s">
        <v>2276</v>
      </c>
      <c r="I1308" t="s">
        <v>604</v>
      </c>
      <c r="J1308" s="6" t="str">
        <f>HYPERLINK("https://www.biovista.com/db/link/%5B%5B%22Disease%7CLeigh%20Syndrome%22%5D,%20%5B%22Human%20Phenotype%7CHigh%20forehead%22%5D%5D?strength-weight-map=%257B%2522MEDLINE_STRENGTH_AB%2522:1.0,%2522HPO%2522:100.0%257D", "Show Evidence...")</f>
        <v>Show Evidence...</v>
      </c>
    </row>
    <row r="1309" spans="1:10" ht="12.75">
      <c r="A1309" s="2" t="s">
        <v>50</v>
      </c>
      <c r="B1309" s="2" t="s">
        <v>1826</v>
      </c>
      <c r="C1309" s="2" t="s">
        <v>24</v>
      </c>
      <c r="D1309" s="2" t="s">
        <v>1827</v>
      </c>
      <c r="E1309" s="2" t="s">
        <v>431</v>
      </c>
      <c r="F1309" s="11" t="s">
        <v>2277</v>
      </c>
      <c r="G1309" t="s">
        <v>38</v>
      </c>
      <c r="H1309" t="s">
        <v>2278</v>
      </c>
      <c r="I1309" t="s">
        <v>604</v>
      </c>
      <c r="J1309" s="6" t="str">
        <f>HYPERLINK("https://www.biovista.com/db/link/%5B%5B%22Disease%7CLeigh%20Syndrome%22%5D,%20%5B%22Human%20Phenotype%7CMacrotia%22%5D%5D?strength-weight-map=%257B%2522MEDLINE_STRENGTH_AB%2522:1.0,%2522HPO%2522:100.0%257D", "Show Evidence...")</f>
        <v>Show Evidence...</v>
      </c>
    </row>
    <row r="1310" spans="1:10" ht="12.75">
      <c r="A1310" s="2" t="s">
        <v>50</v>
      </c>
      <c r="B1310" s="2" t="s">
        <v>1826</v>
      </c>
      <c r="C1310" s="2" t="s">
        <v>24</v>
      </c>
      <c r="D1310" s="2" t="s">
        <v>1827</v>
      </c>
      <c r="E1310" s="2" t="s">
        <v>704</v>
      </c>
      <c r="F1310" s="11" t="s">
        <v>775</v>
      </c>
      <c r="G1310" t="s">
        <v>37</v>
      </c>
      <c r="H1310" t="s">
        <v>776</v>
      </c>
      <c r="I1310" t="s">
        <v>2279</v>
      </c>
      <c r="J1310" s="6" t="str">
        <f>HYPERLINK("https://www.biovista.com/db/link/%5B%5B%22Disease%7CLeigh%20Syndrome%22%5D,%20%5B%22Pathway%7Coxidative%20phosphorylation%22%5D%5D?strength-weight-map=%257B%2522MEDLINE_STRENGTH_AB%2522:1.0,%2522HPO%2522:100.0%257D", "Show Evidence...")</f>
        <v>Show Evidence...</v>
      </c>
    </row>
    <row r="1311" spans="1:10" ht="12.75">
      <c r="A1311" s="2" t="s">
        <v>50</v>
      </c>
      <c r="B1311" s="2" t="s">
        <v>1826</v>
      </c>
      <c r="C1311" s="2" t="s">
        <v>24</v>
      </c>
      <c r="D1311" s="2" t="s">
        <v>1827</v>
      </c>
      <c r="E1311" s="2" t="s">
        <v>704</v>
      </c>
      <c r="F1311" s="11" t="s">
        <v>791</v>
      </c>
      <c r="G1311" t="s">
        <v>37</v>
      </c>
      <c r="H1311" t="s">
        <v>792</v>
      </c>
      <c r="I1311" t="s">
        <v>2280</v>
      </c>
      <c r="J1311" s="6" t="str">
        <f>HYPERLINK("https://www.biovista.com/db/link/%5B%5B%22Disease%7CLeigh%20Syndrome%22%5D,%20%5B%22Pathway%7Celectron%20transport%20chain%22%5D%5D?strength-weight-map=%257B%2522MEDLINE_STRENGTH_AB%2522:1.0,%2522HPO%2522:100.0%257D", "Show Evidence...")</f>
        <v>Show Evidence...</v>
      </c>
    </row>
    <row r="1312" spans="1:10" ht="12.75">
      <c r="A1312" s="2" t="s">
        <v>50</v>
      </c>
      <c r="B1312" s="2" t="s">
        <v>1826</v>
      </c>
      <c r="C1312" s="2" t="s">
        <v>24</v>
      </c>
      <c r="D1312" s="2" t="s">
        <v>1827</v>
      </c>
      <c r="E1312" s="2" t="s">
        <v>704</v>
      </c>
      <c r="F1312" s="11" t="s">
        <v>733</v>
      </c>
      <c r="G1312" t="s">
        <v>37</v>
      </c>
      <c r="H1312" t="s">
        <v>734</v>
      </c>
      <c r="I1312" t="s">
        <v>2281</v>
      </c>
      <c r="J1312" s="6" t="str">
        <f>HYPERLINK("https://www.biovista.com/db/link/%5B%5B%22Disease%7CLeigh%20Syndrome%22%5D,%20%5B%22Pathway%7Ccellular%20respiration%22%5D%5D?strength-weight-map=%257B%2522MEDLINE_STRENGTH_AB%2522:1.0,%2522HPO%2522:100.0%257D", "Show Evidence...")</f>
        <v>Show Evidence...</v>
      </c>
    </row>
    <row r="1313" spans="1:10" ht="12.75">
      <c r="A1313" s="2" t="s">
        <v>50</v>
      </c>
      <c r="B1313" s="2" t="s">
        <v>1826</v>
      </c>
      <c r="C1313" s="2" t="s">
        <v>24</v>
      </c>
      <c r="D1313" s="2" t="s">
        <v>1827</v>
      </c>
      <c r="E1313" s="2" t="s">
        <v>704</v>
      </c>
      <c r="F1313" s="11" t="s">
        <v>2282</v>
      </c>
      <c r="G1313" t="s">
        <v>37</v>
      </c>
      <c r="H1313" t="s">
        <v>2283</v>
      </c>
      <c r="I1313" t="s">
        <v>2284</v>
      </c>
      <c r="J1313" s="6" t="str">
        <f>HYPERLINK("https://www.biovista.com/db/link/%5B%5B%22Disease%7CLeigh%20Syndrome%22%5D,%20%5B%22Pathway%7Cregulation%20of%20oxidative%20phosphorylation%22%5D%5D?strength-weight-map=%257B%2522MEDLINE_STRENGTH_AB%2522:1.0,%2522HPO%2522:100.0%257D", "Show Evidence...")</f>
        <v>Show Evidence...</v>
      </c>
    </row>
    <row r="1314" spans="1:10" ht="12.75">
      <c r="A1314" s="2" t="s">
        <v>50</v>
      </c>
      <c r="B1314" s="2" t="s">
        <v>1826</v>
      </c>
      <c r="C1314" s="2" t="s">
        <v>24</v>
      </c>
      <c r="D1314" s="2" t="s">
        <v>1827</v>
      </c>
      <c r="E1314" s="2" t="s">
        <v>704</v>
      </c>
      <c r="F1314" s="11" t="s">
        <v>723</v>
      </c>
      <c r="G1314" t="s">
        <v>37</v>
      </c>
      <c r="H1314" t="s">
        <v>724</v>
      </c>
      <c r="I1314" t="s">
        <v>2285</v>
      </c>
      <c r="J1314" s="6" t="str">
        <f>HYPERLINK("https://www.biovista.com/db/link/%5B%5B%22Disease%7CLeigh%20Syndrome%22%5D,%20%5B%22Pathway%7Ctranslation%22%5D%5D?strength-weight-map=%257B%2522MEDLINE_STRENGTH_AB%2522:1.0,%2522HPO%2522:100.0%257D", "Show Evidence...")</f>
        <v>Show Evidence...</v>
      </c>
    </row>
    <row r="1315" spans="1:10" ht="12.75">
      <c r="A1315" s="2" t="s">
        <v>50</v>
      </c>
      <c r="B1315" s="2" t="s">
        <v>1826</v>
      </c>
      <c r="C1315" s="2" t="s">
        <v>24</v>
      </c>
      <c r="D1315" s="2" t="s">
        <v>1827</v>
      </c>
      <c r="E1315" s="2" t="s">
        <v>704</v>
      </c>
      <c r="F1315" s="11" t="s">
        <v>811</v>
      </c>
      <c r="G1315" t="s">
        <v>37</v>
      </c>
      <c r="H1315" t="s">
        <v>812</v>
      </c>
      <c r="I1315" t="s">
        <v>1992</v>
      </c>
      <c r="J1315" s="6" t="str">
        <f>HYPERLINK("https://www.biovista.com/db/link/%5B%5B%22Disease%7CLeigh%20Syndrome%22%5D,%20%5B%22Pathway%7Ctricarboxylic%20acid%20cycle%22%5D%5D?strength-weight-map=%257B%2522MEDLINE_STRENGTH_AB%2522:1.0,%2522HPO%2522:100.0%257D", "Show Evidence...")</f>
        <v>Show Evidence...</v>
      </c>
    </row>
    <row r="1316" spans="1:10" ht="12.75">
      <c r="A1316" s="2" t="s">
        <v>50</v>
      </c>
      <c r="B1316" s="2" t="s">
        <v>1826</v>
      </c>
      <c r="C1316" s="2" t="s">
        <v>24</v>
      </c>
      <c r="D1316" s="2" t="s">
        <v>1827</v>
      </c>
      <c r="E1316" s="2" t="s">
        <v>704</v>
      </c>
      <c r="F1316" s="11" t="s">
        <v>2286</v>
      </c>
      <c r="G1316" t="s">
        <v>37</v>
      </c>
      <c r="H1316" t="s">
        <v>2287</v>
      </c>
      <c r="I1316" t="s">
        <v>1832</v>
      </c>
      <c r="J1316" s="6" t="str">
        <f>HYPERLINK("https://www.biovista.com/db/link/%5B%5B%22Disease%7CLeigh%20Syndrome%22%5D,%20%5B%22Pathway%7Cmitochondrial%20translation%22%5D%5D?strength-weight-map=%257B%2522MEDLINE_STRENGTH_AB%2522:1.0,%2522HPO%2522:100.0%257D", "Show Evidence...")</f>
        <v>Show Evidence...</v>
      </c>
    </row>
    <row r="1317" spans="1:10" ht="12.75">
      <c r="A1317" s="2" t="s">
        <v>50</v>
      </c>
      <c r="B1317" s="2" t="s">
        <v>1826</v>
      </c>
      <c r="C1317" s="2" t="s">
        <v>24</v>
      </c>
      <c r="D1317" s="2" t="s">
        <v>1827</v>
      </c>
      <c r="E1317" s="2" t="s">
        <v>704</v>
      </c>
      <c r="F1317" s="11" t="s">
        <v>737</v>
      </c>
      <c r="G1317" t="s">
        <v>37</v>
      </c>
      <c r="H1317" t="s">
        <v>738</v>
      </c>
      <c r="I1317" t="s">
        <v>2288</v>
      </c>
      <c r="J1317" s="6" t="str">
        <f>HYPERLINK("https://www.biovista.com/db/link/%5B%5B%22Disease%7CLeigh%20Syndrome%22%5D,%20%5B%22Pathway%7CmRNA%20cis%20splicing,%20via%20spliceosome%22%5D%5D?strength-weight-map=%257B%2522MEDLINE_STRENGTH_AB%2522:1.0,%2522HPO%2522:100.0%257D", "Show Evidence...")</f>
        <v>Show Evidence...</v>
      </c>
    </row>
    <row r="1318" spans="1:10" ht="12.75">
      <c r="A1318" s="2" t="s">
        <v>50</v>
      </c>
      <c r="B1318" s="2" t="s">
        <v>1826</v>
      </c>
      <c r="C1318" s="2" t="s">
        <v>24</v>
      </c>
      <c r="D1318" s="2" t="s">
        <v>1827</v>
      </c>
      <c r="E1318" s="2" t="s">
        <v>704</v>
      </c>
      <c r="F1318" s="11" t="s">
        <v>2289</v>
      </c>
      <c r="G1318" t="s">
        <v>37</v>
      </c>
      <c r="H1318" t="s">
        <v>2290</v>
      </c>
      <c r="I1318" t="s">
        <v>1995</v>
      </c>
      <c r="J1318" s="6" t="str">
        <f>HYPERLINK("https://www.biovista.com/db/link/%5B%5B%22Disease%7CLeigh%20Syndrome%22%5D,%20%5B%22Pathway%7CATP%20biosynthetic%20process%22%5D%5D?strength-weight-map=%257B%2522MEDLINE_STRENGTH_AB%2522:1.0,%2522HPO%2522:100.0%257D", "Show Evidence...")</f>
        <v>Show Evidence...</v>
      </c>
    </row>
    <row r="1319" spans="1:10" ht="12.75">
      <c r="A1319" s="2" t="s">
        <v>50</v>
      </c>
      <c r="B1319" s="2" t="s">
        <v>1826</v>
      </c>
      <c r="C1319" s="2" t="s">
        <v>24</v>
      </c>
      <c r="D1319" s="2" t="s">
        <v>1827</v>
      </c>
      <c r="E1319" s="2" t="s">
        <v>704</v>
      </c>
      <c r="F1319" s="11" t="s">
        <v>1491</v>
      </c>
      <c r="G1319" t="s">
        <v>37</v>
      </c>
      <c r="H1319" t="s">
        <v>1492</v>
      </c>
      <c r="I1319" t="s">
        <v>1995</v>
      </c>
      <c r="J1319" s="6" t="str">
        <f>HYPERLINK("https://www.biovista.com/db/link/%5B%5B%22Disease%7CLeigh%20Syndrome%22%5D,%20%5B%22Pathway%7Creactive%20gliosis%22%5D%5D?strength-weight-map=%257B%2522MEDLINE_STRENGTH_AB%2522:1.0,%2522HPO%2522:100.0%257D", "Show Evidence...")</f>
        <v>Show Evidence...</v>
      </c>
    </row>
    <row r="1320" spans="1:10" ht="12.75">
      <c r="A1320" s="2" t="s">
        <v>50</v>
      </c>
      <c r="B1320" s="2" t="s">
        <v>1826</v>
      </c>
      <c r="C1320" s="2" t="s">
        <v>24</v>
      </c>
      <c r="D1320" s="2" t="s">
        <v>1827</v>
      </c>
      <c r="E1320" s="2" t="s">
        <v>704</v>
      </c>
      <c r="F1320" s="11" t="s">
        <v>720</v>
      </c>
      <c r="G1320" t="s">
        <v>37</v>
      </c>
      <c r="H1320" t="s">
        <v>721</v>
      </c>
      <c r="I1320" t="s">
        <v>2001</v>
      </c>
      <c r="J1320" s="6" t="str">
        <f>HYPERLINK("https://www.biovista.com/db/link/%5B%5B%22Disease%7CLeigh%20Syndrome%22%5D,%20%5B%22Pathway%7Capoptotic%20process%22%5D%5D?strength-weight-map=%257B%2522MEDLINE_STRENGTH_AB%2522:1.0,%2522HPO%2522:100.0%257D", "Show Evidence...")</f>
        <v>Show Evidence...</v>
      </c>
    </row>
    <row r="1321" spans="1:10" ht="12.75">
      <c r="A1321" s="2" t="s">
        <v>50</v>
      </c>
      <c r="B1321" s="2" t="s">
        <v>1826</v>
      </c>
      <c r="C1321" s="2" t="s">
        <v>24</v>
      </c>
      <c r="D1321" s="2" t="s">
        <v>1827</v>
      </c>
      <c r="E1321" s="2" t="s">
        <v>717</v>
      </c>
      <c r="F1321" s="11" t="s">
        <v>718</v>
      </c>
      <c r="G1321" t="s">
        <v>37</v>
      </c>
      <c r="H1321" t="s">
        <v>719</v>
      </c>
      <c r="I1321" t="s">
        <v>2291</v>
      </c>
      <c r="J1321" s="6" t="str">
        <f>HYPERLINK("https://www.biovista.com/db/link/%5B%5B%22Disease%7CLeigh%20Syndrome%22%5D,%20%5B%22Pathway%7Caging%22%5D%5D?strength-weight-map=%257B%2522MEDLINE_STRENGTH_AB%2522:1.0,%2522HPO%2522:100.0%257D", "Show Evidence...")</f>
        <v>Show Evidence...</v>
      </c>
    </row>
    <row r="1322" spans="1:10" ht="12.75">
      <c r="A1322" s="2" t="s">
        <v>50</v>
      </c>
      <c r="B1322" s="2" t="s">
        <v>1826</v>
      </c>
      <c r="C1322" s="2" t="s">
        <v>24</v>
      </c>
      <c r="D1322" s="2" t="s">
        <v>1827</v>
      </c>
      <c r="E1322" s="2" t="s">
        <v>704</v>
      </c>
      <c r="F1322" s="11" t="s">
        <v>760</v>
      </c>
      <c r="G1322" t="s">
        <v>37</v>
      </c>
      <c r="H1322" t="s">
        <v>761</v>
      </c>
      <c r="I1322" t="s">
        <v>2011</v>
      </c>
      <c r="J1322" s="6" t="str">
        <f>HYPERLINK("https://www.biovista.com/db/link/%5B%5B%22Disease%7CLeigh%20Syndrome%22%5D,%20%5B%22Pathway%7Chomeostatic%20process%22%5D%5D?strength-weight-map=%257B%2522MEDLINE_STRENGTH_AB%2522:1.0,%2522HPO%2522:100.0%257D", "Show Evidence...")</f>
        <v>Show Evidence...</v>
      </c>
    </row>
    <row r="1323" spans="1:10" ht="12.75">
      <c r="A1323" s="2" t="s">
        <v>50</v>
      </c>
      <c r="B1323" s="2" t="s">
        <v>1826</v>
      </c>
      <c r="C1323" s="2" t="s">
        <v>24</v>
      </c>
      <c r="D1323" s="2" t="s">
        <v>1827</v>
      </c>
      <c r="E1323" s="2" t="s">
        <v>704</v>
      </c>
      <c r="F1323" s="11" t="s">
        <v>2292</v>
      </c>
      <c r="G1323" t="s">
        <v>37</v>
      </c>
      <c r="H1323" t="s">
        <v>2293</v>
      </c>
      <c r="I1323" t="s">
        <v>2018</v>
      </c>
      <c r="J1323" s="6" t="str">
        <f>HYPERLINK("https://www.biovista.com/db/link/%5B%5B%22Disease%7CLeigh%20Syndrome%22%5D,%20%5B%22Pathway%7Cpyruvate%20metabolic%20process%22%5D%5D?strength-weight-map=%257B%2522MEDLINE_STRENGTH_AB%2522:1.0,%2522HPO%2522:100.0%257D", "Show Evidence...")</f>
        <v>Show Evidence...</v>
      </c>
    </row>
    <row r="1324" spans="1:10" ht="12.75">
      <c r="A1324" s="2" t="s">
        <v>50</v>
      </c>
      <c r="B1324" s="2" t="s">
        <v>1826</v>
      </c>
      <c r="C1324" s="2" t="s">
        <v>24</v>
      </c>
      <c r="D1324" s="2" t="s">
        <v>1827</v>
      </c>
      <c r="E1324" s="2" t="s">
        <v>704</v>
      </c>
      <c r="F1324" s="11" t="s">
        <v>823</v>
      </c>
      <c r="G1324" t="s">
        <v>37</v>
      </c>
      <c r="H1324" t="s">
        <v>824</v>
      </c>
      <c r="I1324" t="s">
        <v>2294</v>
      </c>
      <c r="J1324" s="6" t="str">
        <f>HYPERLINK("https://www.biovista.com/db/link/%5B%5B%22Disease%7CLeigh%20Syndrome%22%5D,%20%5B%22Pathway%7Cglycolytic%20process%22%5D%5D?strength-weight-map=%257B%2522MEDLINE_STRENGTH_AB%2522:1.0,%2522HPO%2522:100.0%257D", "Show Evidence...")</f>
        <v>Show Evidence...</v>
      </c>
    </row>
    <row r="1325" spans="1:10" ht="12.75">
      <c r="A1325" s="2" t="s">
        <v>50</v>
      </c>
      <c r="B1325" s="2" t="s">
        <v>1826</v>
      </c>
      <c r="C1325" s="2" t="s">
        <v>24</v>
      </c>
      <c r="D1325" s="2" t="s">
        <v>1827</v>
      </c>
      <c r="E1325" s="2" t="s">
        <v>704</v>
      </c>
      <c r="F1325" s="11" t="s">
        <v>711</v>
      </c>
      <c r="G1325" t="s">
        <v>37</v>
      </c>
      <c r="H1325" t="s">
        <v>712</v>
      </c>
      <c r="I1325" t="s">
        <v>2294</v>
      </c>
      <c r="J1325" s="6" t="str">
        <f>HYPERLINK("https://www.biovista.com/db/link/%5B%5B%22Disease%7CLeigh%20Syndrome%22%5D,%20%5B%22Pathway%7Cinflammatory%20response%22%5D%5D?strength-weight-map=%257B%2522MEDLINE_STRENGTH_AB%2522:1.0,%2522HPO%2522:100.0%257D", "Show Evidence...")</f>
        <v>Show Evidence...</v>
      </c>
    </row>
    <row r="1326" spans="1:10" ht="12.75">
      <c r="A1326" s="2" t="s">
        <v>50</v>
      </c>
      <c r="B1326" s="2" t="s">
        <v>1826</v>
      </c>
      <c r="C1326" s="2" t="s">
        <v>24</v>
      </c>
      <c r="D1326" s="2" t="s">
        <v>1827</v>
      </c>
      <c r="E1326" s="2" t="s">
        <v>704</v>
      </c>
      <c r="F1326" s="11" t="s">
        <v>1454</v>
      </c>
      <c r="G1326" t="s">
        <v>37</v>
      </c>
      <c r="H1326" t="s">
        <v>1455</v>
      </c>
      <c r="I1326" t="s">
        <v>1844</v>
      </c>
      <c r="J1326" s="6" t="str">
        <f>HYPERLINK("https://www.biovista.com/db/link/%5B%5B%22Disease%7CLeigh%20Syndrome%22%5D,%20%5B%22Pathway%7Cexcretion%22%5D%5D?strength-weight-map=%257B%2522MEDLINE_STRENGTH_AB%2522:1.0,%2522HPO%2522:100.0%257D", "Show Evidence...")</f>
        <v>Show Evidence...</v>
      </c>
    </row>
    <row r="1327" spans="1:10" ht="12.75">
      <c r="A1327" s="2" t="s">
        <v>50</v>
      </c>
      <c r="B1327" s="2" t="s">
        <v>1826</v>
      </c>
      <c r="C1327" s="2" t="s">
        <v>24</v>
      </c>
      <c r="D1327" s="2" t="s">
        <v>1827</v>
      </c>
      <c r="E1327" s="2" t="s">
        <v>704</v>
      </c>
      <c r="F1327" s="11" t="s">
        <v>799</v>
      </c>
      <c r="G1327" t="s">
        <v>37</v>
      </c>
      <c r="H1327" t="s">
        <v>800</v>
      </c>
      <c r="I1327" t="s">
        <v>1844</v>
      </c>
      <c r="J1327" s="6" t="str">
        <f>HYPERLINK("https://www.biovista.com/db/link/%5B%5B%22Disease%7CLeigh%20Syndrome%22%5D,%20%5B%22Pathway%7Clipid%20metabolic%20process%22%5D%5D?strength-weight-map=%257B%2522MEDLINE_STRENGTH_AB%2522:1.0,%2522HPO%2522:100.0%257D", "Show Evidence...")</f>
        <v>Show Evidence...</v>
      </c>
    </row>
    <row r="1328" spans="1:10" ht="12.75">
      <c r="A1328" s="2" t="s">
        <v>50</v>
      </c>
      <c r="B1328" s="2" t="s">
        <v>1826</v>
      </c>
      <c r="C1328" s="2" t="s">
        <v>24</v>
      </c>
      <c r="D1328" s="2" t="s">
        <v>1827</v>
      </c>
      <c r="E1328" s="2" t="s">
        <v>704</v>
      </c>
      <c r="F1328" s="11" t="s">
        <v>2295</v>
      </c>
      <c r="G1328" t="s">
        <v>37</v>
      </c>
      <c r="H1328" t="s">
        <v>2296</v>
      </c>
      <c r="I1328" t="s">
        <v>1844</v>
      </c>
      <c r="J1328" s="6" t="str">
        <f>HYPERLINK("https://www.biovista.com/db/link/%5B%5B%22Disease%7CLeigh%20Syndrome%22%5D,%20%5B%22Pathway%7Crespiratory%20electron%20transport%20chain%22%5D%5D?strength-weight-map=%257B%2522MEDLINE_STRENGTH_AB%2522:1.0,%2522HPO%2522:100.0%257D", "Show Evidence...")</f>
        <v>Show Evidence...</v>
      </c>
    </row>
    <row r="1329" spans="1:10" ht="12.75">
      <c r="A1329" s="2" t="s">
        <v>50</v>
      </c>
      <c r="B1329" s="2" t="s">
        <v>1826</v>
      </c>
      <c r="C1329" s="2" t="s">
        <v>24</v>
      </c>
      <c r="D1329" s="2" t="s">
        <v>1827</v>
      </c>
      <c r="E1329" s="2" t="s">
        <v>704</v>
      </c>
      <c r="F1329" s="11" t="s">
        <v>2297</v>
      </c>
      <c r="G1329" t="s">
        <v>37</v>
      </c>
      <c r="H1329" t="s">
        <v>2298</v>
      </c>
      <c r="I1329" t="s">
        <v>1848</v>
      </c>
      <c r="J1329" s="6" t="str">
        <f>HYPERLINK("https://www.biovista.com/db/link/%5B%5B%22Disease%7CLeigh%20Syndrome%22%5D,%20%5B%22Pathway%7Cmitochondrial%20ATP%20synthesis%20coupled%20electron%20transport%22%5D%5D?strength-weight-map=%257B%2522MEDLINE_STRENGTH_AB%2522:1.0,%2522HPO%2522:100.0%257D", "Show Evidence...")</f>
        <v>Show Evidence...</v>
      </c>
    </row>
    <row r="1330" spans="1:10" ht="12.75">
      <c r="A1330" s="2" t="s">
        <v>50</v>
      </c>
      <c r="B1330" s="2" t="s">
        <v>1826</v>
      </c>
      <c r="C1330" s="2" t="s">
        <v>24</v>
      </c>
      <c r="D1330" s="2" t="s">
        <v>1827</v>
      </c>
      <c r="E1330" s="2" t="s">
        <v>704</v>
      </c>
      <c r="F1330" s="11" t="s">
        <v>827</v>
      </c>
      <c r="G1330" t="s">
        <v>37</v>
      </c>
      <c r="H1330" t="s">
        <v>828</v>
      </c>
      <c r="I1330" t="s">
        <v>1848</v>
      </c>
      <c r="J1330" s="6" t="s">
        <v>2299</v>
      </c>
    </row>
    <row r="1331" spans="1:10" ht="12.75">
      <c r="A1331" s="2" t="s">
        <v>50</v>
      </c>
      <c r="B1331" s="2" t="s">
        <v>1826</v>
      </c>
      <c r="C1331" s="2" t="s">
        <v>24</v>
      </c>
      <c r="D1331" s="2" t="s">
        <v>1827</v>
      </c>
      <c r="E1331" s="2" t="s">
        <v>704</v>
      </c>
      <c r="F1331" s="11" t="s">
        <v>2300</v>
      </c>
      <c r="G1331" t="s">
        <v>37</v>
      </c>
      <c r="H1331" t="s">
        <v>2301</v>
      </c>
      <c r="I1331" t="s">
        <v>2037</v>
      </c>
      <c r="J1331" s="6" t="str">
        <f>HYPERLINK("https://www.biovista.com/db/link/%5B%5B%22Disease%7CLeigh%20Syndrome%22%5D,%20%5B%22Pathway%7Cmitochondrion%20organization%22%5D%5D?strength-weight-map=%257B%2522MEDLINE_STRENGTH_AB%2522:1.0,%2522HPO%2522:100.0%257D", "Show Evidence...")</f>
        <v>Show Evidence...</v>
      </c>
    </row>
    <row r="1332" spans="1:10" ht="12.75">
      <c r="A1332" s="2" t="s">
        <v>50</v>
      </c>
      <c r="B1332" s="2" t="s">
        <v>1826</v>
      </c>
      <c r="C1332" s="2" t="s">
        <v>24</v>
      </c>
      <c r="D1332" s="2" t="s">
        <v>1827</v>
      </c>
      <c r="E1332" s="2" t="s">
        <v>704</v>
      </c>
      <c r="F1332" s="11" t="s">
        <v>750</v>
      </c>
      <c r="G1332" t="s">
        <v>37</v>
      </c>
      <c r="H1332" t="s">
        <v>751</v>
      </c>
      <c r="I1332" t="s">
        <v>2045</v>
      </c>
      <c r="J1332" s="6" t="str">
        <f>HYPERLINK("https://www.biovista.com/db/link/%5B%5B%22Disease%7CLeigh%20Syndrome%22%5D,%20%5B%22Pathway%7Ccell%20death%22%5D%5D?strength-weight-map=%257B%2522MEDLINE_STRENGTH_AB%2522:1.0,%2522HPO%2522:100.0%257D", "Show Evidence...")</f>
        <v>Show Evidence...</v>
      </c>
    </row>
    <row r="1333" spans="1:10" ht="12.75">
      <c r="A1333" s="2" t="s">
        <v>50</v>
      </c>
      <c r="B1333" s="2" t="s">
        <v>1826</v>
      </c>
      <c r="C1333" s="2" t="s">
        <v>24</v>
      </c>
      <c r="D1333" s="2" t="s">
        <v>1827</v>
      </c>
      <c r="E1333" s="2" t="s">
        <v>704</v>
      </c>
      <c r="F1333" s="11" t="s">
        <v>795</v>
      </c>
      <c r="G1333" t="s">
        <v>37</v>
      </c>
      <c r="H1333" t="s">
        <v>796</v>
      </c>
      <c r="I1333" t="s">
        <v>1849</v>
      </c>
      <c r="J1333" s="6" t="str">
        <f>HYPERLINK("https://www.biovista.com/db/link/%5B%5B%22Disease%7CLeigh%20Syndrome%22%5D,%20%5B%22Pathway%7CRNA%20splicing%22%5D%5D?strength-weight-map=%257B%2522MEDLINE_STRENGTH_AB%2522:1.0,%2522HPO%2522:100.0%257D", "Show Evidence...")</f>
        <v>Show Evidence...</v>
      </c>
    </row>
    <row r="1334" spans="1:10" ht="12.75">
      <c r="A1334" s="2" t="s">
        <v>50</v>
      </c>
      <c r="B1334" s="2" t="s">
        <v>1826</v>
      </c>
      <c r="C1334" s="2" t="s">
        <v>24</v>
      </c>
      <c r="D1334" s="2" t="s">
        <v>1827</v>
      </c>
      <c r="E1334" s="2" t="s">
        <v>704</v>
      </c>
      <c r="F1334" s="11" t="s">
        <v>2302</v>
      </c>
      <c r="G1334" t="s">
        <v>37</v>
      </c>
      <c r="H1334" t="s">
        <v>2303</v>
      </c>
      <c r="I1334" t="s">
        <v>1849</v>
      </c>
      <c r="J1334" s="6" t="str">
        <f>HYPERLINK("https://www.biovista.com/db/link/%5B%5B%22Disease%7CLeigh%20Syndrome%22%5D,%20%5B%22Pathway%7Cvaline%20catabolic%20process%22%5D%5D?strength-weight-map=%257B%2522MEDLINE_STRENGTH_AB%2522:1.0,%2522HPO%2522:100.0%257D", "Show Evidence...")</f>
        <v>Show Evidence...</v>
      </c>
    </row>
    <row r="1335" spans="1:10" ht="12.75">
      <c r="A1335" s="2" t="s">
        <v>50</v>
      </c>
      <c r="B1335" s="2" t="s">
        <v>1826</v>
      </c>
      <c r="C1335" s="2" t="s">
        <v>24</v>
      </c>
      <c r="D1335" s="2" t="s">
        <v>1827</v>
      </c>
      <c r="E1335" s="2" t="s">
        <v>704</v>
      </c>
      <c r="F1335" s="11" t="s">
        <v>2304</v>
      </c>
      <c r="G1335" t="s">
        <v>37</v>
      </c>
      <c r="H1335" t="s">
        <v>2305</v>
      </c>
      <c r="I1335" t="s">
        <v>1849</v>
      </c>
      <c r="J1335" s="6" t="str">
        <f>HYPERLINK("https://www.biovista.com/db/link/%5B%5B%22Disease%7CLeigh%20Syndrome%22%5D,%20%5B%22Pathway%7Cvaline%20metabolic%20process%22%5D%5D?strength-weight-map=%257B%2522MEDLINE_STRENGTH_AB%2522:1.0,%2522HPO%2522:100.0%257D", "Show Evidence...")</f>
        <v>Show Evidence...</v>
      </c>
    </row>
    <row r="1336" spans="1:10" ht="12.75">
      <c r="A1336" s="2" t="s">
        <v>50</v>
      </c>
      <c r="B1336" s="2" t="s">
        <v>1826</v>
      </c>
      <c r="C1336" s="2" t="s">
        <v>24</v>
      </c>
      <c r="D1336" s="2" t="s">
        <v>1827</v>
      </c>
      <c r="E1336" s="2" t="s">
        <v>704</v>
      </c>
      <c r="F1336" s="11" t="s">
        <v>753</v>
      </c>
      <c r="G1336" t="s">
        <v>37</v>
      </c>
      <c r="H1336" t="s">
        <v>754</v>
      </c>
      <c r="I1336" t="s">
        <v>2061</v>
      </c>
      <c r="J1336" s="6" t="str">
        <f>HYPERLINK("https://www.biovista.com/db/link/%5B%5B%22Disease%7CLeigh%20Syndrome%22%5D,%20%5B%22Pathway%7Ccell%20differentiation%22%5D%5D?strength-weight-map=%257B%2522MEDLINE_STRENGTH_AB%2522:1.0,%2522HPO%2522:100.0%257D", "Show Evidence...")</f>
        <v>Show Evidence...</v>
      </c>
    </row>
    <row r="1337" spans="1:10" ht="12.75">
      <c r="A1337" s="2" t="s">
        <v>50</v>
      </c>
      <c r="B1337" s="2" t="s">
        <v>1826</v>
      </c>
      <c r="C1337" s="2" t="s">
        <v>24</v>
      </c>
      <c r="D1337" s="2" t="s">
        <v>1827</v>
      </c>
      <c r="E1337" s="2" t="s">
        <v>704</v>
      </c>
      <c r="F1337" s="11" t="s">
        <v>2306</v>
      </c>
      <c r="G1337" t="s">
        <v>37</v>
      </c>
      <c r="H1337" t="s">
        <v>2307</v>
      </c>
      <c r="I1337" t="s">
        <v>2061</v>
      </c>
      <c r="J1337" s="6" t="str">
        <f>HYPERLINK("https://www.biovista.com/db/link/%5B%5B%22Disease%7CLeigh%20Syndrome%22%5D,%20%5B%22Pathway%7Cfatty%20acid%20beta-oxidation%22%5D%5D?strength-weight-map=%257B%2522MEDLINE_STRENGTH_AB%2522:1.0,%2522HPO%2522:100.0%257D", "Show Evidence...")</f>
        <v>Show Evidence...</v>
      </c>
    </row>
    <row r="1338" spans="1:10" ht="12.75">
      <c r="A1338" s="2" t="s">
        <v>50</v>
      </c>
      <c r="B1338" s="2" t="s">
        <v>1826</v>
      </c>
      <c r="C1338" s="2" t="s">
        <v>24</v>
      </c>
      <c r="D1338" s="2" t="s">
        <v>1827</v>
      </c>
      <c r="E1338" s="2" t="s">
        <v>704</v>
      </c>
      <c r="F1338" s="11" t="s">
        <v>1478</v>
      </c>
      <c r="G1338" t="s">
        <v>37</v>
      </c>
      <c r="H1338" t="s">
        <v>1479</v>
      </c>
      <c r="I1338" t="s">
        <v>2061</v>
      </c>
      <c r="J1338" s="6" t="str">
        <f>HYPERLINK("https://www.biovista.com/db/link/%5B%5B%22Disease%7CLeigh%20Syndrome%22%5D,%20%5B%22Pathway%7Cfatty%20acid%20oxidation%22%5D%5D?strength-weight-map=%257B%2522MEDLINE_STRENGTH_AB%2522:1.0,%2522HPO%2522:100.0%257D", "Show Evidence...")</f>
        <v>Show Evidence...</v>
      </c>
    </row>
    <row r="1339" spans="1:10" ht="12.75">
      <c r="A1339" s="2" t="s">
        <v>50</v>
      </c>
      <c r="B1339" s="2" t="s">
        <v>1826</v>
      </c>
      <c r="C1339" s="2" t="s">
        <v>24</v>
      </c>
      <c r="D1339" s="2" t="s">
        <v>1827</v>
      </c>
      <c r="E1339" s="2" t="s">
        <v>704</v>
      </c>
      <c r="F1339" s="11" t="s">
        <v>2308</v>
      </c>
      <c r="G1339" t="s">
        <v>37</v>
      </c>
      <c r="H1339" t="s">
        <v>2309</v>
      </c>
      <c r="I1339" t="s">
        <v>2061</v>
      </c>
      <c r="J1339" s="6" t="str">
        <f>HYPERLINK("https://www.biovista.com/db/link/%5B%5B%22Disease%7CLeigh%20Syndrome%22%5D,%20%5B%22Pathway%7Cmitochondrial%20respiratory%20chain%20complex%20I%20assembly%22%5D%5D?strength-weight-map=%257B%2522MEDLINE_STRENGTH_AB%2522:1.0,%2522HPO%2522:100.0%257D", "Show Evidence...")</f>
        <v>Show Evidence...</v>
      </c>
    </row>
    <row r="1340" spans="1:10" ht="12.75">
      <c r="A1340" s="2" t="s">
        <v>50</v>
      </c>
      <c r="B1340" s="2" t="s">
        <v>1826</v>
      </c>
      <c r="C1340" s="2" t="s">
        <v>24</v>
      </c>
      <c r="D1340" s="2" t="s">
        <v>1827</v>
      </c>
      <c r="E1340" s="2" t="s">
        <v>704</v>
      </c>
      <c r="F1340" s="11" t="s">
        <v>768</v>
      </c>
      <c r="G1340" t="s">
        <v>37</v>
      </c>
      <c r="H1340" t="s">
        <v>769</v>
      </c>
      <c r="I1340" t="s">
        <v>1852</v>
      </c>
      <c r="J1340" s="6" t="str">
        <f>HYPERLINK("https://www.biovista.com/db/link/%5B%5B%22Disease%7CLeigh%20Syndrome%22%5D,%20%5B%22Pathway%7Cregeneration%22%5D%5D?strength-weight-map=%257B%2522MEDLINE_STRENGTH_AB%2522:1.0,%2522HPO%2522:100.0%257D", "Show Evidence...")</f>
        <v>Show Evidence...</v>
      </c>
    </row>
    <row r="1341" spans="1:10" ht="12.75">
      <c r="A1341" s="2" t="s">
        <v>50</v>
      </c>
      <c r="B1341" s="2" t="s">
        <v>1826</v>
      </c>
      <c r="C1341" s="2" t="s">
        <v>24</v>
      </c>
      <c r="D1341" s="2" t="s">
        <v>1827</v>
      </c>
      <c r="E1341" s="2" t="s">
        <v>704</v>
      </c>
      <c r="F1341" s="11" t="s">
        <v>735</v>
      </c>
      <c r="G1341" t="s">
        <v>37</v>
      </c>
      <c r="H1341" t="s">
        <v>736</v>
      </c>
      <c r="I1341" t="s">
        <v>1852</v>
      </c>
      <c r="J1341" s="6" t="str">
        <f>HYPERLINK("https://www.biovista.com/db/link/%5B%5B%22Disease%7CLeigh%20Syndrome%22%5D,%20%5B%22Pathway%7Csignal%20transduction%22%5D%5D?strength-weight-map=%257B%2522MEDLINE_STRENGTH_AB%2522:1.0,%2522HPO%2522:100.0%257D", "Show Evidence...")</f>
        <v>Show Evidence...</v>
      </c>
    </row>
    <row r="1342" spans="1:10" ht="12.75">
      <c r="A1342" s="2" t="s">
        <v>50</v>
      </c>
      <c r="B1342" s="2" t="s">
        <v>1826</v>
      </c>
      <c r="C1342" s="2" t="s">
        <v>24</v>
      </c>
      <c r="D1342" s="2" t="s">
        <v>1827</v>
      </c>
      <c r="E1342" s="2" t="s">
        <v>704</v>
      </c>
      <c r="F1342" s="11" t="s">
        <v>825</v>
      </c>
      <c r="G1342" t="s">
        <v>37</v>
      </c>
      <c r="H1342" t="s">
        <v>826</v>
      </c>
      <c r="I1342" t="s">
        <v>2074</v>
      </c>
      <c r="J1342" s="6" t="str">
        <f>HYPERLINK("https://www.biovista.com/db/link/%5B%5B%22Disease%7CLeigh%20Syndrome%22%5D,%20%5B%22Pathway%7Cprotein%20transport%22%5D%5D?strength-weight-map=%257B%2522MEDLINE_STRENGTH_AB%2522:1.0,%2522HPO%2522:100.0%257D", "Show Evidence...")</f>
        <v>Show Evidence...</v>
      </c>
    </row>
    <row r="1343" spans="1:10" ht="12.75">
      <c r="A1343" s="2" t="s">
        <v>50</v>
      </c>
      <c r="B1343" s="2" t="s">
        <v>1826</v>
      </c>
      <c r="C1343" s="2" t="s">
        <v>24</v>
      </c>
      <c r="D1343" s="2" t="s">
        <v>1827</v>
      </c>
      <c r="E1343" s="2" t="s">
        <v>717</v>
      </c>
      <c r="F1343" s="11" t="s">
        <v>2310</v>
      </c>
      <c r="G1343" t="s">
        <v>37</v>
      </c>
      <c r="H1343" t="s">
        <v>2311</v>
      </c>
      <c r="I1343" t="s">
        <v>1853</v>
      </c>
      <c r="J1343" s="6" t="str">
        <f>HYPERLINK("https://www.biovista.com/db/link/%5B%5B%22Disease%7CLeigh%20Syndrome%22%5D,%20%5B%22Pathway%7CATP%20catabolic%20process%22%5D%5D?strength-weight-map=%257B%2522MEDLINE_STRENGTH_AB%2522:1.0,%2522HPO%2522:100.0%257D", "Show Evidence...")</f>
        <v>Show Evidence...</v>
      </c>
    </row>
    <row r="1344" spans="1:10" ht="12.75">
      <c r="A1344" s="2" t="s">
        <v>50</v>
      </c>
      <c r="B1344" s="2" t="s">
        <v>1826</v>
      </c>
      <c r="C1344" s="2" t="s">
        <v>24</v>
      </c>
      <c r="D1344" s="2" t="s">
        <v>1827</v>
      </c>
      <c r="E1344" s="2" t="s">
        <v>704</v>
      </c>
      <c r="F1344" s="11" t="s">
        <v>1470</v>
      </c>
      <c r="G1344" t="s">
        <v>37</v>
      </c>
      <c r="H1344" t="s">
        <v>1471</v>
      </c>
      <c r="I1344" t="s">
        <v>1853</v>
      </c>
      <c r="J1344" s="6" t="str">
        <f>HYPERLINK("https://www.biovista.com/db/link/%5B%5B%22Disease%7CLeigh%20Syndrome%22%5D,%20%5B%22Pathway%7Cbrain%20development%22%5D%5D?strength-weight-map=%257B%2522MEDLINE_STRENGTH_AB%2522:1.0,%2522HPO%2522:100.0%257D", "Show Evidence...")</f>
        <v>Show Evidence...</v>
      </c>
    </row>
    <row r="1345" spans="1:10" ht="12.75">
      <c r="A1345" s="2" t="s">
        <v>50</v>
      </c>
      <c r="B1345" s="2" t="s">
        <v>1826</v>
      </c>
      <c r="C1345" s="2" t="s">
        <v>24</v>
      </c>
      <c r="D1345" s="2" t="s">
        <v>1827</v>
      </c>
      <c r="E1345" s="2" t="s">
        <v>704</v>
      </c>
      <c r="F1345" s="11" t="s">
        <v>708</v>
      </c>
      <c r="G1345" t="s">
        <v>37</v>
      </c>
      <c r="H1345" t="s">
        <v>709</v>
      </c>
      <c r="I1345" t="s">
        <v>1853</v>
      </c>
      <c r="J1345" s="6" t="str">
        <f>HYPERLINK("https://www.biovista.com/db/link/%5B%5B%22Disease%7CLeigh%20Syndrome%22%5D,%20%5B%22Pathway%7Cchemical%20synaptic%20transmission%22%5D%5D?strength-weight-map=%257B%2522MEDLINE_STRENGTH_AB%2522:1.0,%2522HPO%2522:100.0%257D", "Show Evidence...")</f>
        <v>Show Evidence...</v>
      </c>
    </row>
    <row r="1346" spans="1:10" ht="12.75">
      <c r="A1346" s="2" t="s">
        <v>50</v>
      </c>
      <c r="B1346" s="2" t="s">
        <v>1826</v>
      </c>
      <c r="C1346" s="2" t="s">
        <v>24</v>
      </c>
      <c r="D1346" s="2" t="s">
        <v>1827</v>
      </c>
      <c r="E1346" s="2" t="s">
        <v>704</v>
      </c>
      <c r="F1346" s="11" t="s">
        <v>726</v>
      </c>
      <c r="G1346" t="s">
        <v>37</v>
      </c>
      <c r="H1346" t="s">
        <v>727</v>
      </c>
      <c r="I1346" t="s">
        <v>1853</v>
      </c>
      <c r="J1346" s="6" t="str">
        <f>HYPERLINK("https://www.biovista.com/db/link/%5B%5B%22Disease%7CLeigh%20Syndrome%22%5D,%20%5B%22Pathway%7Ccognition%22%5D%5D?strength-weight-map=%257B%2522MEDLINE_STRENGTH_AB%2522:1.0,%2522HPO%2522:100.0%257D", "Show Evidence...")</f>
        <v>Show Evidence...</v>
      </c>
    </row>
    <row r="1347" spans="1:10" ht="12.75">
      <c r="A1347" s="2" t="s">
        <v>50</v>
      </c>
      <c r="B1347" s="2" t="s">
        <v>1826</v>
      </c>
      <c r="C1347" s="2" t="s">
        <v>24</v>
      </c>
      <c r="D1347" s="2" t="s">
        <v>1827</v>
      </c>
      <c r="E1347" s="2" t="s">
        <v>704</v>
      </c>
      <c r="F1347" s="11" t="s">
        <v>2312</v>
      </c>
      <c r="G1347" t="s">
        <v>37</v>
      </c>
      <c r="H1347" t="s">
        <v>2313</v>
      </c>
      <c r="I1347" t="s">
        <v>1853</v>
      </c>
      <c r="J1347" s="6" t="str">
        <f>HYPERLINK("https://www.biovista.com/db/link/%5B%5B%22Disease%7CLeigh%20Syndrome%22%5D,%20%5B%22Pathway%7Cmitochondrial%20fission%22%5D%5D?strength-weight-map=%257B%2522MEDLINE_STRENGTH_AB%2522:1.0,%2522HPO%2522:100.0%257D", "Show Evidence...")</f>
        <v>Show Evidence...</v>
      </c>
    </row>
    <row r="1348" spans="1:10" ht="12.75">
      <c r="A1348" s="2" t="s">
        <v>50</v>
      </c>
      <c r="B1348" s="2" t="s">
        <v>1826</v>
      </c>
      <c r="C1348" s="2" t="s">
        <v>24</v>
      </c>
      <c r="D1348" s="2" t="s">
        <v>1827</v>
      </c>
      <c r="E1348" s="2" t="s">
        <v>704</v>
      </c>
      <c r="F1348" s="11" t="s">
        <v>783</v>
      </c>
      <c r="G1348" t="s">
        <v>37</v>
      </c>
      <c r="H1348" t="s">
        <v>784</v>
      </c>
      <c r="I1348" t="s">
        <v>1853</v>
      </c>
      <c r="J1348" s="6" t="str">
        <f>HYPERLINK("https://www.biovista.com/db/link/%5B%5B%22Disease%7CLeigh%20Syndrome%22%5D,%20%5B%22Pathway%7Cvisual%20perception%22%5D%5D?strength-weight-map=%257B%2522MEDLINE_STRENGTH_AB%2522:1.0,%2522HPO%2522:100.0%257D", "Show Evidence...")</f>
        <v>Show Evidence...</v>
      </c>
    </row>
    <row r="1349" spans="1:10" ht="12.75">
      <c r="A1349" s="2" t="s">
        <v>50</v>
      </c>
      <c r="B1349" s="2" t="s">
        <v>1826</v>
      </c>
      <c r="C1349" s="2" t="s">
        <v>24</v>
      </c>
      <c r="D1349" s="2" t="s">
        <v>1827</v>
      </c>
      <c r="E1349" s="2" t="s">
        <v>704</v>
      </c>
      <c r="F1349" s="11" t="s">
        <v>890</v>
      </c>
      <c r="G1349" t="s">
        <v>37</v>
      </c>
      <c r="H1349" t="s">
        <v>891</v>
      </c>
      <c r="I1349" t="s">
        <v>1856</v>
      </c>
      <c r="J1349" s="6" t="str">
        <f>HYPERLINK("https://www.biovista.com/db/link/%5B%5B%22Disease%7CLeigh%20Syndrome%22%5D,%20%5B%22Pathway%7Cembryo%20development%22%5D%5D?strength-weight-map=%257B%2522MEDLINE_STRENGTH_AB%2522:1.0,%2522HPO%2522:100.0%257D", "Show Evidence...")</f>
        <v>Show Evidence...</v>
      </c>
    </row>
    <row r="1350" spans="1:10" ht="12.75">
      <c r="A1350" s="2" t="s">
        <v>50</v>
      </c>
      <c r="B1350" s="2" t="s">
        <v>1826</v>
      </c>
      <c r="C1350" s="2" t="s">
        <v>24</v>
      </c>
      <c r="D1350" s="2" t="s">
        <v>1827</v>
      </c>
      <c r="E1350" s="2" t="s">
        <v>704</v>
      </c>
      <c r="F1350" s="11" t="s">
        <v>1522</v>
      </c>
      <c r="G1350" t="s">
        <v>37</v>
      </c>
      <c r="H1350" t="s">
        <v>1523</v>
      </c>
      <c r="I1350" t="s">
        <v>1856</v>
      </c>
      <c r="J1350" s="6" t="str">
        <f>HYPERLINK("https://www.biovista.com/db/link/%5B%5B%22Disease%7CLeigh%20Syndrome%22%5D,%20%5B%22Pathway%7Cfatty%20acid%20metabolic%20process%22%5D%5D?strength-weight-map=%257B%2522MEDLINE_STRENGTH_AB%2522:1.0,%2522HPO%2522:100.0%257D", "Show Evidence...")</f>
        <v>Show Evidence...</v>
      </c>
    </row>
    <row r="1351" spans="1:10" ht="12.75">
      <c r="A1351" s="2" t="s">
        <v>50</v>
      </c>
      <c r="B1351" s="2" t="s">
        <v>1826</v>
      </c>
      <c r="C1351" s="2" t="s">
        <v>24</v>
      </c>
      <c r="D1351" s="2" t="s">
        <v>1827</v>
      </c>
      <c r="E1351" s="2" t="s">
        <v>704</v>
      </c>
      <c r="F1351" s="11" t="s">
        <v>898</v>
      </c>
      <c r="G1351" t="s">
        <v>37</v>
      </c>
      <c r="H1351" t="s">
        <v>899</v>
      </c>
      <c r="I1351" t="s">
        <v>1856</v>
      </c>
      <c r="J1351" s="6" t="str">
        <f>HYPERLINK("https://www.biovista.com/db/link/%5B%5B%22Disease%7CLeigh%20Syndrome%22%5D,%20%5B%22Pathway%7Cnegative%20regulation%20of%20gene%20expression%22%5D%5D?strength-weight-map=%257B%2522MEDLINE_STRENGTH_AB%2522:1.0,%2522HPO%2522:100.0%257D", "Show Evidence...")</f>
        <v>Show Evidence...</v>
      </c>
    </row>
    <row r="1352" spans="1:10" ht="12.75">
      <c r="A1352" s="2" t="s">
        <v>50</v>
      </c>
      <c r="B1352" s="2" t="s">
        <v>1826</v>
      </c>
      <c r="C1352" s="2" t="s">
        <v>24</v>
      </c>
      <c r="D1352" s="2" t="s">
        <v>1827</v>
      </c>
      <c r="E1352" s="2" t="s">
        <v>704</v>
      </c>
      <c r="F1352" s="11" t="s">
        <v>836</v>
      </c>
      <c r="G1352" t="s">
        <v>37</v>
      </c>
      <c r="H1352" t="s">
        <v>837</v>
      </c>
      <c r="I1352" t="s">
        <v>1859</v>
      </c>
      <c r="J1352" s="6" t="str">
        <f>HYPERLINK("https://www.biovista.com/db/link/%5B%5B%22Disease%7CLeigh%20Syndrome%22%5D,%20%5B%22Pathway%7Cautophagy%22%5D%5D?strength-weight-map=%257B%2522MEDLINE_STRENGTH_AB%2522:1.0,%2522HPO%2522:100.0%257D", "Show Evidence...")</f>
        <v>Show Evidence...</v>
      </c>
    </row>
    <row r="1353" spans="1:10" ht="12.75">
      <c r="A1353" s="2" t="s">
        <v>50</v>
      </c>
      <c r="B1353" s="2" t="s">
        <v>1826</v>
      </c>
      <c r="C1353" s="2" t="s">
        <v>24</v>
      </c>
      <c r="D1353" s="2" t="s">
        <v>1827</v>
      </c>
      <c r="E1353" s="2" t="s">
        <v>704</v>
      </c>
      <c r="F1353" s="11" t="s">
        <v>1460</v>
      </c>
      <c r="G1353" t="s">
        <v>37</v>
      </c>
      <c r="H1353" t="s">
        <v>1461</v>
      </c>
      <c r="I1353" t="s">
        <v>1859</v>
      </c>
      <c r="J1353" s="6" t="str">
        <f>HYPERLINK("https://www.biovista.com/db/link/%5B%5B%22Disease%7CLeigh%20Syndrome%22%5D,%20%5B%22Pathway%7Ccatabolic%20process%22%5D%5D?strength-weight-map=%257B%2522MEDLINE_STRENGTH_AB%2522:1.0,%2522HPO%2522:100.0%257D", "Show Evidence...")</f>
        <v>Show Evidence...</v>
      </c>
    </row>
    <row r="1354" spans="1:10" ht="12.75">
      <c r="A1354" s="2" t="s">
        <v>50</v>
      </c>
      <c r="B1354" s="2" t="s">
        <v>1826</v>
      </c>
      <c r="C1354" s="2" t="s">
        <v>24</v>
      </c>
      <c r="D1354" s="2" t="s">
        <v>1827</v>
      </c>
      <c r="E1354" s="2" t="s">
        <v>704</v>
      </c>
      <c r="F1354" s="11" t="s">
        <v>908</v>
      </c>
      <c r="G1354" t="s">
        <v>37</v>
      </c>
      <c r="H1354" t="s">
        <v>909</v>
      </c>
      <c r="I1354" t="s">
        <v>1859</v>
      </c>
      <c r="J1354" s="6" t="str">
        <f>HYPERLINK("https://www.biovista.com/db/link/%5B%5B%22Disease%7CLeigh%20Syndrome%22%5D,%20%5B%22Pathway%7Ccell%20growth%22%5D%5D?strength-weight-map=%257B%2522MEDLINE_STRENGTH_AB%2522:1.0,%2522HPO%2522:100.0%257D", "Show Evidence...")</f>
        <v>Show Evidence...</v>
      </c>
    </row>
    <row r="1355" spans="1:10" ht="12.75">
      <c r="A1355" s="2" t="s">
        <v>50</v>
      </c>
      <c r="B1355" s="2" t="s">
        <v>1826</v>
      </c>
      <c r="C1355" s="2" t="s">
        <v>24</v>
      </c>
      <c r="D1355" s="2" t="s">
        <v>1827</v>
      </c>
      <c r="E1355" s="2" t="s">
        <v>704</v>
      </c>
      <c r="F1355" s="11" t="s">
        <v>2314</v>
      </c>
      <c r="G1355" t="s">
        <v>37</v>
      </c>
      <c r="H1355" t="s">
        <v>2315</v>
      </c>
      <c r="I1355" t="s">
        <v>1859</v>
      </c>
      <c r="J1355" s="6" t="str">
        <f>HYPERLINK("https://www.biovista.com/db/link/%5B%5B%22Disease%7CLeigh%20Syndrome%22%5D,%20%5B%22Pathway%7Ccellular%20metabolic%20process%22%5D%5D?strength-weight-map=%257B%2522MEDLINE_STRENGTH_AB%2522:1.0,%2522HPO%2522:100.0%257D", "Show Evidence...")</f>
        <v>Show Evidence...</v>
      </c>
    </row>
    <row r="1356" spans="1:10" ht="12.75">
      <c r="A1356" s="2" t="s">
        <v>50</v>
      </c>
      <c r="B1356" s="2" t="s">
        <v>1826</v>
      </c>
      <c r="C1356" s="2" t="s">
        <v>24</v>
      </c>
      <c r="D1356" s="2" t="s">
        <v>1827</v>
      </c>
      <c r="E1356" s="2" t="s">
        <v>704</v>
      </c>
      <c r="F1356" s="11" t="s">
        <v>2316</v>
      </c>
      <c r="G1356" t="s">
        <v>37</v>
      </c>
      <c r="H1356" t="s">
        <v>2317</v>
      </c>
      <c r="I1356" t="s">
        <v>1859</v>
      </c>
      <c r="J1356" s="6" t="str">
        <f>HYPERLINK("https://www.biovista.com/db/link/%5B%5B%22Disease%7CLeigh%20Syndrome%22%5D,%20%5B%22Pathway%7Cenergy%20homeostasis%22%5D%5D?strength-weight-map=%257B%2522MEDLINE_STRENGTH_AB%2522:1.0,%2522HPO%2522:100.0%257D", "Show Evidence...")</f>
        <v>Show Evidence...</v>
      </c>
    </row>
    <row r="1357" spans="1:10" ht="12.75">
      <c r="A1357" s="2" t="s">
        <v>50</v>
      </c>
      <c r="B1357" s="2" t="s">
        <v>1826</v>
      </c>
      <c r="C1357" s="2" t="s">
        <v>24</v>
      </c>
      <c r="D1357" s="2" t="s">
        <v>1827</v>
      </c>
      <c r="E1357" s="2" t="s">
        <v>704</v>
      </c>
      <c r="F1357" s="11" t="s">
        <v>2318</v>
      </c>
      <c r="G1357" t="s">
        <v>37</v>
      </c>
      <c r="H1357" t="s">
        <v>2319</v>
      </c>
      <c r="I1357" t="s">
        <v>1859</v>
      </c>
      <c r="J1357" s="6" t="str">
        <f>HYPERLINK("https://www.biovista.com/db/link/%5B%5B%22Disease%7CLeigh%20Syndrome%22%5D,%20%5B%22Pathway%7Cheme%20A%20biosynthetic%20process%22%5D%5D?strength-weight-map=%257B%2522MEDLINE_STRENGTH_AB%2522:1.0,%2522HPO%2522:100.0%257D", "Show Evidence...")</f>
        <v>Show Evidence...</v>
      </c>
    </row>
    <row r="1358" spans="1:10" ht="12.75">
      <c r="A1358" s="2" t="s">
        <v>50</v>
      </c>
      <c r="B1358" s="2" t="s">
        <v>1826</v>
      </c>
      <c r="C1358" s="2" t="s">
        <v>24</v>
      </c>
      <c r="D1358" s="2" t="s">
        <v>1827</v>
      </c>
      <c r="E1358" s="2" t="s">
        <v>704</v>
      </c>
      <c r="F1358" s="11" t="s">
        <v>789</v>
      </c>
      <c r="G1358" t="s">
        <v>37</v>
      </c>
      <c r="H1358" t="s">
        <v>790</v>
      </c>
      <c r="I1358" t="s">
        <v>1859</v>
      </c>
      <c r="J1358" s="6" t="str">
        <f>HYPERLINK("https://www.biovista.com/db/link/%5B%5B%22Disease%7CLeigh%20Syndrome%22%5D,%20%5B%22Pathway%7Clocomotion%22%5D%5D?strength-weight-map=%257B%2522MEDLINE_STRENGTH_AB%2522:1.0,%2522HPO%2522:100.0%257D", "Show Evidence...")</f>
        <v>Show Evidence...</v>
      </c>
    </row>
    <row r="1359" spans="1:10" ht="12.75">
      <c r="A1359" s="2" t="s">
        <v>50</v>
      </c>
      <c r="B1359" s="2" t="s">
        <v>1826</v>
      </c>
      <c r="C1359" s="2" t="s">
        <v>24</v>
      </c>
      <c r="D1359" s="2" t="s">
        <v>1827</v>
      </c>
      <c r="E1359" s="2" t="s">
        <v>704</v>
      </c>
      <c r="F1359" s="11" t="s">
        <v>2320</v>
      </c>
      <c r="G1359" t="s">
        <v>37</v>
      </c>
      <c r="H1359" t="s">
        <v>2321</v>
      </c>
      <c r="I1359" t="s">
        <v>1859</v>
      </c>
      <c r="J1359" s="6" t="str">
        <f>HYPERLINK("https://www.biovista.com/db/link/%5B%5B%22Disease%7CLeigh%20Syndrome%22%5D,%20%5B%22Pathway%7Cmitochondrial%20DNA%20replication%22%5D%5D?strength-weight-map=%257B%2522MEDLINE_STRENGTH_AB%2522:1.0,%2522HPO%2522:100.0%257D", "Show Evidence...")</f>
        <v>Show Evidence...</v>
      </c>
    </row>
    <row r="1360" spans="1:10" ht="12.75">
      <c r="A1360" s="2" t="s">
        <v>50</v>
      </c>
      <c r="B1360" s="2" t="s">
        <v>1826</v>
      </c>
      <c r="C1360" s="2" t="s">
        <v>24</v>
      </c>
      <c r="D1360" s="2" t="s">
        <v>1827</v>
      </c>
      <c r="E1360" s="2" t="s">
        <v>704</v>
      </c>
      <c r="F1360" s="11" t="s">
        <v>2322</v>
      </c>
      <c r="G1360" t="s">
        <v>37</v>
      </c>
      <c r="H1360" t="s">
        <v>2323</v>
      </c>
      <c r="I1360" t="s">
        <v>1859</v>
      </c>
      <c r="J1360" s="6" t="str">
        <f>HYPERLINK("https://www.biovista.com/db/link/%5B%5B%22Disease%7CLeigh%20Syndrome%22%5D,%20%5B%22Pathway%7Coogenesis%22%5D%5D?strength-weight-map=%257B%2522MEDLINE_STRENGTH_AB%2522:1.0,%2522HPO%2522:100.0%257D", "Show Evidence...")</f>
        <v>Show Evidence...</v>
      </c>
    </row>
    <row r="1361" spans="1:10" ht="12.75">
      <c r="A1361" s="2" t="s">
        <v>50</v>
      </c>
      <c r="B1361" s="2" t="s">
        <v>1826</v>
      </c>
      <c r="C1361" s="2" t="s">
        <v>24</v>
      </c>
      <c r="D1361" s="2" t="s">
        <v>1827</v>
      </c>
      <c r="E1361" s="2" t="s">
        <v>704</v>
      </c>
      <c r="F1361" s="11" t="s">
        <v>2324</v>
      </c>
      <c r="G1361" t="s">
        <v>37</v>
      </c>
      <c r="H1361" t="s">
        <v>2325</v>
      </c>
      <c r="I1361" t="s">
        <v>1859</v>
      </c>
      <c r="J1361" s="6" t="str">
        <f>HYPERLINK("https://www.biovista.com/db/link/%5B%5B%22Disease%7CLeigh%20Syndrome%22%5D,%20%5B%22Pathway%7Cprotein%20complex%20oligomerization%22%5D%5D?strength-weight-map=%257B%2522MEDLINE_STRENGTH_AB%2522:1.0,%2522HPO%2522:100.0%257D", "Show Evidence...")</f>
        <v>Show Evidence...</v>
      </c>
    </row>
    <row r="1362" spans="1:10" ht="12.75">
      <c r="A1362" s="2" t="s">
        <v>50</v>
      </c>
      <c r="B1362" s="2" t="s">
        <v>1826</v>
      </c>
      <c r="C1362" s="2" t="s">
        <v>24</v>
      </c>
      <c r="D1362" s="2" t="s">
        <v>1827</v>
      </c>
      <c r="E1362" s="2" t="s">
        <v>704</v>
      </c>
      <c r="F1362" s="11" t="s">
        <v>801</v>
      </c>
      <c r="G1362" t="s">
        <v>37</v>
      </c>
      <c r="H1362" t="s">
        <v>802</v>
      </c>
      <c r="I1362" t="s">
        <v>1859</v>
      </c>
      <c r="J1362" s="6" t="str">
        <f>HYPERLINK("https://www.biovista.com/db/link/%5B%5B%22Disease%7CLeigh%20Syndrome%22%5D,%20%5B%22Pathway%7Csecretion%22%5D%5D?strength-weight-map=%257B%2522MEDLINE_STRENGTH_AB%2522:1.0,%2522HPO%2522:100.0%257D", "Show Evidence...")</f>
        <v>Show Evidence...</v>
      </c>
    </row>
    <row r="1363" spans="1:10" ht="12.75">
      <c r="A1363" s="2" t="s">
        <v>50</v>
      </c>
      <c r="B1363" s="2" t="s">
        <v>1826</v>
      </c>
      <c r="C1363" s="2" t="s">
        <v>24</v>
      </c>
      <c r="D1363" s="2" t="s">
        <v>1827</v>
      </c>
      <c r="E1363" s="2" t="s">
        <v>704</v>
      </c>
      <c r="F1363" s="11" t="s">
        <v>2326</v>
      </c>
      <c r="G1363" t="s">
        <v>37</v>
      </c>
      <c r="H1363" t="s">
        <v>2327</v>
      </c>
      <c r="I1363" t="s">
        <v>1870</v>
      </c>
      <c r="J1363" s="6" t="str">
        <f>HYPERLINK("https://www.biovista.com/db/link/%5B%5B%22Disease%7CLeigh%20Syndrome%22%5D,%20%5B%22Pathway%7Camino%20acid%20catabolic%20process%22%5D%5D?strength-weight-map=%257B%2522MEDLINE_STRENGTH_AB%2522:1.0,%2522HPO%2522:100.0%257D", "Show Evidence...")</f>
        <v>Show Evidence...</v>
      </c>
    </row>
    <row r="1364" spans="1:10" ht="12.75">
      <c r="A1364" s="2" t="s">
        <v>50</v>
      </c>
      <c r="B1364" s="2" t="s">
        <v>1826</v>
      </c>
      <c r="C1364" s="2" t="s">
        <v>24</v>
      </c>
      <c r="D1364" s="2" t="s">
        <v>1827</v>
      </c>
      <c r="E1364" s="2" t="s">
        <v>704</v>
      </c>
      <c r="F1364" s="11" t="s">
        <v>813</v>
      </c>
      <c r="G1364" t="s">
        <v>37</v>
      </c>
      <c r="H1364" t="s">
        <v>814</v>
      </c>
      <c r="I1364" t="s">
        <v>1870</v>
      </c>
      <c r="J1364" s="6" t="str">
        <f>HYPERLINK("https://www.biovista.com/db/link/%5B%5B%22Disease%7CLeigh%20Syndrome%22%5D,%20%5B%22Pathway%7Ccell%20division%22%5D%5D?strength-weight-map=%257B%2522MEDLINE_STRENGTH_AB%2522:1.0,%2522HPO%2522:100.0%257D", "Show Evidence...")</f>
        <v>Show Evidence...</v>
      </c>
    </row>
    <row r="1365" spans="1:10" ht="12.75">
      <c r="A1365" s="2" t="s">
        <v>50</v>
      </c>
      <c r="B1365" s="2" t="s">
        <v>1826</v>
      </c>
      <c r="C1365" s="2" t="s">
        <v>24</v>
      </c>
      <c r="D1365" s="2" t="s">
        <v>1827</v>
      </c>
      <c r="E1365" s="2" t="s">
        <v>704</v>
      </c>
      <c r="F1365" s="11" t="s">
        <v>2328</v>
      </c>
      <c r="G1365" t="s">
        <v>37</v>
      </c>
      <c r="H1365" t="s">
        <v>2329</v>
      </c>
      <c r="I1365" t="s">
        <v>1870</v>
      </c>
      <c r="J1365" s="6" t="str">
        <f>HYPERLINK("https://www.biovista.com/db/link/%5B%5B%22Disease%7CLeigh%20Syndrome%22%5D,%20%5B%22Pathway%7Ccellular%20homeostasis%22%5D%5D?strength-weight-map=%257B%2522MEDLINE_STRENGTH_AB%2522:1.0,%2522HPO%2522:100.0%257D", "Show Evidence...")</f>
        <v>Show Evidence...</v>
      </c>
    </row>
    <row r="1366" spans="1:10" ht="12.75">
      <c r="A1366" s="2" t="s">
        <v>50</v>
      </c>
      <c r="B1366" s="2" t="s">
        <v>1826</v>
      </c>
      <c r="C1366" s="2" t="s">
        <v>24</v>
      </c>
      <c r="D1366" s="2" t="s">
        <v>1827</v>
      </c>
      <c r="E1366" s="2" t="s">
        <v>704</v>
      </c>
      <c r="F1366" s="11" t="s">
        <v>2330</v>
      </c>
      <c r="G1366" t="s">
        <v>37</v>
      </c>
      <c r="H1366" t="s">
        <v>2331</v>
      </c>
      <c r="I1366" t="s">
        <v>1870</v>
      </c>
      <c r="J1366" s="6" t="str">
        <f>HYPERLINK("https://www.biovista.com/db/link/%5B%5B%22Disease%7CLeigh%20Syndrome%22%5D,%20%5B%22Pathway%7Cgluconeogenesis%22%5D%5D?strength-weight-map=%257B%2522MEDLINE_STRENGTH_AB%2522:1.0,%2522HPO%2522:100.0%257D", "Show Evidence...")</f>
        <v>Show Evidence...</v>
      </c>
    </row>
    <row r="1367" spans="1:10" ht="12.75">
      <c r="A1367" s="2" t="s">
        <v>50</v>
      </c>
      <c r="B1367" s="2" t="s">
        <v>1826</v>
      </c>
      <c r="C1367" s="2" t="s">
        <v>24</v>
      </c>
      <c r="D1367" s="2" t="s">
        <v>1827</v>
      </c>
      <c r="E1367" s="2" t="s">
        <v>704</v>
      </c>
      <c r="F1367" s="11" t="s">
        <v>739</v>
      </c>
      <c r="G1367" t="s">
        <v>37</v>
      </c>
      <c r="H1367" t="s">
        <v>740</v>
      </c>
      <c r="I1367" t="s">
        <v>1870</v>
      </c>
      <c r="J1367" s="6" t="str">
        <f>HYPERLINK("https://www.biovista.com/db/link/%5B%5B%22Disease%7CLeigh%20Syndrome%22%5D,%20%5B%22Pathway%7Cglycosylation%22%5D%5D?strength-weight-map=%257B%2522MEDLINE_STRENGTH_AB%2522:1.0,%2522HPO%2522:100.0%257D", "Show Evidence...")</f>
        <v>Show Evidence...</v>
      </c>
    </row>
    <row r="1368" spans="1:10" ht="12.75">
      <c r="A1368" s="2" t="s">
        <v>50</v>
      </c>
      <c r="B1368" s="2" t="s">
        <v>1826</v>
      </c>
      <c r="C1368" s="2" t="s">
        <v>24</v>
      </c>
      <c r="D1368" s="2" t="s">
        <v>1827</v>
      </c>
      <c r="E1368" s="2" t="s">
        <v>704</v>
      </c>
      <c r="F1368" s="11" t="s">
        <v>777</v>
      </c>
      <c r="G1368" t="s">
        <v>37</v>
      </c>
      <c r="H1368" t="s">
        <v>778</v>
      </c>
      <c r="I1368" t="s">
        <v>1870</v>
      </c>
      <c r="J1368" s="6" t="str">
        <f>HYPERLINK("https://www.biovista.com/db/link/%5B%5B%22Disease%7CLeigh%20Syndrome%22%5D,%20%5B%22Pathway%7Cimmune%20response%22%5D%5D?strength-weight-map=%257B%2522MEDLINE_STRENGTH_AB%2522:1.0,%2522HPO%2522:100.0%257D", "Show Evidence...")</f>
        <v>Show Evidence...</v>
      </c>
    </row>
    <row r="1369" spans="1:10" ht="12.75">
      <c r="A1369" s="2" t="s">
        <v>50</v>
      </c>
      <c r="B1369" s="2" t="s">
        <v>1826</v>
      </c>
      <c r="C1369" s="2" t="s">
        <v>24</v>
      </c>
      <c r="D1369" s="2" t="s">
        <v>1827</v>
      </c>
      <c r="E1369" s="2" t="s">
        <v>704</v>
      </c>
      <c r="F1369" s="11" t="s">
        <v>2332</v>
      </c>
      <c r="G1369" t="s">
        <v>37</v>
      </c>
      <c r="H1369" t="s">
        <v>2333</v>
      </c>
      <c r="I1369" t="s">
        <v>1870</v>
      </c>
      <c r="J1369" s="6" t="str">
        <f>HYPERLINK("https://www.biovista.com/db/link/%5B%5B%22Disease%7CLeigh%20Syndrome%22%5D,%20%5B%22Pathway%7Clipid%20biosynthetic%20process%22%5D%5D?strength-weight-map=%257B%2522MEDLINE_STRENGTH_AB%2522:1.0,%2522HPO%2522:100.0%257D", "Show Evidence...")</f>
        <v>Show Evidence...</v>
      </c>
    </row>
    <row r="1370" spans="1:10" ht="12.75">
      <c r="A1370" s="2" t="s">
        <v>50</v>
      </c>
      <c r="B1370" s="2" t="s">
        <v>1826</v>
      </c>
      <c r="C1370" s="2" t="s">
        <v>24</v>
      </c>
      <c r="D1370" s="2" t="s">
        <v>1827</v>
      </c>
      <c r="E1370" s="2" t="s">
        <v>704</v>
      </c>
      <c r="F1370" s="11" t="s">
        <v>878</v>
      </c>
      <c r="G1370" t="s">
        <v>37</v>
      </c>
      <c r="H1370" t="s">
        <v>879</v>
      </c>
      <c r="I1370" t="s">
        <v>1870</v>
      </c>
      <c r="J1370" s="6" t="str">
        <f>HYPERLINK("https://www.biovista.com/db/link/%5B%5B%22Disease%7CLeigh%20Syndrome%22%5D,%20%5B%22Pathway%7Cmitochondrial%20gene%20expression%22%5D%5D?strength-weight-map=%257B%2522MEDLINE_STRENGTH_AB%2522:1.0,%2522HPO%2522:100.0%257D", "Show Evidence...")</f>
        <v>Show Evidence...</v>
      </c>
    </row>
    <row r="1371" spans="1:10" ht="12.75">
      <c r="A1371" s="2" t="s">
        <v>50</v>
      </c>
      <c r="B1371" s="2" t="s">
        <v>1826</v>
      </c>
      <c r="C1371" s="2" t="s">
        <v>24</v>
      </c>
      <c r="D1371" s="2" t="s">
        <v>1827</v>
      </c>
      <c r="E1371" s="2" t="s">
        <v>704</v>
      </c>
      <c r="F1371" s="11" t="s">
        <v>2334</v>
      </c>
      <c r="G1371" t="s">
        <v>37</v>
      </c>
      <c r="H1371" t="s">
        <v>2335</v>
      </c>
      <c r="I1371" t="s">
        <v>1870</v>
      </c>
      <c r="J1371" s="6" t="str">
        <f>HYPERLINK("https://www.biovista.com/db/link/%5B%5B%22Disease%7CLeigh%20Syndrome%22%5D,%20%5B%22Pathway%7Cmitochondrial%20transcription%22%5D%5D?strength-weight-map=%257B%2522MEDLINE_STRENGTH_AB%2522:1.0,%2522HPO%2522:100.0%257D", "Show Evidence...")</f>
        <v>Show Evidence...</v>
      </c>
    </row>
    <row r="1372" spans="1:10" ht="12.75">
      <c r="A1372" s="2" t="s">
        <v>50</v>
      </c>
      <c r="B1372" s="2" t="s">
        <v>1826</v>
      </c>
      <c r="C1372" s="2" t="s">
        <v>24</v>
      </c>
      <c r="D1372" s="2" t="s">
        <v>1827</v>
      </c>
      <c r="E1372" s="2" t="s">
        <v>704</v>
      </c>
      <c r="F1372" s="11" t="s">
        <v>2336</v>
      </c>
      <c r="G1372" t="s">
        <v>37</v>
      </c>
      <c r="H1372" t="s">
        <v>2337</v>
      </c>
      <c r="I1372" t="s">
        <v>1870</v>
      </c>
      <c r="J1372" s="6" t="str">
        <f>HYPERLINK("https://www.biovista.com/db/link/%5B%5B%22Disease%7CLeigh%20Syndrome%22%5D,%20%5B%22Pathway%7Cmitochondrial%20unfolded%20protein%20response%22%5D%5D?strength-weight-map=%257B%2522MEDLINE_STRENGTH_AB%2522:1.0,%2522HPO%2522:100.0%257D", "Show Evidence...")</f>
        <v>Show Evidence...</v>
      </c>
    </row>
    <row r="1373" spans="1:10" ht="12.75">
      <c r="A1373" s="2" t="s">
        <v>50</v>
      </c>
      <c r="B1373" s="2" t="s">
        <v>1826</v>
      </c>
      <c r="C1373" s="2" t="s">
        <v>24</v>
      </c>
      <c r="D1373" s="2" t="s">
        <v>1827</v>
      </c>
      <c r="E1373" s="2" t="s">
        <v>704</v>
      </c>
      <c r="F1373" s="11" t="s">
        <v>2338</v>
      </c>
      <c r="G1373" t="s">
        <v>37</v>
      </c>
      <c r="H1373" t="s">
        <v>2339</v>
      </c>
      <c r="I1373" t="s">
        <v>1870</v>
      </c>
      <c r="J1373" s="6" t="str">
        <f>HYPERLINK("https://www.biovista.com/db/link/%5B%5B%22Disease%7CLeigh%20Syndrome%22%5D,%20%5B%22Pathway%7Cmitophagy%22%5D%5D?strength-weight-map=%257B%2522MEDLINE_STRENGTH_AB%2522:1.0,%2522HPO%2522:100.0%257D", "Show Evidence...")</f>
        <v>Show Evidence...</v>
      </c>
    </row>
    <row r="1374" spans="1:10" ht="12.75">
      <c r="A1374" s="2" t="s">
        <v>50</v>
      </c>
      <c r="B1374" s="2" t="s">
        <v>1826</v>
      </c>
      <c r="C1374" s="2" t="s">
        <v>24</v>
      </c>
      <c r="D1374" s="2" t="s">
        <v>1827</v>
      </c>
      <c r="E1374" s="2" t="s">
        <v>704</v>
      </c>
      <c r="F1374" s="11" t="s">
        <v>1556</v>
      </c>
      <c r="G1374" t="s">
        <v>37</v>
      </c>
      <c r="H1374" t="s">
        <v>1557</v>
      </c>
      <c r="I1374" t="s">
        <v>1870</v>
      </c>
      <c r="J1374" s="6" t="str">
        <f>HYPERLINK("https://www.biovista.com/db/link/%5B%5B%22Disease%7CLeigh%20Syndrome%22%5D,%20%5B%22Pathway%7Cmuscle%20atrophy%22%5D%5D?strength-weight-map=%257B%2522MEDLINE_STRENGTH_AB%2522:1.0,%2522HPO%2522:100.0%257D", "Show Evidence...")</f>
        <v>Show Evidence...</v>
      </c>
    </row>
    <row r="1375" spans="1:10" ht="12.75">
      <c r="A1375" s="2" t="s">
        <v>50</v>
      </c>
      <c r="B1375" s="2" t="s">
        <v>1826</v>
      </c>
      <c r="C1375" s="2" t="s">
        <v>24</v>
      </c>
      <c r="D1375" s="2" t="s">
        <v>1827</v>
      </c>
      <c r="E1375" s="2" t="s">
        <v>704</v>
      </c>
      <c r="F1375" s="11" t="s">
        <v>1472</v>
      </c>
      <c r="G1375" t="s">
        <v>37</v>
      </c>
      <c r="H1375" t="s">
        <v>1473</v>
      </c>
      <c r="I1375" t="s">
        <v>1870</v>
      </c>
      <c r="J1375" s="6" t="str">
        <f>HYPERLINK("https://www.biovista.com/db/link/%5B%5B%22Disease%7CLeigh%20Syndrome%22%5D,%20%5B%22Pathway%7Cmyelination%22%5D%5D?strength-weight-map=%257B%2522MEDLINE_STRENGTH_AB%2522:1.0,%2522HPO%2522:100.0%257D", "Show Evidence...")</f>
        <v>Show Evidence...</v>
      </c>
    </row>
    <row r="1376" spans="1:10" ht="12.75">
      <c r="A1376" s="2" t="s">
        <v>50</v>
      </c>
      <c r="B1376" s="2" t="s">
        <v>1826</v>
      </c>
      <c r="C1376" s="2" t="s">
        <v>24</v>
      </c>
      <c r="D1376" s="2" t="s">
        <v>1827</v>
      </c>
      <c r="E1376" s="2" t="s">
        <v>717</v>
      </c>
      <c r="F1376" s="11" t="s">
        <v>2340</v>
      </c>
      <c r="G1376" t="s">
        <v>37</v>
      </c>
      <c r="H1376" t="s">
        <v>2341</v>
      </c>
      <c r="I1376" t="s">
        <v>1870</v>
      </c>
      <c r="J1376" s="6" t="str">
        <f>HYPERLINK("https://www.biovista.com/db/link/%5B%5B%22Disease%7CLeigh%20Syndrome%22%5D,%20%5B%22Pathway%7Cpyruvate%20oxidation%22%5D%5D?strength-weight-map=%257B%2522MEDLINE_STRENGTH_AB%2522:1.0,%2522HPO%2522:100.0%257D", "Show Evidence...")</f>
        <v>Show Evidence...</v>
      </c>
    </row>
    <row r="1377" spans="1:10" ht="12.75">
      <c r="A1377" s="2" t="s">
        <v>50</v>
      </c>
      <c r="B1377" s="2" t="s">
        <v>1826</v>
      </c>
      <c r="C1377" s="2" t="s">
        <v>24</v>
      </c>
      <c r="D1377" s="2" t="s">
        <v>1827</v>
      </c>
      <c r="E1377" s="2" t="s">
        <v>704</v>
      </c>
      <c r="F1377" s="11" t="s">
        <v>1538</v>
      </c>
      <c r="G1377" t="s">
        <v>37</v>
      </c>
      <c r="H1377" t="s">
        <v>1539</v>
      </c>
      <c r="I1377" t="s">
        <v>1870</v>
      </c>
      <c r="J1377" s="6" t="str">
        <f>HYPERLINK("https://www.biovista.com/db/link/%5B%5B%22Disease%7CLeigh%20Syndrome%22%5D,%20%5B%22Pathway%7Creactive%20oxygen%20species%20biosynthetic%20process%22%5D%5D?strength-weight-map=%257B%2522MEDLINE_STRENGTH_AB%2522:1.0,%2522HPO%2522:100.0%257D", "Show Evidence...")</f>
        <v>Show Evidence...</v>
      </c>
    </row>
    <row r="1378" spans="1:10" ht="12.75">
      <c r="A1378" s="2" t="s">
        <v>50</v>
      </c>
      <c r="B1378" s="2" t="s">
        <v>1826</v>
      </c>
      <c r="C1378" s="2" t="s">
        <v>24</v>
      </c>
      <c r="D1378" s="2" t="s">
        <v>1827</v>
      </c>
      <c r="E1378" s="2" t="s">
        <v>704</v>
      </c>
      <c r="F1378" s="11" t="s">
        <v>2342</v>
      </c>
      <c r="G1378" t="s">
        <v>37</v>
      </c>
      <c r="H1378" t="s">
        <v>2343</v>
      </c>
      <c r="I1378" t="s">
        <v>1870</v>
      </c>
      <c r="J1378" s="6" t="str">
        <f>HYPERLINK("https://www.biovista.com/db/link/%5B%5B%22Disease%7CLeigh%20Syndrome%22%5D,%20%5B%22Pathway%7Ctranslational%20initiation%22%5D%5D?strength-weight-map=%257B%2522MEDLINE_STRENGTH_AB%2522:1.0,%2522HPO%2522:100.0%257D", "Show Evidence...")</f>
        <v>Show Evidence...</v>
      </c>
    </row>
    <row r="1379" spans="1:10" ht="12.75">
      <c r="A1379" s="2" t="s">
        <v>50</v>
      </c>
      <c r="B1379" s="2" t="s">
        <v>1826</v>
      </c>
      <c r="C1379" s="2" t="s">
        <v>24</v>
      </c>
      <c r="D1379" s="2" t="s">
        <v>1827</v>
      </c>
      <c r="E1379" s="2" t="s">
        <v>704</v>
      </c>
      <c r="F1379" s="11" t="s">
        <v>874</v>
      </c>
      <c r="G1379" t="s">
        <v>37</v>
      </c>
      <c r="H1379" t="s">
        <v>875</v>
      </c>
      <c r="I1379" t="s">
        <v>1870</v>
      </c>
      <c r="J1379" s="6" t="str">
        <f>HYPERLINK("https://www.biovista.com/db/link/%5B%5B%22Disease%7CLeigh%20Syndrome%22%5D,%20%5B%22Pathway%7Cvasoconstriction%22%5D%5D?strength-weight-map=%257B%2522MEDLINE_STRENGTH_AB%2522:1.0,%2522HPO%2522:100.0%257D", "Show Evidence...")</f>
        <v>Show Evidence...</v>
      </c>
    </row>
    <row r="1380" spans="1:10" ht="12.75">
      <c r="A1380" s="2" t="s">
        <v>50</v>
      </c>
      <c r="B1380" s="2" t="s">
        <v>1826</v>
      </c>
      <c r="C1380" s="2" t="s">
        <v>24</v>
      </c>
      <c r="D1380" s="2" t="s">
        <v>1827</v>
      </c>
      <c r="E1380" s="2" t="s">
        <v>717</v>
      </c>
      <c r="F1380" s="11" t="s">
        <v>2344</v>
      </c>
      <c r="G1380" t="s">
        <v>37</v>
      </c>
      <c r="H1380" t="s">
        <v>2345</v>
      </c>
      <c r="I1380" t="s">
        <v>1881</v>
      </c>
      <c r="J1380" s="6" t="str">
        <f>HYPERLINK("https://www.biovista.com/db/link/%5B%5B%22Disease%7CLeigh%20Syndrome%22%5D,%20%5B%22Pathway%7Cbiomineralization%22%5D%5D?strength-weight-map=%257B%2522MEDLINE_STRENGTH_AB%2522:1.0,%2522HPO%2522:100.0%257D", "Show Evidence...")</f>
        <v>Show Evidence...</v>
      </c>
    </row>
    <row r="1381" spans="1:10" ht="12.75">
      <c r="A1381" s="2" t="s">
        <v>50</v>
      </c>
      <c r="B1381" s="2" t="s">
        <v>1826</v>
      </c>
      <c r="C1381" s="2" t="s">
        <v>24</v>
      </c>
      <c r="D1381" s="2" t="s">
        <v>1827</v>
      </c>
      <c r="E1381" s="2" t="s">
        <v>704</v>
      </c>
      <c r="F1381" s="11" t="s">
        <v>841</v>
      </c>
      <c r="G1381" t="s">
        <v>37</v>
      </c>
      <c r="H1381" t="s">
        <v>842</v>
      </c>
      <c r="I1381" t="s">
        <v>1881</v>
      </c>
      <c r="J1381" s="6" t="str">
        <f>HYPERLINK("https://www.biovista.com/db/link/%5B%5B%22Disease%7CLeigh%20Syndrome%22%5D,%20%5B%22Pathway%7Ccarbohydrate%20metabolic%20process%22%5D%5D?strength-weight-map=%257B%2522MEDLINE_STRENGTH_AB%2522:1.0,%2522HPO%2522:100.0%257D", "Show Evidence...")</f>
        <v>Show Evidence...</v>
      </c>
    </row>
    <row r="1382" spans="1:10" ht="12.75">
      <c r="A1382" s="2" t="s">
        <v>50</v>
      </c>
      <c r="B1382" s="2" t="s">
        <v>1826</v>
      </c>
      <c r="C1382" s="2" t="s">
        <v>24</v>
      </c>
      <c r="D1382" s="2" t="s">
        <v>1827</v>
      </c>
      <c r="E1382" s="2" t="s">
        <v>704</v>
      </c>
      <c r="F1382" s="11" t="s">
        <v>803</v>
      </c>
      <c r="G1382" t="s">
        <v>37</v>
      </c>
      <c r="H1382" t="s">
        <v>804</v>
      </c>
      <c r="I1382" t="s">
        <v>1881</v>
      </c>
      <c r="J1382" s="6" t="str">
        <f>HYPERLINK("https://www.biovista.com/db/link/%5B%5B%22Disease%7CLeigh%20Syndrome%22%5D,%20%5B%22Pathway%7Ccell%20cycle%22%5D%5D?strength-weight-map=%257B%2522MEDLINE_STRENGTH_AB%2522:1.0,%2522HPO%2522:100.0%257D", "Show Evidence...")</f>
        <v>Show Evidence...</v>
      </c>
    </row>
    <row r="1383" spans="1:10" ht="12.75">
      <c r="A1383" s="2" t="s">
        <v>50</v>
      </c>
      <c r="B1383" s="2" t="s">
        <v>1826</v>
      </c>
      <c r="C1383" s="2" t="s">
        <v>24</v>
      </c>
      <c r="D1383" s="2" t="s">
        <v>1827</v>
      </c>
      <c r="E1383" s="2" t="s">
        <v>704</v>
      </c>
      <c r="F1383" s="11" t="s">
        <v>2346</v>
      </c>
      <c r="G1383" t="s">
        <v>37</v>
      </c>
      <c r="H1383" t="s">
        <v>2347</v>
      </c>
      <c r="I1383" t="s">
        <v>1881</v>
      </c>
      <c r="J1383" s="6" t="str">
        <f>HYPERLINK("https://www.biovista.com/db/link/%5B%5B%22Disease%7CLeigh%20Syndrome%22%5D,%20%5B%22Pathway%7Ccentral%20nervous%20system%20development%22%5D%5D?strength-weight-map=%257B%2522MEDLINE_STRENGTH_AB%2522:1.0,%2522HPO%2522:100.0%257D", "Show Evidence...")</f>
        <v>Show Evidence...</v>
      </c>
    </row>
    <row r="1384" spans="1:10" ht="12.75">
      <c r="A1384" s="2" t="s">
        <v>50</v>
      </c>
      <c r="B1384" s="2" t="s">
        <v>1826</v>
      </c>
      <c r="C1384" s="2" t="s">
        <v>24</v>
      </c>
      <c r="D1384" s="2" t="s">
        <v>1827</v>
      </c>
      <c r="E1384" s="2" t="s">
        <v>704</v>
      </c>
      <c r="F1384" s="11" t="s">
        <v>2348</v>
      </c>
      <c r="G1384" t="s">
        <v>37</v>
      </c>
      <c r="H1384" t="s">
        <v>2349</v>
      </c>
      <c r="I1384" t="s">
        <v>1881</v>
      </c>
      <c r="J1384" s="6" t="str">
        <f>HYPERLINK("https://www.biovista.com/db/link/%5B%5B%22Disease%7CLeigh%20Syndrome%22%5D,%20%5B%22Pathway%7Cdigestive%20tract%20development%22%5D%5D?strength-weight-map=%257B%2522MEDLINE_STRENGTH_AB%2522:1.0,%2522HPO%2522:100.0%257D", "Show Evidence...")</f>
        <v>Show Evidence...</v>
      </c>
    </row>
    <row r="1385" spans="1:10" ht="12.75">
      <c r="A1385" s="2" t="s">
        <v>50</v>
      </c>
      <c r="B1385" s="2" t="s">
        <v>1826</v>
      </c>
      <c r="C1385" s="2" t="s">
        <v>24</v>
      </c>
      <c r="D1385" s="2" t="s">
        <v>1827</v>
      </c>
      <c r="E1385" s="2" t="s">
        <v>704</v>
      </c>
      <c r="F1385" s="11" t="s">
        <v>787</v>
      </c>
      <c r="G1385" t="s">
        <v>37</v>
      </c>
      <c r="H1385" t="s">
        <v>788</v>
      </c>
      <c r="I1385" t="s">
        <v>1881</v>
      </c>
      <c r="J1385" s="6" t="str">
        <f>HYPERLINK("https://www.biovista.com/db/link/%5B%5B%22Disease%7CLeigh%20Syndrome%22%5D,%20%5B%22Pathway%7Cfeeding%20behavior%22%5D%5D?strength-weight-map=%257B%2522MEDLINE_STRENGTH_AB%2522:1.0,%2522HPO%2522:100.0%257D", "Show Evidence...")</f>
        <v>Show Evidence...</v>
      </c>
    </row>
    <row r="1386" spans="1:10" ht="12.75">
      <c r="A1386" s="2" t="s">
        <v>50</v>
      </c>
      <c r="B1386" s="2" t="s">
        <v>1826</v>
      </c>
      <c r="C1386" s="2" t="s">
        <v>24</v>
      </c>
      <c r="D1386" s="2" t="s">
        <v>1827</v>
      </c>
      <c r="E1386" s="2" t="s">
        <v>704</v>
      </c>
      <c r="F1386" s="11" t="s">
        <v>821</v>
      </c>
      <c r="G1386" t="s">
        <v>37</v>
      </c>
      <c r="H1386" t="s">
        <v>822</v>
      </c>
      <c r="I1386" t="s">
        <v>1881</v>
      </c>
      <c r="J1386" s="6" t="str">
        <f>HYPERLINK("https://www.biovista.com/db/link/%5B%5B%22Disease%7CLeigh%20Syndrome%22%5D,%20%5B%22Pathway%7Cfemale%20pregnancy%22%5D%5D?strength-weight-map=%257B%2522MEDLINE_STRENGTH_AB%2522:1.0,%2522HPO%2522:100.0%257D", "Show Evidence...")</f>
        <v>Show Evidence...</v>
      </c>
    </row>
    <row r="1387" spans="1:10" ht="12.75">
      <c r="A1387" s="2" t="s">
        <v>50</v>
      </c>
      <c r="B1387" s="2" t="s">
        <v>1826</v>
      </c>
      <c r="C1387" s="2" t="s">
        <v>24</v>
      </c>
      <c r="D1387" s="2" t="s">
        <v>1827</v>
      </c>
      <c r="E1387" s="2" t="s">
        <v>704</v>
      </c>
      <c r="F1387" s="11" t="s">
        <v>2350</v>
      </c>
      <c r="G1387" t="s">
        <v>37</v>
      </c>
      <c r="H1387" t="s">
        <v>2351</v>
      </c>
      <c r="I1387" t="s">
        <v>1881</v>
      </c>
      <c r="J1387" s="6" t="str">
        <f>HYPERLINK("https://www.biovista.com/db/link/%5B%5B%22Disease%7CLeigh%20Syndrome%22%5D,%20%5B%22Pathway%7Cferroptosis%22%5D%5D?strength-weight-map=%257B%2522MEDLINE_STRENGTH_AB%2522:1.0,%2522HPO%2522:100.0%257D", "Show Evidence...")</f>
        <v>Show Evidence...</v>
      </c>
    </row>
    <row r="1388" spans="1:10" ht="12.75">
      <c r="A1388" s="2" t="s">
        <v>50</v>
      </c>
      <c r="B1388" s="2" t="s">
        <v>1826</v>
      </c>
      <c r="C1388" s="2" t="s">
        <v>24</v>
      </c>
      <c r="D1388" s="2" t="s">
        <v>1827</v>
      </c>
      <c r="E1388" s="2" t="s">
        <v>704</v>
      </c>
      <c r="F1388" s="11" t="s">
        <v>2352</v>
      </c>
      <c r="G1388" t="s">
        <v>37</v>
      </c>
      <c r="H1388" t="s">
        <v>2353</v>
      </c>
      <c r="I1388" t="s">
        <v>1881</v>
      </c>
      <c r="J1388" s="6" t="str">
        <f>HYPERLINK("https://www.biovista.com/db/link/%5B%5B%22Disease%7CLeigh%20Syndrome%22%5D,%20%5B%22Pathway%7Cglucose%20metabolic%20process%22%5D%5D?strength-weight-map=%257B%2522MEDLINE_STRENGTH_AB%2522:1.0,%2522HPO%2522:100.0%257D", "Show Evidence...")</f>
        <v>Show Evidence...</v>
      </c>
    </row>
    <row r="1389" spans="1:10" ht="12.75">
      <c r="A1389" s="2" t="s">
        <v>50</v>
      </c>
      <c r="B1389" s="2" t="s">
        <v>1826</v>
      </c>
      <c r="C1389" s="2" t="s">
        <v>24</v>
      </c>
      <c r="D1389" s="2" t="s">
        <v>1827</v>
      </c>
      <c r="E1389" s="2" t="s">
        <v>704</v>
      </c>
      <c r="F1389" s="11" t="s">
        <v>764</v>
      </c>
      <c r="G1389" t="s">
        <v>37</v>
      </c>
      <c r="H1389" t="s">
        <v>765</v>
      </c>
      <c r="I1389" t="s">
        <v>1881</v>
      </c>
      <c r="J1389" s="6" t="str">
        <f>HYPERLINK("https://www.biovista.com/db/link/%5B%5B%22Disease%7CLeigh%20Syndrome%22%5D,%20%5B%22Pathway%7Cmethylation%22%5D%5D?strength-weight-map=%257B%2522MEDLINE_STRENGTH_AB%2522:1.0,%2522HPO%2522:100.0%257D", "Show Evidence...")</f>
        <v>Show Evidence...</v>
      </c>
    </row>
    <row r="1390" spans="1:10" ht="12.75">
      <c r="A1390" s="2" t="s">
        <v>50</v>
      </c>
      <c r="B1390" s="2" t="s">
        <v>1826</v>
      </c>
      <c r="C1390" s="2" t="s">
        <v>24</v>
      </c>
      <c r="D1390" s="2" t="s">
        <v>1827</v>
      </c>
      <c r="E1390" s="2" t="s">
        <v>704</v>
      </c>
      <c r="F1390" s="11" t="s">
        <v>2354</v>
      </c>
      <c r="G1390" t="s">
        <v>37</v>
      </c>
      <c r="H1390" t="s">
        <v>2355</v>
      </c>
      <c r="I1390" t="s">
        <v>1881</v>
      </c>
      <c r="J1390" s="6" t="str">
        <f>HYPERLINK("https://www.biovista.com/db/link/%5B%5B%22Disease%7CLeigh%20Syndrome%22%5D,%20%5B%22Pathway%7Cmitochondrial%20fusion%22%5D%5D?strength-weight-map=%257B%2522MEDLINE_STRENGTH_AB%2522:1.0,%2522HPO%2522:100.0%257D", "Show Evidence...")</f>
        <v>Show Evidence...</v>
      </c>
    </row>
    <row r="1391" spans="1:10" ht="12.75">
      <c r="A1391" s="2" t="s">
        <v>50</v>
      </c>
      <c r="B1391" s="2" t="s">
        <v>1826</v>
      </c>
      <c r="C1391" s="2" t="s">
        <v>24</v>
      </c>
      <c r="D1391" s="2" t="s">
        <v>1827</v>
      </c>
      <c r="E1391" s="2" t="s">
        <v>704</v>
      </c>
      <c r="F1391" s="11" t="s">
        <v>731</v>
      </c>
      <c r="G1391" t="s">
        <v>37</v>
      </c>
      <c r="H1391" t="s">
        <v>732</v>
      </c>
      <c r="I1391" t="s">
        <v>1881</v>
      </c>
      <c r="J1391" s="6" t="str">
        <f>HYPERLINK("https://www.biovista.com/db/link/%5B%5B%22Disease%7CLeigh%20Syndrome%22%5D,%20%5B%22Pathway%7Cneurogenesis%22%5D%5D?strength-weight-map=%257B%2522MEDLINE_STRENGTH_AB%2522:1.0,%2522HPO%2522:100.0%257D", "Show Evidence...")</f>
        <v>Show Evidence...</v>
      </c>
    </row>
    <row r="1392" spans="1:10" ht="12.75">
      <c r="A1392" s="2" t="s">
        <v>50</v>
      </c>
      <c r="B1392" s="2" t="s">
        <v>1826</v>
      </c>
      <c r="C1392" s="2" t="s">
        <v>24</v>
      </c>
      <c r="D1392" s="2" t="s">
        <v>1827</v>
      </c>
      <c r="E1392" s="2" t="s">
        <v>717</v>
      </c>
      <c r="F1392" s="11" t="s">
        <v>1510</v>
      </c>
      <c r="G1392" t="s">
        <v>37</v>
      </c>
      <c r="H1392" t="s">
        <v>1511</v>
      </c>
      <c r="I1392" t="s">
        <v>1881</v>
      </c>
      <c r="J1392" s="6" t="str">
        <f>HYPERLINK("https://www.biovista.com/db/link/%5B%5B%22Disease%7CLeigh%20Syndrome%22%5D,%20%5B%22Pathway%7Cneuroprotection%22%5D%5D?strength-weight-map=%257B%2522MEDLINE_STRENGTH_AB%2522:1.0,%2522HPO%2522:100.0%257D", "Show Evidence...")</f>
        <v>Show Evidence...</v>
      </c>
    </row>
    <row r="1393" spans="1:10" ht="12.75">
      <c r="A1393" s="2" t="s">
        <v>50</v>
      </c>
      <c r="B1393" s="2" t="s">
        <v>1826</v>
      </c>
      <c r="C1393" s="2" t="s">
        <v>24</v>
      </c>
      <c r="D1393" s="2" t="s">
        <v>1827</v>
      </c>
      <c r="E1393" s="2" t="s">
        <v>704</v>
      </c>
      <c r="F1393" s="11" t="s">
        <v>2356</v>
      </c>
      <c r="G1393" t="s">
        <v>37</v>
      </c>
      <c r="H1393" t="s">
        <v>2357</v>
      </c>
      <c r="I1393" t="s">
        <v>1881</v>
      </c>
      <c r="J1393" s="6" t="str">
        <f>HYPERLINK("https://www.biovista.com/db/link/%5B%5B%22Disease%7CLeigh%20Syndrome%22%5D,%20%5B%22Pathway%7Cone-carbon%20metabolic%20process%22%5D%5D?strength-weight-map=%257B%2522MEDLINE_STRENGTH_AB%2522:1.0,%2522HPO%2522:100.0%257D", "Show Evidence...")</f>
        <v>Show Evidence...</v>
      </c>
    </row>
    <row r="1394" spans="1:10" ht="12.75">
      <c r="A1394" s="2" t="s">
        <v>50</v>
      </c>
      <c r="B1394" s="2" t="s">
        <v>1826</v>
      </c>
      <c r="C1394" s="2" t="s">
        <v>24</v>
      </c>
      <c r="D1394" s="2" t="s">
        <v>1827</v>
      </c>
      <c r="E1394" s="2" t="s">
        <v>704</v>
      </c>
      <c r="F1394" s="11" t="s">
        <v>781</v>
      </c>
      <c r="G1394" t="s">
        <v>37</v>
      </c>
      <c r="H1394" t="s">
        <v>782</v>
      </c>
      <c r="I1394" t="s">
        <v>1881</v>
      </c>
      <c r="J1394" s="6" t="str">
        <f>HYPERLINK("https://www.biovista.com/db/link/%5B%5B%22Disease%7CLeigh%20Syndrome%22%5D,%20%5B%22Pathway%7Cossification%22%5D%5D?strength-weight-map=%257B%2522MEDLINE_STRENGTH_AB%2522:1.0,%2522HPO%2522:100.0%257D", "Show Evidence...")</f>
        <v>Show Evidence...</v>
      </c>
    </row>
    <row r="1395" spans="1:10" ht="12.75">
      <c r="A1395" s="2" t="s">
        <v>50</v>
      </c>
      <c r="B1395" s="2" t="s">
        <v>1826</v>
      </c>
      <c r="C1395" s="2" t="s">
        <v>24</v>
      </c>
      <c r="D1395" s="2" t="s">
        <v>1827</v>
      </c>
      <c r="E1395" s="2" t="s">
        <v>704</v>
      </c>
      <c r="F1395" s="11" t="s">
        <v>2358</v>
      </c>
      <c r="G1395" t="s">
        <v>37</v>
      </c>
      <c r="H1395" t="s">
        <v>2359</v>
      </c>
      <c r="I1395" t="s">
        <v>1881</v>
      </c>
      <c r="J1395" s="6" t="str">
        <f>HYPERLINK("https://www.biovista.com/db/link/%5B%5B%22Disease%7CLeigh%20Syndrome%22%5D,%20%5B%22Pathway%7CpH%20reduction%22%5D%5D?strength-weight-map=%257B%2522MEDLINE_STRENGTH_AB%2522:1.0,%2522HPO%2522:100.0%257D", "Show Evidence...")</f>
        <v>Show Evidence...</v>
      </c>
    </row>
    <row r="1396" spans="1:10" ht="12.75">
      <c r="A1396" s="2" t="s">
        <v>50</v>
      </c>
      <c r="B1396" s="2" t="s">
        <v>1826</v>
      </c>
      <c r="C1396" s="2" t="s">
        <v>24</v>
      </c>
      <c r="D1396" s="2" t="s">
        <v>1827</v>
      </c>
      <c r="E1396" s="2" t="s">
        <v>704</v>
      </c>
      <c r="F1396" s="11" t="s">
        <v>2360</v>
      </c>
      <c r="G1396" t="s">
        <v>37</v>
      </c>
      <c r="H1396" t="s">
        <v>2361</v>
      </c>
      <c r="I1396" t="s">
        <v>1881</v>
      </c>
      <c r="J1396" s="6" t="str">
        <f>HYPERLINK("https://www.biovista.com/db/link/%5B%5B%22Disease%7CLeigh%20Syndrome%22%5D,%20%5B%22Pathway%7Cphagocytosis%22%5D%5D?strength-weight-map=%257B%2522MEDLINE_STRENGTH_AB%2522:1.0,%2522HPO%2522:100.0%257D", "Show Evidence...")</f>
        <v>Show Evidence...</v>
      </c>
    </row>
    <row r="1397" spans="1:10" ht="12.75">
      <c r="A1397" s="2" t="s">
        <v>50</v>
      </c>
      <c r="B1397" s="2" t="s">
        <v>1826</v>
      </c>
      <c r="C1397" s="2" t="s">
        <v>24</v>
      </c>
      <c r="D1397" s="2" t="s">
        <v>1827</v>
      </c>
      <c r="E1397" s="2" t="s">
        <v>704</v>
      </c>
      <c r="F1397" s="11" t="s">
        <v>2362</v>
      </c>
      <c r="G1397" t="s">
        <v>37</v>
      </c>
      <c r="H1397" t="s">
        <v>2363</v>
      </c>
      <c r="I1397" t="s">
        <v>1881</v>
      </c>
      <c r="J1397" s="6" t="str">
        <f>HYPERLINK("https://www.biovista.com/db/link/%5B%5B%22Disease%7CLeigh%20Syndrome%22%5D,%20%5B%22Pathway%7Cpositive%20regulation%20of%20glycolytic%20process%22%5D%5D?strength-weight-map=%257B%2522MEDLINE_STRENGTH_AB%2522:1.0,%2522HPO%2522:100.0%257D", "Show Evidence...")</f>
        <v>Show Evidence...</v>
      </c>
    </row>
    <row r="1398" spans="1:10" ht="12.75">
      <c r="A1398" s="2" t="s">
        <v>50</v>
      </c>
      <c r="B1398" s="2" t="s">
        <v>1826</v>
      </c>
      <c r="C1398" s="2" t="s">
        <v>24</v>
      </c>
      <c r="D1398" s="2" t="s">
        <v>1827</v>
      </c>
      <c r="E1398" s="2" t="s">
        <v>704</v>
      </c>
      <c r="F1398" s="11" t="s">
        <v>1534</v>
      </c>
      <c r="G1398" t="s">
        <v>37</v>
      </c>
      <c r="H1398" t="s">
        <v>1535</v>
      </c>
      <c r="I1398" t="s">
        <v>1881</v>
      </c>
      <c r="J1398" s="6" t="str">
        <f>HYPERLINK("https://www.biovista.com/db/link/%5B%5B%22Disease%7CLeigh%20Syndrome%22%5D,%20%5B%22Pathway%7Cpost-translational%20protein%20modification%22%5D%5D?strength-weight-map=%257B%2522MEDLINE_STRENGTH_AB%2522:1.0,%2522HPO%2522:100.0%257D", "Show Evidence...")</f>
        <v>Show Evidence...</v>
      </c>
    </row>
    <row r="1399" spans="1:10" ht="12.75">
      <c r="A1399" s="2" t="s">
        <v>50</v>
      </c>
      <c r="B1399" s="2" t="s">
        <v>1826</v>
      </c>
      <c r="C1399" s="2" t="s">
        <v>24</v>
      </c>
      <c r="D1399" s="2" t="s">
        <v>1827</v>
      </c>
      <c r="E1399" s="2" t="s">
        <v>704</v>
      </c>
      <c r="F1399" s="11" t="s">
        <v>830</v>
      </c>
      <c r="G1399" t="s">
        <v>37</v>
      </c>
      <c r="H1399" t="s">
        <v>831</v>
      </c>
      <c r="I1399" t="s">
        <v>1881</v>
      </c>
      <c r="J1399" s="6" t="str">
        <f>HYPERLINK("https://www.biovista.com/db/link/%5B%5B%22Disease%7CLeigh%20Syndrome%22%5D,%20%5B%22Pathway%7Cresponse%20to%20xenobiotic%20stimulus%22%5D%5D?strength-weight-map=%257B%2522MEDLINE_STRENGTH_AB%2522:1.0,%2522HPO%2522:100.0%257D", "Show Evidence...")</f>
        <v>Show Evidence...</v>
      </c>
    </row>
    <row r="1400" spans="1:10" ht="12.75">
      <c r="A1400" s="2" t="s">
        <v>50</v>
      </c>
      <c r="B1400" s="2" t="s">
        <v>1826</v>
      </c>
      <c r="C1400" s="2" t="s">
        <v>24</v>
      </c>
      <c r="D1400" s="2" t="s">
        <v>1827</v>
      </c>
      <c r="E1400" s="2" t="s">
        <v>704</v>
      </c>
      <c r="F1400" s="11" t="s">
        <v>2364</v>
      </c>
      <c r="G1400" t="s">
        <v>37</v>
      </c>
      <c r="H1400" t="s">
        <v>2365</v>
      </c>
      <c r="I1400" t="s">
        <v>1881</v>
      </c>
      <c r="J1400" s="6" t="str">
        <f>HYPERLINK("https://www.biovista.com/db/link/%5B%5B%22Disease%7CLeigh%20Syndrome%22%5D,%20%5B%22Pathway%7CRNA%20metabolic%20process%22%5D%5D?strength-weight-map=%257B%2522MEDLINE_STRENGTH_AB%2522:1.0,%2522HPO%2522:100.0%257D", "Show Evidence...")</f>
        <v>Show Evidence...</v>
      </c>
    </row>
    <row r="1401" spans="1:10" ht="12.75">
      <c r="A1401" s="2" t="s">
        <v>50</v>
      </c>
      <c r="B1401" s="2" t="s">
        <v>1826</v>
      </c>
      <c r="C1401" s="2" t="s">
        <v>24</v>
      </c>
      <c r="D1401" s="2" t="s">
        <v>1827</v>
      </c>
      <c r="E1401" s="2" t="s">
        <v>704</v>
      </c>
      <c r="F1401" s="11" t="s">
        <v>848</v>
      </c>
      <c r="G1401" t="s">
        <v>37</v>
      </c>
      <c r="H1401" t="s">
        <v>849</v>
      </c>
      <c r="I1401" t="s">
        <v>1881</v>
      </c>
      <c r="J1401" s="6" t="str">
        <f>HYPERLINK("https://www.biovista.com/db/link/%5B%5B%22Disease%7CLeigh%20Syndrome%22%5D,%20%5B%22Pathway%7CRNA%20processing%22%5D%5D?strength-weight-map=%257B%2522MEDLINE_STRENGTH_AB%2522:1.0,%2522HPO%2522:100.0%257D", "Show Evidence...")</f>
        <v>Show Evidence...</v>
      </c>
    </row>
    <row r="1402" spans="1:10" ht="12.75">
      <c r="A1402" s="2" t="s">
        <v>50</v>
      </c>
      <c r="B1402" s="2" t="s">
        <v>1826</v>
      </c>
      <c r="C1402" s="2" t="s">
        <v>24</v>
      </c>
      <c r="D1402" s="2" t="s">
        <v>1827</v>
      </c>
      <c r="E1402" s="2" t="s">
        <v>704</v>
      </c>
      <c r="F1402" s="11" t="s">
        <v>2366</v>
      </c>
      <c r="G1402" t="s">
        <v>37</v>
      </c>
      <c r="H1402" t="s">
        <v>2367</v>
      </c>
      <c r="I1402" t="s">
        <v>1881</v>
      </c>
      <c r="J1402" s="6" t="str">
        <f>HYPERLINK("https://www.biovista.com/db/link/%5B%5B%22Disease%7CLeigh%20Syndrome%22%5D,%20%5B%22Pathway%7CRNA%20splicing,%20via%20endonucleolytic%20cleavage%20and%20ligation%22%5D%5D?strength-weight-map=%257B%2522MEDLINE_STRENGTH_AB%2522:1.0,%2522HPO%2522:100.0%257D", "Show Evidence...")</f>
        <v>Show Evidence...</v>
      </c>
    </row>
    <row r="1403" spans="1:10" ht="12.75">
      <c r="A1403" s="2" t="s">
        <v>50</v>
      </c>
      <c r="B1403" s="2" t="s">
        <v>1826</v>
      </c>
      <c r="C1403" s="2" t="s">
        <v>24</v>
      </c>
      <c r="D1403" s="2" t="s">
        <v>1827</v>
      </c>
      <c r="E1403" s="2" t="s">
        <v>704</v>
      </c>
      <c r="F1403" s="11" t="s">
        <v>834</v>
      </c>
      <c r="G1403" t="s">
        <v>37</v>
      </c>
      <c r="H1403" t="s">
        <v>835</v>
      </c>
      <c r="I1403" t="s">
        <v>1881</v>
      </c>
      <c r="J1403" s="6" t="str">
        <f>HYPERLINK("https://www.biovista.com/db/link/%5B%5B%22Disease%7CLeigh%20Syndrome%22%5D,%20%5B%22Pathway%7Csensory%20perception%20of%20sound%22%5D%5D?strength-weight-map=%257B%2522MEDLINE_STRENGTH_AB%2522:1.0,%2522HPO%2522:100.0%257D", "Show Evidence...")</f>
        <v>Show Evidence...</v>
      </c>
    </row>
    <row r="1404" spans="1:10" ht="12.75">
      <c r="A1404" s="2" t="s">
        <v>50</v>
      </c>
      <c r="B1404" s="2" t="s">
        <v>1826</v>
      </c>
      <c r="C1404" s="2" t="s">
        <v>24</v>
      </c>
      <c r="D1404" s="2" t="s">
        <v>1827</v>
      </c>
      <c r="E1404" s="2" t="s">
        <v>704</v>
      </c>
      <c r="F1404" s="11" t="s">
        <v>705</v>
      </c>
      <c r="G1404" t="s">
        <v>37</v>
      </c>
      <c r="H1404" t="s">
        <v>706</v>
      </c>
      <c r="I1404" t="s">
        <v>1881</v>
      </c>
      <c r="J1404" s="6" t="str">
        <f>HYPERLINK("https://www.biovista.com/db/link/%5B%5B%22Disease%7CLeigh%20Syndrome%22%5D,%20%5B%22Pathway%7Cswimming%22%5D%5D?strength-weight-map=%257B%2522MEDLINE_STRENGTH_AB%2522:1.0,%2522HPO%2522:100.0%257D", "Show Evidence...")</f>
        <v>Show Evidence...</v>
      </c>
    </row>
    <row r="1405" spans="1:10" ht="12.75">
      <c r="A1405" s="2" t="s">
        <v>50</v>
      </c>
      <c r="B1405" s="2" t="s">
        <v>1826</v>
      </c>
      <c r="C1405" s="2" t="s">
        <v>24</v>
      </c>
      <c r="D1405" s="2" t="s">
        <v>1827</v>
      </c>
      <c r="E1405" s="2" t="s">
        <v>704</v>
      </c>
      <c r="F1405" s="11" t="s">
        <v>2368</v>
      </c>
      <c r="G1405" t="s">
        <v>37</v>
      </c>
      <c r="H1405" t="s">
        <v>2369</v>
      </c>
      <c r="I1405" t="s">
        <v>1881</v>
      </c>
      <c r="J1405" s="6" t="str">
        <f>HYPERLINK("https://www.biovista.com/db/link/%5B%5B%22Disease%7CLeigh%20Syndrome%22%5D,%20%5B%22Pathway%7Cthiamine%20metabolic%20process%22%5D%5D?strength-weight-map=%257B%2522MEDLINE_STRENGTH_AB%2522:1.0,%2522HPO%2522:100.0%257D", "Show Evidence...")</f>
        <v>Show Evidence...</v>
      </c>
    </row>
    <row r="1406" spans="1:10" ht="12.75">
      <c r="A1406" s="2" t="s">
        <v>50</v>
      </c>
      <c r="B1406" s="2" t="s">
        <v>1826</v>
      </c>
      <c r="C1406" s="2" t="s">
        <v>24</v>
      </c>
      <c r="D1406" s="2" t="s">
        <v>1827</v>
      </c>
      <c r="E1406" s="2" t="s">
        <v>704</v>
      </c>
      <c r="F1406" s="11" t="s">
        <v>2370</v>
      </c>
      <c r="G1406" t="s">
        <v>37</v>
      </c>
      <c r="H1406" t="s">
        <v>2371</v>
      </c>
      <c r="I1406" t="s">
        <v>1881</v>
      </c>
      <c r="J1406" s="6" t="str">
        <f>HYPERLINK("https://www.biovista.com/db/link/%5B%5B%22Disease%7CLeigh%20Syndrome%22%5D,%20%5B%22Pathway%7Cthiamine%20transport%22%5D%5D?strength-weight-map=%257B%2522MEDLINE_STRENGTH_AB%2522:1.0,%2522HPO%2522:100.0%257D", "Show Evidence...")</f>
        <v>Show Evidence...</v>
      </c>
    </row>
    <row r="1407" spans="1:10" ht="12.75">
      <c r="A1407" s="2" t="s">
        <v>50</v>
      </c>
      <c r="B1407" s="2" t="s">
        <v>1826</v>
      </c>
      <c r="C1407" s="2" t="s">
        <v>24</v>
      </c>
      <c r="D1407" s="2" t="s">
        <v>1827</v>
      </c>
      <c r="E1407" s="2" t="s">
        <v>704</v>
      </c>
      <c r="F1407" s="11" t="s">
        <v>2372</v>
      </c>
      <c r="G1407" t="s">
        <v>37</v>
      </c>
      <c r="H1407" t="s">
        <v>2373</v>
      </c>
      <c r="I1407" t="s">
        <v>1896</v>
      </c>
      <c r="J1407" s="6" t="str">
        <f>HYPERLINK("https://www.biovista.com/db/link/%5B%5B%22Disease%7CLeigh%20Syndrome%22%5D,%20%5B%22Pathway%7Capoptotic%20DNA%20fragmentation%22%5D%5D?strength-weight-map=%257B%2522MEDLINE_STRENGTH_AB%2522:1.0,%2522HPO%2522:100.0%257D", "Show Evidence...")</f>
        <v>Show Evidence...</v>
      </c>
    </row>
    <row r="1408" spans="1:10" ht="12.75">
      <c r="A1408" s="2" t="s">
        <v>50</v>
      </c>
      <c r="B1408" s="2" t="s">
        <v>1826</v>
      </c>
      <c r="C1408" s="2" t="s">
        <v>24</v>
      </c>
      <c r="D1408" s="2" t="s">
        <v>1827</v>
      </c>
      <c r="E1408" s="2" t="s">
        <v>704</v>
      </c>
      <c r="F1408" s="11" t="s">
        <v>888</v>
      </c>
      <c r="G1408" t="s">
        <v>37</v>
      </c>
      <c r="H1408" t="s">
        <v>889</v>
      </c>
      <c r="I1408" t="s">
        <v>1896</v>
      </c>
      <c r="J1408" s="6" t="str">
        <f>HYPERLINK("https://www.biovista.com/db/link/%5B%5B%22Disease%7CLeigh%20Syndrome%22%5D,%20%5B%22Pathway%7Ccoagulation%22%5D%5D?strength-weight-map=%257B%2522MEDLINE_STRENGTH_AB%2522:1.0,%2522HPO%2522:100.0%257D", "Show Evidence...")</f>
        <v>Show Evidence...</v>
      </c>
    </row>
    <row r="1409" spans="1:10" ht="12.75">
      <c r="A1409" s="2" t="s">
        <v>50</v>
      </c>
      <c r="B1409" s="2" t="s">
        <v>1826</v>
      </c>
      <c r="C1409" s="2" t="s">
        <v>24</v>
      </c>
      <c r="D1409" s="2" t="s">
        <v>1827</v>
      </c>
      <c r="E1409" s="2" t="s">
        <v>704</v>
      </c>
      <c r="F1409" s="11" t="s">
        <v>1518</v>
      </c>
      <c r="G1409" t="s">
        <v>37</v>
      </c>
      <c r="H1409" t="s">
        <v>1519</v>
      </c>
      <c r="I1409" t="s">
        <v>1896</v>
      </c>
      <c r="J1409" s="6" t="str">
        <f>HYPERLINK("https://www.biovista.com/db/link/%5B%5B%22Disease%7CLeigh%20Syndrome%22%5D,%20%5B%22Pathway%7Curea%20cycle%22%5D%5D?strength-weight-map=%257B%2522MEDLINE_STRENGTH_AB%2522:1.0,%2522HPO%2522:100.0%257D", "Show Evidence...")</f>
        <v>Show Evidence...</v>
      </c>
    </row>
    <row r="1410" spans="1:10" ht="12.75">
      <c r="A1410" s="2" t="s">
        <v>2374</v>
      </c>
      <c r="B1410" s="2" t="s">
        <v>2375</v>
      </c>
      <c r="C1410" s="2" t="s">
        <v>24</v>
      </c>
      <c r="D1410" s="2" t="s">
        <v>2376</v>
      </c>
      <c r="E1410" s="2" t="s">
        <v>53</v>
      </c>
      <c r="F1410" s="11" t="s">
        <v>160</v>
      </c>
      <c r="G1410" t="s">
        <v>39</v>
      </c>
      <c r="H1410" t="s">
        <v>161</v>
      </c>
      <c r="I1410" t="s">
        <v>2377</v>
      </c>
      <c r="J1410" s="6" t="str">
        <f>HYPERLINK("https://www.biovista.com/db/link/%5B%5B%22Disease%7CMyotonic%20dystrophy%20type%201%22%5D,%20%5B%22Drug%7CTestosterone%22%5D%5D?strength-weight-map=%257B%2522MEDLINE_STRENGTH_AB%2522:1.0,%2522HPO%2522:100.0%257D", "Show Evidence...")</f>
        <v>Show Evidence...</v>
      </c>
    </row>
    <row r="1411" spans="1:10" ht="12.75">
      <c r="A1411" s="2" t="s">
        <v>2374</v>
      </c>
      <c r="B1411" s="2" t="s">
        <v>2375</v>
      </c>
      <c r="C1411" s="2" t="s">
        <v>24</v>
      </c>
      <c r="D1411" s="2" t="s">
        <v>2376</v>
      </c>
      <c r="E1411" s="2" t="s">
        <v>53</v>
      </c>
      <c r="F1411" s="11" t="s">
        <v>1001</v>
      </c>
      <c r="G1411" t="s">
        <v>39</v>
      </c>
      <c r="H1411" t="s">
        <v>1002</v>
      </c>
      <c r="I1411" t="s">
        <v>2378</v>
      </c>
      <c r="J1411" s="6" t="str">
        <f>HYPERLINK("https://www.biovista.com/db/link/%5B%5B%22Disease%7CMyotonic%20dystrophy%20type%201%22%5D,%20%5B%22Drug%7CPropofol%22%5D%5D?strength-weight-map=%257B%2522MEDLINE_STRENGTH_AB%2522:1.0,%2522HPO%2522:100.0%257D", "Show Evidence...")</f>
        <v>Show Evidence...</v>
      </c>
    </row>
    <row r="1412" spans="1:10" ht="12.75">
      <c r="A1412" s="2" t="s">
        <v>2374</v>
      </c>
      <c r="B1412" s="2" t="s">
        <v>2375</v>
      </c>
      <c r="C1412" s="2" t="s">
        <v>24</v>
      </c>
      <c r="D1412" s="2" t="s">
        <v>2376</v>
      </c>
      <c r="E1412" s="2" t="s">
        <v>53</v>
      </c>
      <c r="F1412" s="11" t="s">
        <v>110</v>
      </c>
      <c r="G1412" t="s">
        <v>39</v>
      </c>
      <c r="H1412" t="s">
        <v>111</v>
      </c>
      <c r="I1412" t="s">
        <v>2379</v>
      </c>
      <c r="J1412" s="6" t="str">
        <f>HYPERLINK("https://www.biovista.com/db/link/%5B%5B%22Disease%7CMyotonic%20dystrophy%20type%201%22%5D,%20%5B%22Drug%7CAdrenocorticotropic%20Hormone%22%5D%5D?strength-weight-map=%257B%2522MEDLINE_STRENGTH_AB%2522:1.0,%2522HPO%2522:100.0%257D", "Show Evidence...")</f>
        <v>Show Evidence...</v>
      </c>
    </row>
    <row r="1413" spans="1:10" ht="12.75">
      <c r="A1413" s="2" t="s">
        <v>2374</v>
      </c>
      <c r="B1413" s="2" t="s">
        <v>2375</v>
      </c>
      <c r="C1413" s="2" t="s">
        <v>24</v>
      </c>
      <c r="D1413" s="2" t="s">
        <v>2376</v>
      </c>
      <c r="E1413" s="2" t="s">
        <v>53</v>
      </c>
      <c r="F1413" s="11" t="s">
        <v>2380</v>
      </c>
      <c r="G1413" t="s">
        <v>39</v>
      </c>
      <c r="H1413" t="s">
        <v>2381</v>
      </c>
      <c r="I1413" t="s">
        <v>2382</v>
      </c>
      <c r="J1413" s="6" t="str">
        <f>HYPERLINK("https://www.biovista.com/db/link/%5B%5B%22Disease%7CMyotonic%20dystrophy%20type%201%22%5D,%20%5B%22Drug%7CFollicle%20Stimulating%20Hormone%22%5D%5D?strength-weight-map=%257B%2522MEDLINE_STRENGTH_AB%2522:1.0,%2522HPO%2522:100.0%257D", "Show Evidence...")</f>
        <v>Show Evidence...</v>
      </c>
    </row>
    <row r="1414" spans="1:10" ht="12.75">
      <c r="A1414" s="2" t="s">
        <v>2374</v>
      </c>
      <c r="B1414" s="2" t="s">
        <v>2375</v>
      </c>
      <c r="C1414" s="2" t="s">
        <v>24</v>
      </c>
      <c r="D1414" s="2" t="s">
        <v>2376</v>
      </c>
      <c r="E1414" s="2" t="s">
        <v>53</v>
      </c>
      <c r="F1414" s="11" t="s">
        <v>2383</v>
      </c>
      <c r="G1414" t="s">
        <v>39</v>
      </c>
      <c r="H1414" t="s">
        <v>2384</v>
      </c>
      <c r="I1414" t="s">
        <v>2385</v>
      </c>
      <c r="J1414" s="6" t="str">
        <f>HYPERLINK("https://www.biovista.com/db/link/%5B%5B%22Disease%7CMyotonic%20dystrophy%20type%201%22%5D,%20%5B%22Drug%7CMexiletine%22%5D%5D?strength-weight-map=%257B%2522MEDLINE_STRENGTH_AB%2522:1.0,%2522HPO%2522:100.0%257D", "Show Evidence...")</f>
        <v>Show Evidence...</v>
      </c>
    </row>
    <row r="1415" spans="1:10" ht="12.75">
      <c r="A1415" s="2" t="s">
        <v>2374</v>
      </c>
      <c r="B1415" s="2" t="s">
        <v>2375</v>
      </c>
      <c r="C1415" s="2" t="s">
        <v>24</v>
      </c>
      <c r="D1415" s="2" t="s">
        <v>2376</v>
      </c>
      <c r="E1415" s="2" t="s">
        <v>53</v>
      </c>
      <c r="F1415" s="11" t="s">
        <v>125</v>
      </c>
      <c r="G1415" t="s">
        <v>39</v>
      </c>
      <c r="H1415" t="s">
        <v>126</v>
      </c>
      <c r="I1415" t="s">
        <v>2386</v>
      </c>
      <c r="J1415" s="6" t="str">
        <f>HYPERLINK("https://www.biovista.com/db/link/%5B%5B%22Disease%7CMyotonic%20dystrophy%20type%201%22%5D,%20%5B%22Drug%7CHydrocortisone%22%5D%5D?strength-weight-map=%257B%2522MEDLINE_STRENGTH_AB%2522:1.0,%2522HPO%2522:100.0%257D", "Show Evidence...")</f>
        <v>Show Evidence...</v>
      </c>
    </row>
    <row r="1416" spans="1:10" ht="12.75">
      <c r="A1416" s="2" t="s">
        <v>2374</v>
      </c>
      <c r="B1416" s="2" t="s">
        <v>2375</v>
      </c>
      <c r="C1416" s="2" t="s">
        <v>24</v>
      </c>
      <c r="D1416" s="2" t="s">
        <v>2376</v>
      </c>
      <c r="E1416" s="2" t="s">
        <v>53</v>
      </c>
      <c r="F1416" s="11" t="s">
        <v>2387</v>
      </c>
      <c r="G1416" t="s">
        <v>39</v>
      </c>
      <c r="H1416" t="s">
        <v>2388</v>
      </c>
      <c r="I1416" t="s">
        <v>2386</v>
      </c>
      <c r="J1416" s="6" t="str">
        <f>HYPERLINK("https://www.biovista.com/db/link/%5B%5B%22Disease%7CMyotonic%20dystrophy%20type%201%22%5D,%20%5B%22Drug%7CPhenytoin%22%5D%5D?strength-weight-map=%257B%2522MEDLINE_STRENGTH_AB%2522:1.0,%2522HPO%2522:100.0%257D", "Show Evidence...")</f>
        <v>Show Evidence...</v>
      </c>
    </row>
    <row r="1417" spans="1:10" ht="12.75">
      <c r="A1417" s="2" t="s">
        <v>2374</v>
      </c>
      <c r="B1417" s="2" t="s">
        <v>2375</v>
      </c>
      <c r="C1417" s="2" t="s">
        <v>24</v>
      </c>
      <c r="D1417" s="2" t="s">
        <v>2376</v>
      </c>
      <c r="E1417" s="2" t="s">
        <v>53</v>
      </c>
      <c r="F1417" s="11" t="s">
        <v>2389</v>
      </c>
      <c r="G1417" t="s">
        <v>39</v>
      </c>
      <c r="H1417" t="s">
        <v>2390</v>
      </c>
      <c r="I1417" t="s">
        <v>2391</v>
      </c>
      <c r="J1417" s="6" t="str">
        <f>HYPERLINK("https://www.biovista.com/db/link/%5B%5B%22Disease%7CMyotonic%20dystrophy%20type%201%22%5D,%20%5B%22Drug%7CSuccinylcholine%22%5D%5D?strength-weight-map=%257B%2522MEDLINE_STRENGTH_AB%2522:1.0,%2522HPO%2522:100.0%257D", "Show Evidence...")</f>
        <v>Show Evidence...</v>
      </c>
    </row>
    <row r="1418" spans="1:10" ht="12.75">
      <c r="A1418" s="2" t="s">
        <v>2374</v>
      </c>
      <c r="B1418" s="2" t="s">
        <v>2375</v>
      </c>
      <c r="C1418" s="2" t="s">
        <v>24</v>
      </c>
      <c r="D1418" s="2" t="s">
        <v>2376</v>
      </c>
      <c r="E1418" s="2" t="s">
        <v>53</v>
      </c>
      <c r="F1418" s="11" t="s">
        <v>2392</v>
      </c>
      <c r="G1418" t="s">
        <v>39</v>
      </c>
      <c r="H1418" t="s">
        <v>2393</v>
      </c>
      <c r="I1418" t="s">
        <v>2394</v>
      </c>
      <c r="J1418" s="6" t="str">
        <f>HYPERLINK("https://www.biovista.com/db/link/%5B%5B%22Disease%7CMyotonic%20dystrophy%20type%201%22%5D,%20%5B%22Drug%7CProcainamide%22%5D%5D?strength-weight-map=%257B%2522MEDLINE_STRENGTH_AB%2522:1.0,%2522HPO%2522:100.0%257D", "Show Evidence...")</f>
        <v>Show Evidence...</v>
      </c>
    </row>
    <row r="1419" spans="1:10" ht="12.75">
      <c r="A1419" s="2" t="s">
        <v>2374</v>
      </c>
      <c r="B1419" s="2" t="s">
        <v>2375</v>
      </c>
      <c r="C1419" s="2" t="s">
        <v>24</v>
      </c>
      <c r="D1419" s="2" t="s">
        <v>2376</v>
      </c>
      <c r="E1419" s="2" t="s">
        <v>53</v>
      </c>
      <c r="F1419" s="11" t="s">
        <v>138</v>
      </c>
      <c r="G1419" t="s">
        <v>39</v>
      </c>
      <c r="H1419" t="s">
        <v>139</v>
      </c>
      <c r="I1419" t="s">
        <v>2395</v>
      </c>
      <c r="J1419" s="6" t="str">
        <f>HYPERLINK("https://www.biovista.com/db/link/%5B%5B%22Disease%7CMyotonic%20dystrophy%20type%201%22%5D,%20%5B%22Drug%7CLactic%20Acid%22%5D%5D?strength-weight-map=%257B%2522MEDLINE_STRENGTH_AB%2522:1.0,%2522HPO%2522:100.0%257D", "Show Evidence...")</f>
        <v>Show Evidence...</v>
      </c>
    </row>
    <row r="1420" spans="1:10" ht="12.75">
      <c r="A1420" s="2" t="s">
        <v>2374</v>
      </c>
      <c r="B1420" s="2" t="s">
        <v>2375</v>
      </c>
      <c r="C1420" s="2" t="s">
        <v>24</v>
      </c>
      <c r="D1420" s="2" t="s">
        <v>2376</v>
      </c>
      <c r="E1420" s="2" t="s">
        <v>53</v>
      </c>
      <c r="F1420" s="11" t="s">
        <v>140</v>
      </c>
      <c r="G1420" t="s">
        <v>39</v>
      </c>
      <c r="H1420" t="s">
        <v>141</v>
      </c>
      <c r="I1420" t="s">
        <v>2396</v>
      </c>
      <c r="J1420" s="6" t="str">
        <f>HYPERLINK("https://www.biovista.com/db/link/%5B%5B%22Disease%7CMyotonic%20dystrophy%20type%201%22%5D,%20%5B%22Drug%7CNeostigmine%22%5D%5D?strength-weight-map=%257B%2522MEDLINE_STRENGTH_AB%2522:1.0,%2522HPO%2522:100.0%257D", "Show Evidence...")</f>
        <v>Show Evidence...</v>
      </c>
    </row>
    <row r="1421" spans="1:10" ht="12.75">
      <c r="A1421" s="2" t="s">
        <v>2374</v>
      </c>
      <c r="B1421" s="2" t="s">
        <v>2375</v>
      </c>
      <c r="C1421" s="2" t="s">
        <v>24</v>
      </c>
      <c r="D1421" s="2" t="s">
        <v>2376</v>
      </c>
      <c r="E1421" s="2" t="s">
        <v>53</v>
      </c>
      <c r="F1421" s="11" t="s">
        <v>2397</v>
      </c>
      <c r="G1421" t="s">
        <v>39</v>
      </c>
      <c r="H1421" t="s">
        <v>2398</v>
      </c>
      <c r="I1421" t="s">
        <v>2399</v>
      </c>
      <c r="J1421" s="6" t="str">
        <f>HYPERLINK("https://www.biovista.com/db/link/%5B%5B%22Disease%7CMyotonic%20dystrophy%20type%201%22%5D,%20%5B%22Drug%7CNitrous%20Oxide%22%5D%5D?strength-weight-map=%257B%2522MEDLINE_STRENGTH_AB%2522:1.0,%2522HPO%2522:100.0%257D", "Show Evidence...")</f>
        <v>Show Evidence...</v>
      </c>
    </row>
    <row r="1422" spans="1:10" ht="12.75">
      <c r="A1422" s="2" t="s">
        <v>2374</v>
      </c>
      <c r="B1422" s="2" t="s">
        <v>2375</v>
      </c>
      <c r="C1422" s="2" t="s">
        <v>24</v>
      </c>
      <c r="D1422" s="2" t="s">
        <v>2376</v>
      </c>
      <c r="E1422" s="2" t="s">
        <v>53</v>
      </c>
      <c r="F1422" s="11" t="s">
        <v>2400</v>
      </c>
      <c r="G1422" t="s">
        <v>39</v>
      </c>
      <c r="H1422" t="s">
        <v>2401</v>
      </c>
      <c r="I1422" t="s">
        <v>2399</v>
      </c>
      <c r="J1422" s="6" t="str">
        <f>HYPERLINK("https://www.biovista.com/db/link/%5B%5B%22Disease%7CMyotonic%20dystrophy%20type%201%22%5D,%20%5B%22Drug%7CRocuronium%22%5D%5D?strength-weight-map=%257B%2522MEDLINE_STRENGTH_AB%2522:1.0,%2522HPO%2522:100.0%257D", "Show Evidence...")</f>
        <v>Show Evidence...</v>
      </c>
    </row>
    <row r="1423" spans="1:10" ht="12.75">
      <c r="A1423" s="2" t="s">
        <v>2374</v>
      </c>
      <c r="B1423" s="2" t="s">
        <v>2375</v>
      </c>
      <c r="C1423" s="2" t="s">
        <v>24</v>
      </c>
      <c r="D1423" s="2" t="s">
        <v>2376</v>
      </c>
      <c r="E1423" s="2" t="s">
        <v>53</v>
      </c>
      <c r="F1423" s="11" t="s">
        <v>2402</v>
      </c>
      <c r="G1423" t="s">
        <v>39</v>
      </c>
      <c r="H1423" t="s">
        <v>2403</v>
      </c>
      <c r="I1423" t="s">
        <v>2399</v>
      </c>
      <c r="J1423" s="6" t="str">
        <f>HYPERLINK("https://www.biovista.com/db/link/%5B%5B%22Disease%7CMyotonic%20dystrophy%20type%201%22%5D,%20%5B%22Drug%7CSugammadex%22%5D%5D?strength-weight-map=%257B%2522MEDLINE_STRENGTH_AB%2522:1.0,%2522HPO%2522:100.0%257D", "Show Evidence...")</f>
        <v>Show Evidence...</v>
      </c>
    </row>
    <row r="1424" spans="1:10" ht="12.75">
      <c r="A1424" s="2" t="s">
        <v>2374</v>
      </c>
      <c r="B1424" s="2" t="s">
        <v>2375</v>
      </c>
      <c r="C1424" s="2" t="s">
        <v>24</v>
      </c>
      <c r="D1424" s="2" t="s">
        <v>2376</v>
      </c>
      <c r="E1424" s="2" t="s">
        <v>53</v>
      </c>
      <c r="F1424" s="11" t="s">
        <v>1917</v>
      </c>
      <c r="G1424" t="s">
        <v>39</v>
      </c>
      <c r="H1424" t="s">
        <v>1918</v>
      </c>
      <c r="I1424" t="s">
        <v>2404</v>
      </c>
      <c r="J1424" s="6" t="str">
        <f>HYPERLINK("https://www.biovista.com/db/link/%5B%5B%22Disease%7CMyotonic%20dystrophy%20type%201%22%5D,%20%5B%22Drug%7CGlucagon%22%5D%5D?strength-weight-map=%257B%2522MEDLINE_STRENGTH_AB%2522:1.0,%2522HPO%2522:100.0%257D", "Show Evidence...")</f>
        <v>Show Evidence...</v>
      </c>
    </row>
    <row r="1425" spans="1:10" ht="12.75">
      <c r="A1425" s="2" t="s">
        <v>2374</v>
      </c>
      <c r="B1425" s="2" t="s">
        <v>2375</v>
      </c>
      <c r="C1425" s="2" t="s">
        <v>24</v>
      </c>
      <c r="D1425" s="2" t="s">
        <v>2376</v>
      </c>
      <c r="E1425" s="2" t="s">
        <v>53</v>
      </c>
      <c r="F1425" s="11" t="s">
        <v>2405</v>
      </c>
      <c r="G1425" t="s">
        <v>39</v>
      </c>
      <c r="H1425" t="s">
        <v>2406</v>
      </c>
      <c r="I1425" t="s">
        <v>2404</v>
      </c>
      <c r="J1425" s="6" t="str">
        <f>HYPERLINK("https://www.biovista.com/db/link/%5B%5B%22Disease%7CMyotonic%20dystrophy%20type%201%22%5D,%20%5B%22Drug%7CVecuronium%20Bromide%22%5D%5D?strength-weight-map=%257B%2522MEDLINE_STRENGTH_AB%2522:1.0,%2522HPO%2522:100.0%257D", "Show Evidence...")</f>
        <v>Show Evidence...</v>
      </c>
    </row>
    <row r="1426" spans="1:10" ht="12.75">
      <c r="A1426" s="2" t="s">
        <v>2374</v>
      </c>
      <c r="B1426" s="2" t="s">
        <v>2375</v>
      </c>
      <c r="C1426" s="2" t="s">
        <v>24</v>
      </c>
      <c r="D1426" s="2" t="s">
        <v>2376</v>
      </c>
      <c r="E1426" s="2" t="s">
        <v>53</v>
      </c>
      <c r="F1426" s="11" t="s">
        <v>2407</v>
      </c>
      <c r="G1426" t="s">
        <v>39</v>
      </c>
      <c r="H1426" t="s">
        <v>2408</v>
      </c>
      <c r="I1426" t="s">
        <v>2409</v>
      </c>
      <c r="J1426" s="6" t="str">
        <f>HYPERLINK("https://www.biovista.com/db/link/%5B%5B%22Disease%7CMyotonic%20dystrophy%20type%201%22%5D,%20%5B%22Drug%7CFentanyl%22%5D%5D?strength-weight-map=%257B%2522MEDLINE_STRENGTH_AB%2522:1.0,%2522HPO%2522:100.0%257D", "Show Evidence...")</f>
        <v>Show Evidence...</v>
      </c>
    </row>
    <row r="1427" spans="1:10" ht="12.75">
      <c r="A1427" s="2" t="s">
        <v>2374</v>
      </c>
      <c r="B1427" s="2" t="s">
        <v>2375</v>
      </c>
      <c r="C1427" s="2" t="s">
        <v>24</v>
      </c>
      <c r="D1427" s="2" t="s">
        <v>2376</v>
      </c>
      <c r="E1427" s="2" t="s">
        <v>53</v>
      </c>
      <c r="F1427" s="11" t="s">
        <v>2410</v>
      </c>
      <c r="G1427" t="s">
        <v>39</v>
      </c>
      <c r="H1427" t="s">
        <v>2411</v>
      </c>
      <c r="I1427" t="s">
        <v>2409</v>
      </c>
      <c r="J1427" s="6" t="str">
        <f>HYPERLINK("https://www.biovista.com/db/link/%5B%5B%22Disease%7CMyotonic%20dystrophy%20type%201%22%5D,%20%5B%22Drug%7CMetformin%22%5D%5D?strength-weight-map=%257B%2522MEDLINE_STRENGTH_AB%2522:1.0,%2522HPO%2522:100.0%257D", "Show Evidence...")</f>
        <v>Show Evidence...</v>
      </c>
    </row>
    <row r="1428" spans="1:10" ht="12.75">
      <c r="A1428" s="2" t="s">
        <v>2374</v>
      </c>
      <c r="B1428" s="2" t="s">
        <v>2375</v>
      </c>
      <c r="C1428" s="2" t="s">
        <v>24</v>
      </c>
      <c r="D1428" s="2" t="s">
        <v>2376</v>
      </c>
      <c r="E1428" s="2" t="s">
        <v>53</v>
      </c>
      <c r="F1428" s="11" t="s">
        <v>2412</v>
      </c>
      <c r="G1428" t="s">
        <v>39</v>
      </c>
      <c r="H1428" t="s">
        <v>2413</v>
      </c>
      <c r="I1428" t="s">
        <v>2409</v>
      </c>
      <c r="J1428" s="6" t="str">
        <f>HYPERLINK("https://www.biovista.com/db/link/%5B%5B%22Disease%7CMyotonic%20dystrophy%20type%201%22%5D,%20%5B%22Drug%7CModafinil%22%5D%5D?strength-weight-map=%257B%2522MEDLINE_STRENGTH_AB%2522:1.0,%2522HPO%2522:100.0%257D", "Show Evidence...")</f>
        <v>Show Evidence...</v>
      </c>
    </row>
    <row r="1429" spans="1:10" ht="12.75">
      <c r="A1429" s="2" t="s">
        <v>2374</v>
      </c>
      <c r="B1429" s="2" t="s">
        <v>2375</v>
      </c>
      <c r="C1429" s="2" t="s">
        <v>24</v>
      </c>
      <c r="D1429" s="2" t="s">
        <v>2376</v>
      </c>
      <c r="E1429" s="2" t="s">
        <v>53</v>
      </c>
      <c r="F1429" s="11" t="s">
        <v>2414</v>
      </c>
      <c r="G1429" t="s">
        <v>39</v>
      </c>
      <c r="H1429" t="s">
        <v>2415</v>
      </c>
      <c r="I1429" t="s">
        <v>2409</v>
      </c>
      <c r="J1429" s="6" t="str">
        <f>HYPERLINK("https://www.biovista.com/db/link/%5B%5B%22Disease%7CMyotonic%20dystrophy%20type%201%22%5D,%20%5B%22Drug%7CThiopental%22%5D%5D?strength-weight-map=%257B%2522MEDLINE_STRENGTH_AB%2522:1.0,%2522HPO%2522:100.0%257D", "Show Evidence...")</f>
        <v>Show Evidence...</v>
      </c>
    </row>
    <row r="1430" spans="1:10" ht="12.75">
      <c r="A1430" s="2" t="s">
        <v>2374</v>
      </c>
      <c r="B1430" s="2" t="s">
        <v>2375</v>
      </c>
      <c r="C1430" s="2" t="s">
        <v>24</v>
      </c>
      <c r="D1430" s="2" t="s">
        <v>2376</v>
      </c>
      <c r="E1430" s="2" t="s">
        <v>53</v>
      </c>
      <c r="F1430" s="11" t="s">
        <v>178</v>
      </c>
      <c r="G1430" t="s">
        <v>39</v>
      </c>
      <c r="H1430" t="s">
        <v>179</v>
      </c>
      <c r="I1430" t="s">
        <v>2416</v>
      </c>
      <c r="J1430" s="6" t="str">
        <f>HYPERLINK("https://www.biovista.com/db/link/%5B%5B%22Disease%7CMyotonic%20dystrophy%20type%201%22%5D,%20%5B%22Drug%7CEpinephrine%22%5D%5D?strength-weight-map=%257B%2522MEDLINE_STRENGTH_AB%2522:1.0,%2522HPO%2522:100.0%257D", "Show Evidence...")</f>
        <v>Show Evidence...</v>
      </c>
    </row>
    <row r="1431" spans="1:10" ht="12.75">
      <c r="A1431" s="2" t="s">
        <v>2374</v>
      </c>
      <c r="B1431" s="2" t="s">
        <v>2375</v>
      </c>
      <c r="C1431" s="2" t="s">
        <v>24</v>
      </c>
      <c r="D1431" s="2" t="s">
        <v>2376</v>
      </c>
      <c r="E1431" s="2" t="s">
        <v>53</v>
      </c>
      <c r="F1431" s="11" t="s">
        <v>2417</v>
      </c>
      <c r="G1431" t="s">
        <v>39</v>
      </c>
      <c r="H1431" t="s">
        <v>2418</v>
      </c>
      <c r="I1431" t="s">
        <v>2419</v>
      </c>
      <c r="J1431" s="6" t="str">
        <f>HYPERLINK("https://www.biovista.com/db/link/%5B%5B%22Disease%7CMyotonic%20dystrophy%20type%201%22%5D,%20%5B%22Drug%7CPentamidine%22%5D%5D?strength-weight-map=%257B%2522MEDLINE_STRENGTH_AB%2522:1.0,%2522HPO%2522:100.0%257D", "Show Evidence...")</f>
        <v>Show Evidence...</v>
      </c>
    </row>
    <row r="1432" spans="1:10" ht="12.75">
      <c r="A1432" s="2" t="s">
        <v>2374</v>
      </c>
      <c r="B1432" s="2" t="s">
        <v>2375</v>
      </c>
      <c r="C1432" s="2" t="s">
        <v>24</v>
      </c>
      <c r="D1432" s="2" t="s">
        <v>2376</v>
      </c>
      <c r="E1432" s="2" t="s">
        <v>53</v>
      </c>
      <c r="F1432" s="11" t="s">
        <v>278</v>
      </c>
      <c r="G1432" t="s">
        <v>39</v>
      </c>
      <c r="H1432" t="s">
        <v>279</v>
      </c>
      <c r="I1432" t="s">
        <v>2420</v>
      </c>
      <c r="J1432" s="6" t="str">
        <f>HYPERLINK("https://www.biovista.com/db/link/%5B%5B%22Disease%7CMyotonic%20dystrophy%20type%201%22%5D,%20%5B%22Drug%7CThyroxine%22%5D%5D?strength-weight-map=%257B%2522MEDLINE_STRENGTH_AB%2522:1.0,%2522HPO%2522:100.0%257D", "Show Evidence...")</f>
        <v>Show Evidence...</v>
      </c>
    </row>
    <row r="1433" spans="1:10" ht="12.75">
      <c r="A1433" s="2" t="s">
        <v>2374</v>
      </c>
      <c r="B1433" s="2" t="s">
        <v>2375</v>
      </c>
      <c r="C1433" s="2" t="s">
        <v>24</v>
      </c>
      <c r="D1433" s="2" t="s">
        <v>2376</v>
      </c>
      <c r="E1433" s="2" t="s">
        <v>53</v>
      </c>
      <c r="F1433" s="11" t="s">
        <v>60</v>
      </c>
      <c r="G1433" t="s">
        <v>39</v>
      </c>
      <c r="H1433" t="s">
        <v>61</v>
      </c>
      <c r="I1433" t="s">
        <v>2421</v>
      </c>
      <c r="J1433" s="6" t="str">
        <f>HYPERLINK("https://www.biovista.com/db/link/%5B%5B%22Disease%7CMyotonic%20dystrophy%20type%201%22%5D,%20%5B%22Drug%7CAcetylcholine%22%5D%5D?strength-weight-map=%257B%2522MEDLINE_STRENGTH_AB%2522:1.0,%2522HPO%2522:100.0%257D", "Show Evidence...")</f>
        <v>Show Evidence...</v>
      </c>
    </row>
    <row r="1434" spans="1:10" ht="12.75">
      <c r="A1434" s="2" t="s">
        <v>2374</v>
      </c>
      <c r="B1434" s="2" t="s">
        <v>2375</v>
      </c>
      <c r="C1434" s="2" t="s">
        <v>24</v>
      </c>
      <c r="D1434" s="2" t="s">
        <v>2376</v>
      </c>
      <c r="E1434" s="2" t="s">
        <v>53</v>
      </c>
      <c r="F1434" s="11" t="s">
        <v>128</v>
      </c>
      <c r="G1434" t="s">
        <v>39</v>
      </c>
      <c r="H1434" t="s">
        <v>129</v>
      </c>
      <c r="I1434" t="s">
        <v>2421</v>
      </c>
      <c r="J1434" s="6" t="str">
        <f>HYPERLINK("https://www.biovista.com/db/link/%5B%5B%22Disease%7CMyotonic%20dystrophy%20type%201%22%5D,%20%5B%22Drug%7CDexamethasone%22%5D%5D?strength-weight-map=%257B%2522MEDLINE_STRENGTH_AB%2522:1.0,%2522HPO%2522:100.0%257D", "Show Evidence...")</f>
        <v>Show Evidence...</v>
      </c>
    </row>
    <row r="1435" spans="1:10" ht="12.75">
      <c r="A1435" s="2" t="s">
        <v>2374</v>
      </c>
      <c r="B1435" s="2" t="s">
        <v>2375</v>
      </c>
      <c r="C1435" s="2" t="s">
        <v>24</v>
      </c>
      <c r="D1435" s="2" t="s">
        <v>2376</v>
      </c>
      <c r="E1435" s="2" t="s">
        <v>53</v>
      </c>
      <c r="F1435" s="11" t="s">
        <v>2422</v>
      </c>
      <c r="G1435" t="s">
        <v>39</v>
      </c>
      <c r="H1435" t="s">
        <v>2423</v>
      </c>
      <c r="I1435" t="s">
        <v>2421</v>
      </c>
      <c r="J1435" s="6" t="str">
        <f>HYPERLINK("https://www.biovista.com/db/link/%5B%5B%22Disease%7CMyotonic%20dystrophy%20type%201%22%5D,%20%5B%22Drug%7CGonadotropin-Releasing%20Hormone%22%5D%5D?strength-weight-map=%257B%2522MEDLINE_STRENGTH_AB%2522:1.0,%2522HPO%2522:100.0%257D", "Show Evidence...")</f>
        <v>Show Evidence...</v>
      </c>
    </row>
    <row r="1436" spans="1:10" ht="12.75">
      <c r="A1436" s="2" t="s">
        <v>2374</v>
      </c>
      <c r="B1436" s="2" t="s">
        <v>2375</v>
      </c>
      <c r="C1436" s="2" t="s">
        <v>24</v>
      </c>
      <c r="D1436" s="2" t="s">
        <v>2376</v>
      </c>
      <c r="E1436" s="2" t="s">
        <v>53</v>
      </c>
      <c r="F1436" s="11" t="s">
        <v>2424</v>
      </c>
      <c r="G1436" t="s">
        <v>39</v>
      </c>
      <c r="H1436" t="s">
        <v>2425</v>
      </c>
      <c r="I1436" t="s">
        <v>2421</v>
      </c>
      <c r="J1436" s="6" t="str">
        <f>HYPERLINK("https://www.biovista.com/db/link/%5B%5B%22Disease%7CMyotonic%20dystrophy%20type%201%22%5D,%20%5B%22Drug%7CParathyroid%20Hormone%22%5D%5D?strength-weight-map=%257B%2522MEDLINE_STRENGTH_AB%2522:1.0,%2522HPO%2522:100.0%257D", "Show Evidence...")</f>
        <v>Show Evidence...</v>
      </c>
    </row>
    <row r="1437" spans="1:10" ht="12.75">
      <c r="A1437" s="2" t="s">
        <v>2374</v>
      </c>
      <c r="B1437" s="2" t="s">
        <v>2375</v>
      </c>
      <c r="C1437" s="2" t="s">
        <v>24</v>
      </c>
      <c r="D1437" s="2" t="s">
        <v>2376</v>
      </c>
      <c r="E1437" s="2" t="s">
        <v>53</v>
      </c>
      <c r="F1437" s="11" t="s">
        <v>2426</v>
      </c>
      <c r="G1437" t="s">
        <v>39</v>
      </c>
      <c r="H1437" t="s">
        <v>2427</v>
      </c>
      <c r="I1437" t="s">
        <v>2421</v>
      </c>
      <c r="J1437" s="6" t="str">
        <f>HYPERLINK("https://www.biovista.com/db/link/%5B%5B%22Disease%7CMyotonic%20dystrophy%20type%201%22%5D,%20%5B%22Drug%7CQuinine%22%5D%5D?strength-weight-map=%257B%2522MEDLINE_STRENGTH_AB%2522:1.0,%2522HPO%2522:100.0%257D", "Show Evidence...")</f>
        <v>Show Evidence...</v>
      </c>
    </row>
    <row r="1438" spans="1:10" ht="12.75">
      <c r="A1438" s="2" t="s">
        <v>2374</v>
      </c>
      <c r="B1438" s="2" t="s">
        <v>2375</v>
      </c>
      <c r="C1438" s="2" t="s">
        <v>24</v>
      </c>
      <c r="D1438" s="2" t="s">
        <v>2376</v>
      </c>
      <c r="E1438" s="2" t="s">
        <v>53</v>
      </c>
      <c r="F1438" s="11" t="s">
        <v>2428</v>
      </c>
      <c r="G1438" t="s">
        <v>39</v>
      </c>
      <c r="H1438" t="s">
        <v>2429</v>
      </c>
      <c r="I1438" t="s">
        <v>2430</v>
      </c>
      <c r="J1438" s="6" t="str">
        <f>HYPERLINK("https://www.biovista.com/db/link/%5B%5B%22Disease%7CMyotonic%20dystrophy%20type%201%22%5D,%20%5B%22Drug%7CDantrolene%22%5D%5D?strength-weight-map=%257B%2522MEDLINE_STRENGTH_AB%2522:1.0,%2522HPO%2522:100.0%257D", "Show Evidence...")</f>
        <v>Show Evidence...</v>
      </c>
    </row>
    <row r="1439" spans="1:10" ht="12.75">
      <c r="A1439" s="2" t="s">
        <v>2374</v>
      </c>
      <c r="B1439" s="2" t="s">
        <v>2375</v>
      </c>
      <c r="C1439" s="2" t="s">
        <v>24</v>
      </c>
      <c r="D1439" s="2" t="s">
        <v>2376</v>
      </c>
      <c r="E1439" s="2" t="s">
        <v>53</v>
      </c>
      <c r="F1439" s="11" t="s">
        <v>2431</v>
      </c>
      <c r="G1439" t="s">
        <v>39</v>
      </c>
      <c r="H1439" t="s">
        <v>2432</v>
      </c>
      <c r="I1439" t="s">
        <v>2430</v>
      </c>
      <c r="J1439" s="6" t="str">
        <f>HYPERLINK("https://www.biovista.com/db/link/%5B%5B%22Disease%7CMyotonic%20dystrophy%20type%201%22%5D,%20%5B%22Drug%7CDehydroepiandrosterone%22%5D%5D?strength-weight-map=%257B%2522MEDLINE_STRENGTH_AB%2522:1.0,%2522HPO%2522:100.0%257D", "Show Evidence...")</f>
        <v>Show Evidence...</v>
      </c>
    </row>
    <row r="1440" spans="1:10" ht="12.75">
      <c r="A1440" s="2" t="s">
        <v>2374</v>
      </c>
      <c r="B1440" s="2" t="s">
        <v>2375</v>
      </c>
      <c r="C1440" s="2" t="s">
        <v>24</v>
      </c>
      <c r="D1440" s="2" t="s">
        <v>2376</v>
      </c>
      <c r="E1440" s="2" t="s">
        <v>53</v>
      </c>
      <c r="F1440" s="11" t="s">
        <v>1095</v>
      </c>
      <c r="G1440" t="s">
        <v>39</v>
      </c>
      <c r="H1440" t="s">
        <v>1096</v>
      </c>
      <c r="I1440" t="s">
        <v>2430</v>
      </c>
      <c r="J1440" s="6" t="str">
        <f>HYPERLINK("https://www.biovista.com/db/link/%5B%5B%22Disease%7CMyotonic%20dystrophy%20type%201%22%5D,%20%5B%22Drug%7CLevodopa%22%5D%5D?strength-weight-map=%257B%2522MEDLINE_STRENGTH_AB%2522:1.0,%2522HPO%2522:100.0%257D", "Show Evidence...")</f>
        <v>Show Evidence...</v>
      </c>
    </row>
    <row r="1441" spans="1:10" ht="12.75">
      <c r="A1441" s="2" t="s">
        <v>2374</v>
      </c>
      <c r="B1441" s="2" t="s">
        <v>2375</v>
      </c>
      <c r="C1441" s="2" t="s">
        <v>24</v>
      </c>
      <c r="D1441" s="2" t="s">
        <v>2376</v>
      </c>
      <c r="E1441" s="2" t="s">
        <v>53</v>
      </c>
      <c r="F1441" s="11" t="s">
        <v>1921</v>
      </c>
      <c r="G1441" t="s">
        <v>39</v>
      </c>
      <c r="H1441" t="s">
        <v>1922</v>
      </c>
      <c r="I1441" t="s">
        <v>2430</v>
      </c>
      <c r="J1441" s="6" t="str">
        <f>HYPERLINK("https://www.biovista.com/db/link/%5B%5B%22Disease%7CMyotonic%20dystrophy%20type%201%22%5D,%20%5B%22Drug%7CLidocaine%22%5D%5D?strength-weight-map=%257B%2522MEDLINE_STRENGTH_AB%2522:1.0,%2522HPO%2522:100.0%257D", "Show Evidence...")</f>
        <v>Show Evidence...</v>
      </c>
    </row>
    <row r="1442" spans="1:10" ht="12.75">
      <c r="A1442" s="2" t="s">
        <v>2374</v>
      </c>
      <c r="B1442" s="2" t="s">
        <v>2375</v>
      </c>
      <c r="C1442" s="2" t="s">
        <v>24</v>
      </c>
      <c r="D1442" s="2" t="s">
        <v>2376</v>
      </c>
      <c r="E1442" s="2" t="s">
        <v>53</v>
      </c>
      <c r="F1442" s="11" t="s">
        <v>2433</v>
      </c>
      <c r="G1442" t="s">
        <v>39</v>
      </c>
      <c r="H1442" t="s">
        <v>2434</v>
      </c>
      <c r="I1442" t="s">
        <v>2430</v>
      </c>
      <c r="J1442" s="6" t="str">
        <f>HYPERLINK("https://www.biovista.com/db/link/%5B%5B%22Disease%7CMyotonic%20dystrophy%20type%201%22%5D,%20%5B%22Drug%7CMethylphenidate%22%5D%5D?strength-weight-map=%257B%2522MEDLINE_STRENGTH_AB%2522:1.0,%2522HPO%2522:100.0%257D", "Show Evidence...")</f>
        <v>Show Evidence...</v>
      </c>
    </row>
    <row r="1443" spans="1:10" ht="12.75">
      <c r="A1443" s="2" t="s">
        <v>2374</v>
      </c>
      <c r="B1443" s="2" t="s">
        <v>2375</v>
      </c>
      <c r="C1443" s="2" t="s">
        <v>24</v>
      </c>
      <c r="D1443" s="2" t="s">
        <v>2376</v>
      </c>
      <c r="E1443" s="2" t="s">
        <v>53</v>
      </c>
      <c r="F1443" s="11" t="s">
        <v>2435</v>
      </c>
      <c r="G1443" t="s">
        <v>39</v>
      </c>
      <c r="H1443" t="s">
        <v>2436</v>
      </c>
      <c r="I1443" t="s">
        <v>2430</v>
      </c>
      <c r="J1443" s="6" t="str">
        <f>HYPERLINK("https://www.biovista.com/db/link/%5B%5B%22Disease%7CMyotonic%20dystrophy%20type%201%22%5D,%20%5B%22Drug%7COuabain%22%5D%5D?strength-weight-map=%257B%2522MEDLINE_STRENGTH_AB%2522:1.0,%2522HPO%2522:100.0%257D", "Show Evidence...")</f>
        <v>Show Evidence...</v>
      </c>
    </row>
    <row r="1444" spans="1:10" ht="12.75">
      <c r="A1444" s="2" t="s">
        <v>2374</v>
      </c>
      <c r="B1444" s="2" t="s">
        <v>2375</v>
      </c>
      <c r="C1444" s="2" t="s">
        <v>24</v>
      </c>
      <c r="D1444" s="2" t="s">
        <v>2376</v>
      </c>
      <c r="E1444" s="2" t="s">
        <v>53</v>
      </c>
      <c r="F1444" s="11" t="s">
        <v>947</v>
      </c>
      <c r="G1444" t="s">
        <v>39</v>
      </c>
      <c r="H1444" t="s">
        <v>948</v>
      </c>
      <c r="I1444" t="s">
        <v>2430</v>
      </c>
      <c r="J1444" s="6" t="str">
        <f>HYPERLINK("https://www.biovista.com/db/link/%5B%5B%22Disease%7CMyotonic%20dystrophy%20type%201%22%5D,%20%5B%22Drug%7CPhosphocreatine%22%5D%5D?strength-weight-map=%257B%2522MEDLINE_STRENGTH_AB%2522:1.0,%2522HPO%2522:100.0%257D", "Show Evidence...")</f>
        <v>Show Evidence...</v>
      </c>
    </row>
    <row r="1445" spans="1:10" ht="12.75">
      <c r="A1445" s="2" t="s">
        <v>2374</v>
      </c>
      <c r="B1445" s="2" t="s">
        <v>2375</v>
      </c>
      <c r="C1445" s="2" t="s">
        <v>24</v>
      </c>
      <c r="D1445" s="2" t="s">
        <v>2376</v>
      </c>
      <c r="E1445" s="2" t="s">
        <v>53</v>
      </c>
      <c r="F1445" s="11" t="s">
        <v>2437</v>
      </c>
      <c r="G1445" t="s">
        <v>39</v>
      </c>
      <c r="H1445" t="s">
        <v>2438</v>
      </c>
      <c r="I1445" t="s">
        <v>2439</v>
      </c>
      <c r="J1445" s="6" t="str">
        <f>HYPERLINK("https://www.biovista.com/db/link/%5B%5B%22Disease%7CMyotonic%20dystrophy%20type%201%22%5D,%20%5B%22Drug%7CBupivacaine%22%5D%5D?strength-weight-map=%257B%2522MEDLINE_STRENGTH_AB%2522:1.0,%2522HPO%2522:100.0%257D", "Show Evidence...")</f>
        <v>Show Evidence...</v>
      </c>
    </row>
    <row r="1446" spans="1:10" ht="12.75">
      <c r="A1446" s="2" t="s">
        <v>2374</v>
      </c>
      <c r="B1446" s="2" t="s">
        <v>2375</v>
      </c>
      <c r="C1446" s="2" t="s">
        <v>24</v>
      </c>
      <c r="D1446" s="2" t="s">
        <v>2376</v>
      </c>
      <c r="E1446" s="2" t="s">
        <v>53</v>
      </c>
      <c r="F1446" s="11" t="s">
        <v>287</v>
      </c>
      <c r="G1446" t="s">
        <v>39</v>
      </c>
      <c r="H1446" t="s">
        <v>288</v>
      </c>
      <c r="I1446" t="s">
        <v>2439</v>
      </c>
      <c r="J1446" s="6" t="str">
        <f>HYPERLINK("https://www.biovista.com/db/link/%5B%5B%22Disease%7CMyotonic%20dystrophy%20type%201%22%5D,%20%5B%22Drug%7CComplement%20C3%22%5D%5D?strength-weight-map=%257B%2522MEDLINE_STRENGTH_AB%2522:1.0,%2522HPO%2522:100.0%257D", "Show Evidence...")</f>
        <v>Show Evidence...</v>
      </c>
    </row>
    <row r="1447" spans="1:10" ht="12.75">
      <c r="A1447" s="2" t="s">
        <v>2374</v>
      </c>
      <c r="B1447" s="2" t="s">
        <v>2375</v>
      </c>
      <c r="C1447" s="2" t="s">
        <v>24</v>
      </c>
      <c r="D1447" s="2" t="s">
        <v>2376</v>
      </c>
      <c r="E1447" s="2" t="s">
        <v>53</v>
      </c>
      <c r="F1447" s="11" t="s">
        <v>2440</v>
      </c>
      <c r="G1447" t="s">
        <v>39</v>
      </c>
      <c r="H1447" t="s">
        <v>2441</v>
      </c>
      <c r="I1447" t="s">
        <v>2439</v>
      </c>
      <c r="J1447" s="6" t="str">
        <f>HYPERLINK("https://www.biovista.com/db/link/%5B%5B%22Disease%7CMyotonic%20dystrophy%20type%201%22%5D,%20%5B%22Drug%7CHalothane%22%5D%5D?strength-weight-map=%257B%2522MEDLINE_STRENGTH_AB%2522:1.0,%2522HPO%2522:100.0%257D", "Show Evidence...")</f>
        <v>Show Evidence...</v>
      </c>
    </row>
    <row r="1448" spans="1:10" ht="12.75">
      <c r="A1448" s="2" t="s">
        <v>2374</v>
      </c>
      <c r="B1448" s="2" t="s">
        <v>2375</v>
      </c>
      <c r="C1448" s="2" t="s">
        <v>24</v>
      </c>
      <c r="D1448" s="2" t="s">
        <v>2376</v>
      </c>
      <c r="E1448" s="2" t="s">
        <v>53</v>
      </c>
      <c r="F1448" s="11" t="s">
        <v>2442</v>
      </c>
      <c r="G1448" t="s">
        <v>39</v>
      </c>
      <c r="H1448" t="s">
        <v>2443</v>
      </c>
      <c r="I1448" t="s">
        <v>2439</v>
      </c>
      <c r="J1448" s="6" t="str">
        <f>HYPERLINK("https://www.biovista.com/db/link/%5B%5B%22Disease%7CMyotonic%20dystrophy%20type%201%22%5D,%20%5B%22Drug%7CIsoproterenol%22%5D%5D?strength-weight-map=%257B%2522MEDLINE_STRENGTH_AB%2522:1.0,%2522HPO%2522:100.0%257D", "Show Evidence...")</f>
        <v>Show Evidence...</v>
      </c>
    </row>
    <row r="1449" spans="1:10" ht="12.75">
      <c r="A1449" s="2" t="s">
        <v>2374</v>
      </c>
      <c r="B1449" s="2" t="s">
        <v>2375</v>
      </c>
      <c r="C1449" s="2" t="s">
        <v>24</v>
      </c>
      <c r="D1449" s="2" t="s">
        <v>2376</v>
      </c>
      <c r="E1449" s="2" t="s">
        <v>53</v>
      </c>
      <c r="F1449" s="11" t="s">
        <v>1877</v>
      </c>
      <c r="G1449" t="s">
        <v>39</v>
      </c>
      <c r="H1449" t="s">
        <v>1878</v>
      </c>
      <c r="I1449" t="s">
        <v>2439</v>
      </c>
      <c r="J1449" s="6" t="str">
        <f>HYPERLINK("https://www.biovista.com/db/link/%5B%5B%22Disease%7CMyotonic%20dystrophy%20type%201%22%5D,%20%5B%22Drug%7CVitamin%20E%22%5D%5D?strength-weight-map=%257B%2522MEDLINE_STRENGTH_AB%2522:1.0,%2522HPO%2522:100.0%257D", "Show Evidence...")</f>
        <v>Show Evidence...</v>
      </c>
    </row>
    <row r="1450" spans="1:10" ht="12.75">
      <c r="A1450" s="2" t="s">
        <v>2374</v>
      </c>
      <c r="B1450" s="2" t="s">
        <v>2375</v>
      </c>
      <c r="C1450" s="2" t="s">
        <v>24</v>
      </c>
      <c r="D1450" s="2" t="s">
        <v>2376</v>
      </c>
      <c r="E1450" s="2" t="s">
        <v>53</v>
      </c>
      <c r="F1450" s="11" t="s">
        <v>2444</v>
      </c>
      <c r="G1450" t="s">
        <v>39</v>
      </c>
      <c r="H1450" t="s">
        <v>2445</v>
      </c>
      <c r="I1450" t="s">
        <v>2446</v>
      </c>
      <c r="J1450" s="6" t="str">
        <f>HYPERLINK("https://www.biovista.com/db/link/%5B%5B%22Disease%7CMyotonic%20dystrophy%20type%201%22%5D,%20%5B%22Drug%7CAtropine%22%5D%5D?strength-weight-map=%257B%2522MEDLINE_STRENGTH_AB%2522:1.0,%2522HPO%2522:100.0%257D", "Show Evidence...")</f>
        <v>Show Evidence...</v>
      </c>
    </row>
    <row r="1451" spans="1:10" ht="12.75">
      <c r="A1451" s="2" t="s">
        <v>2374</v>
      </c>
      <c r="B1451" s="2" t="s">
        <v>2375</v>
      </c>
      <c r="C1451" s="2" t="s">
        <v>24</v>
      </c>
      <c r="D1451" s="2" t="s">
        <v>2376</v>
      </c>
      <c r="E1451" s="2" t="s">
        <v>53</v>
      </c>
      <c r="F1451" s="11" t="s">
        <v>1005</v>
      </c>
      <c r="G1451" t="s">
        <v>39</v>
      </c>
      <c r="H1451" t="s">
        <v>1006</v>
      </c>
      <c r="I1451" t="s">
        <v>2446</v>
      </c>
      <c r="J1451" s="6" t="str">
        <f>HYPERLINK("https://www.biovista.com/db/link/%5B%5B%22Disease%7CMyotonic%20dystrophy%20type%201%22%5D,%20%5B%22Drug%7CRemifentanil%22%5D%5D?strength-weight-map=%257B%2522MEDLINE_STRENGTH_AB%2522:1.0,%2522HPO%2522:100.0%257D", "Show Evidence...")</f>
        <v>Show Evidence...</v>
      </c>
    </row>
    <row r="1452" spans="1:10" ht="12.75">
      <c r="A1452" s="2" t="s">
        <v>2374</v>
      </c>
      <c r="B1452" s="2" t="s">
        <v>2375</v>
      </c>
      <c r="C1452" s="2" t="s">
        <v>24</v>
      </c>
      <c r="D1452" s="2" t="s">
        <v>2376</v>
      </c>
      <c r="E1452" s="2" t="s">
        <v>53</v>
      </c>
      <c r="F1452" s="11" t="s">
        <v>72</v>
      </c>
      <c r="G1452" t="s">
        <v>39</v>
      </c>
      <c r="H1452" t="s">
        <v>73</v>
      </c>
      <c r="I1452" t="s">
        <v>2446</v>
      </c>
      <c r="J1452" s="6" t="str">
        <f>HYPERLINK("https://www.biovista.com/db/link/%5B%5B%22Disease%7CMyotonic%20dystrophy%20type%201%22%5D,%20%5B%22Drug%7CSerotonin%22%5D%5D?strength-weight-map=%257B%2522MEDLINE_STRENGTH_AB%2522:1.0,%2522HPO%2522:100.0%257D", "Show Evidence...")</f>
        <v>Show Evidence...</v>
      </c>
    </row>
    <row r="1453" spans="1:10" ht="12.75">
      <c r="A1453" s="2" t="s">
        <v>2374</v>
      </c>
      <c r="B1453" s="2" t="s">
        <v>2375</v>
      </c>
      <c r="C1453" s="2" t="s">
        <v>24</v>
      </c>
      <c r="D1453" s="2" t="s">
        <v>2376</v>
      </c>
      <c r="E1453" s="2" t="s">
        <v>53</v>
      </c>
      <c r="F1453" s="11" t="s">
        <v>1873</v>
      </c>
      <c r="G1453" t="s">
        <v>39</v>
      </c>
      <c r="H1453" t="s">
        <v>1874</v>
      </c>
      <c r="I1453" t="s">
        <v>2446</v>
      </c>
      <c r="J1453" s="6" t="str">
        <f>HYPERLINK("https://www.biovista.com/db/link/%5B%5B%22Disease%7CMyotonic%20dystrophy%20type%201%22%5D,%20%5B%22Drug%7CSevoflurane%22%5D%5D?strength-weight-map=%257B%2522MEDLINE_STRENGTH_AB%2522:1.0,%2522HPO%2522:100.0%257D", "Show Evidence...")</f>
        <v>Show Evidence...</v>
      </c>
    </row>
    <row r="1454" spans="1:10" ht="12.75">
      <c r="A1454" s="2" t="s">
        <v>2374</v>
      </c>
      <c r="B1454" s="2" t="s">
        <v>2375</v>
      </c>
      <c r="C1454" s="2" t="s">
        <v>24</v>
      </c>
      <c r="D1454" s="2" t="s">
        <v>2376</v>
      </c>
      <c r="E1454" s="2" t="s">
        <v>53</v>
      </c>
      <c r="F1454" s="11" t="s">
        <v>2447</v>
      </c>
      <c r="G1454" t="s">
        <v>39</v>
      </c>
      <c r="H1454" t="s">
        <v>2448</v>
      </c>
      <c r="I1454" t="s">
        <v>2446</v>
      </c>
      <c r="J1454" s="6" t="str">
        <f>HYPERLINK("https://www.biovista.com/db/link/%5B%5B%22Disease%7CMyotonic%20dystrophy%20type%201%22%5D,%20%5B%22Drug%7CThyrotropin-Releasing%20Hormone%22%5D%5D?strength-weight-map=%257B%2522MEDLINE_STRENGTH_AB%2522:1.0,%2522HPO%2522:100.0%257D", "Show Evidence...")</f>
        <v>Show Evidence...</v>
      </c>
    </row>
    <row r="1455" spans="1:10" ht="12.75">
      <c r="A1455" s="2" t="s">
        <v>2374</v>
      </c>
      <c r="B1455" s="2" t="s">
        <v>2375</v>
      </c>
      <c r="C1455" s="2" t="s">
        <v>24</v>
      </c>
      <c r="D1455" s="2" t="s">
        <v>2376</v>
      </c>
      <c r="E1455" s="2" t="s">
        <v>53</v>
      </c>
      <c r="F1455" s="11" t="s">
        <v>1907</v>
      </c>
      <c r="G1455" t="s">
        <v>39</v>
      </c>
      <c r="H1455" t="s">
        <v>1908</v>
      </c>
      <c r="I1455" t="s">
        <v>2449</v>
      </c>
      <c r="J1455" s="6" t="str">
        <f>HYPERLINK("https://www.biovista.com/db/link/%5B%5B%22Disease%7CMyotonic%20dystrophy%20type%201%22%5D,%20%5B%22Drug%7CCarbamazepine%22%5D%5D?strength-weight-map=%257B%2522MEDLINE_STRENGTH_AB%2522:1.0,%2522HPO%2522:100.0%257D", "Show Evidence...")</f>
        <v>Show Evidence...</v>
      </c>
    </row>
    <row r="1456" spans="1:10" ht="12.75">
      <c r="A1456" s="2" t="s">
        <v>2374</v>
      </c>
      <c r="B1456" s="2" t="s">
        <v>2375</v>
      </c>
      <c r="C1456" s="2" t="s">
        <v>24</v>
      </c>
      <c r="D1456" s="2" t="s">
        <v>2376</v>
      </c>
      <c r="E1456" s="2" t="s">
        <v>53</v>
      </c>
      <c r="F1456" s="11" t="s">
        <v>2450</v>
      </c>
      <c r="G1456" t="s">
        <v>39</v>
      </c>
      <c r="H1456" t="s">
        <v>2451</v>
      </c>
      <c r="I1456" t="s">
        <v>2449</v>
      </c>
      <c r="J1456" s="6" t="str">
        <f>HYPERLINK("https://www.biovista.com/db/link/%5B%5B%22Disease%7CMyotonic%20dystrophy%20type%201%22%5D,%20%5B%22Drug%7CChorionic%20Gonadotropin%22%5D%5D?strength-weight-map=%257B%2522MEDLINE_STRENGTH_AB%2522:1.0,%2522HPO%2522:100.0%257D", "Show Evidence...")</f>
        <v>Show Evidence...</v>
      </c>
    </row>
    <row r="1457" spans="1:10" ht="12.75">
      <c r="A1457" s="2" t="s">
        <v>2374</v>
      </c>
      <c r="B1457" s="2" t="s">
        <v>2375</v>
      </c>
      <c r="C1457" s="2" t="s">
        <v>24</v>
      </c>
      <c r="D1457" s="2" t="s">
        <v>2376</v>
      </c>
      <c r="E1457" s="2" t="s">
        <v>53</v>
      </c>
      <c r="F1457" s="11" t="s">
        <v>123</v>
      </c>
      <c r="G1457" t="s">
        <v>39</v>
      </c>
      <c r="H1457" t="s">
        <v>124</v>
      </c>
      <c r="I1457" t="s">
        <v>2449</v>
      </c>
      <c r="J1457" s="6" t="str">
        <f>HYPERLINK("https://www.biovista.com/db/link/%5B%5B%22Disease%7CMyotonic%20dystrophy%20type%201%22%5D,%20%5B%22Drug%7CKetamine%22%5D%5D?strength-weight-map=%257B%2522MEDLINE_STRENGTH_AB%2522:1.0,%2522HPO%2522:100.0%257D", "Show Evidence...")</f>
        <v>Show Evidence...</v>
      </c>
    </row>
    <row r="1458" spans="1:10" ht="12.75">
      <c r="A1458" s="2" t="s">
        <v>2374</v>
      </c>
      <c r="B1458" s="2" t="s">
        <v>2375</v>
      </c>
      <c r="C1458" s="2" t="s">
        <v>24</v>
      </c>
      <c r="D1458" s="2" t="s">
        <v>2376</v>
      </c>
      <c r="E1458" s="2" t="s">
        <v>53</v>
      </c>
      <c r="F1458" s="11" t="s">
        <v>2452</v>
      </c>
      <c r="G1458" t="s">
        <v>39</v>
      </c>
      <c r="H1458" t="s">
        <v>2453</v>
      </c>
      <c r="I1458" t="s">
        <v>2449</v>
      </c>
      <c r="J1458" s="6" t="str">
        <f>HYPERLINK("https://www.biovista.com/db/link/%5B%5B%22Disease%7CMyotonic%20dystrophy%20type%201%22%5D,%20%5B%22Drug%7CPotassium%20Chloride%22%5D%5D?strength-weight-map=%257B%2522MEDLINE_STRENGTH_AB%2522:1.0,%2522HPO%2522:100.0%257D", "Show Evidence...")</f>
        <v>Show Evidence...</v>
      </c>
    </row>
    <row r="1459" spans="1:10" ht="12.75">
      <c r="A1459" s="2" t="s">
        <v>2374</v>
      </c>
      <c r="B1459" s="2" t="s">
        <v>2375</v>
      </c>
      <c r="C1459" s="2" t="s">
        <v>24</v>
      </c>
      <c r="D1459" s="2" t="s">
        <v>2376</v>
      </c>
      <c r="E1459" s="2" t="s">
        <v>53</v>
      </c>
      <c r="F1459" s="11" t="s">
        <v>2454</v>
      </c>
      <c r="G1459" t="s">
        <v>39</v>
      </c>
      <c r="H1459" t="s">
        <v>2455</v>
      </c>
      <c r="I1459" t="s">
        <v>2449</v>
      </c>
      <c r="J1459" s="6" t="str">
        <f>HYPERLINK("https://www.biovista.com/db/link/%5B%5B%22Disease%7CMyotonic%20dystrophy%20type%201%22%5D,%20%5B%22Drug%7CTolbutamide%22%5D%5D?strength-weight-map=%257B%2522MEDLINE_STRENGTH_AB%2522:1.0,%2522HPO%2522:100.0%257D", "Show Evidence...")</f>
        <v>Show Evidence...</v>
      </c>
    </row>
    <row r="1460" spans="1:10" ht="12.75">
      <c r="A1460" s="2" t="s">
        <v>2374</v>
      </c>
      <c r="B1460" s="2" t="s">
        <v>2375</v>
      </c>
      <c r="C1460" s="2" t="s">
        <v>24</v>
      </c>
      <c r="D1460" s="2" t="s">
        <v>2376</v>
      </c>
      <c r="E1460" s="2" t="s">
        <v>53</v>
      </c>
      <c r="F1460" s="11" t="s">
        <v>2456</v>
      </c>
      <c r="G1460" t="s">
        <v>39</v>
      </c>
      <c r="H1460" t="s">
        <v>2457</v>
      </c>
      <c r="I1460" t="s">
        <v>2458</v>
      </c>
      <c r="J1460" s="6" t="str">
        <f>HYPERLINK("https://www.biovista.com/db/link/%5B%5B%22Disease%7CMyotonic%20dystrophy%20type%201%22%5D,%20%5B%22Drug%7CAtracurium%22%5D%5D?strength-weight-map=%257B%2522MEDLINE_STRENGTH_AB%2522:1.0,%2522HPO%2522:100.0%257D", "Show Evidence...")</f>
        <v>Show Evidence...</v>
      </c>
    </row>
    <row r="1461" spans="1:10" ht="12.75">
      <c r="A1461" s="2" t="s">
        <v>2374</v>
      </c>
      <c r="B1461" s="2" t="s">
        <v>2375</v>
      </c>
      <c r="C1461" s="2" t="s">
        <v>24</v>
      </c>
      <c r="D1461" s="2" t="s">
        <v>2376</v>
      </c>
      <c r="E1461" s="2" t="s">
        <v>53</v>
      </c>
      <c r="F1461" s="11" t="s">
        <v>1836</v>
      </c>
      <c r="G1461" t="s">
        <v>39</v>
      </c>
      <c r="H1461" t="s">
        <v>1837</v>
      </c>
      <c r="I1461" t="s">
        <v>2458</v>
      </c>
      <c r="J1461" s="6" t="str">
        <f>HYPERLINK("https://www.biovista.com/db/link/%5B%5B%22Disease%7CMyotonic%20dystrophy%20type%201%22%5D,%20%5B%22Drug%7Ccoenzyme%20Q10%22%5D%5D?strength-weight-map=%257B%2522MEDLINE_STRENGTH_AB%2522:1.0,%2522HPO%2522:100.0%257D", "Show Evidence...")</f>
        <v>Show Evidence...</v>
      </c>
    </row>
    <row r="1462" spans="1:10" ht="12.75">
      <c r="A1462" s="2" t="s">
        <v>2374</v>
      </c>
      <c r="B1462" s="2" t="s">
        <v>2375</v>
      </c>
      <c r="C1462" s="2" t="s">
        <v>24</v>
      </c>
      <c r="D1462" s="2" t="s">
        <v>2376</v>
      </c>
      <c r="E1462" s="2" t="s">
        <v>53</v>
      </c>
      <c r="F1462" s="11" t="s">
        <v>226</v>
      </c>
      <c r="G1462" t="s">
        <v>39</v>
      </c>
      <c r="H1462" t="s">
        <v>227</v>
      </c>
      <c r="I1462" t="s">
        <v>2458</v>
      </c>
      <c r="J1462" s="6" t="str">
        <f>HYPERLINK("https://www.biovista.com/db/link/%5B%5B%22Disease%7CMyotonic%20dystrophy%20type%201%22%5D,%20%5B%22Drug%7CFluorodeoxyglucose%20F18%22%5D%5D?strength-weight-map=%257B%2522MEDLINE_STRENGTH_AB%2522:1.0,%2522HPO%2522:100.0%257D", "Show Evidence...")</f>
        <v>Show Evidence...</v>
      </c>
    </row>
    <row r="1463" spans="1:10" ht="12.75">
      <c r="A1463" s="2" t="s">
        <v>2374</v>
      </c>
      <c r="B1463" s="2" t="s">
        <v>2375</v>
      </c>
      <c r="C1463" s="2" t="s">
        <v>24</v>
      </c>
      <c r="D1463" s="2" t="s">
        <v>2376</v>
      </c>
      <c r="E1463" s="2" t="s">
        <v>53</v>
      </c>
      <c r="F1463" s="11" t="s">
        <v>1864</v>
      </c>
      <c r="G1463" t="s">
        <v>39</v>
      </c>
      <c r="H1463" t="s">
        <v>1865</v>
      </c>
      <c r="I1463" t="s">
        <v>2458</v>
      </c>
      <c r="J1463" s="6" t="str">
        <f>HYPERLINK("https://www.biovista.com/db/link/%5B%5B%22Disease%7CMyotonic%20dystrophy%20type%201%22%5D,%20%5B%22Drug%7CIsoflurane%22%5D%5D?strength-weight-map=%257B%2522MEDLINE_STRENGTH_AB%2522:1.0,%2522HPO%2522:100.0%257D", "Show Evidence...")</f>
        <v>Show Evidence...</v>
      </c>
    </row>
    <row r="1464" spans="1:10" ht="12.75">
      <c r="A1464" s="2" t="s">
        <v>2374</v>
      </c>
      <c r="B1464" s="2" t="s">
        <v>2375</v>
      </c>
      <c r="C1464" s="2" t="s">
        <v>24</v>
      </c>
      <c r="D1464" s="2" t="s">
        <v>2376</v>
      </c>
      <c r="E1464" s="2" t="s">
        <v>53</v>
      </c>
      <c r="F1464" s="11" t="s">
        <v>2459</v>
      </c>
      <c r="G1464" t="s">
        <v>39</v>
      </c>
      <c r="H1464" t="s">
        <v>2460</v>
      </c>
      <c r="I1464" t="s">
        <v>2458</v>
      </c>
      <c r="J1464" s="6" t="str">
        <f>HYPERLINK("https://www.biovista.com/db/link/%5B%5B%22Disease%7CMyotonic%20dystrophy%20type%201%22%5D,%20%5B%22Drug%7CNaloxone%22%5D%5D?strength-weight-map=%257B%2522MEDLINE_STRENGTH_AB%2522:1.0,%2522HPO%2522:100.0%257D", "Show Evidence...")</f>
        <v>Show Evidence...</v>
      </c>
    </row>
    <row r="1465" spans="1:10" ht="12.75">
      <c r="A1465" s="2" t="s">
        <v>2374</v>
      </c>
      <c r="B1465" s="2" t="s">
        <v>2375</v>
      </c>
      <c r="C1465" s="2" t="s">
        <v>24</v>
      </c>
      <c r="D1465" s="2" t="s">
        <v>2376</v>
      </c>
      <c r="E1465" s="2" t="s">
        <v>53</v>
      </c>
      <c r="F1465" s="11" t="s">
        <v>96</v>
      </c>
      <c r="G1465" t="s">
        <v>39</v>
      </c>
      <c r="H1465" t="s">
        <v>97</v>
      </c>
      <c r="I1465" t="s">
        <v>2458</v>
      </c>
      <c r="J1465" s="6" t="str">
        <f>HYPERLINK("https://www.biovista.com/db/link/%5B%5B%22Disease%7CMyotonic%20dystrophy%20type%201%22%5D,%20%5B%22Drug%7CNorepinephrine%22%5D%5D?strength-weight-map=%257B%2522MEDLINE_STRENGTH_AB%2522:1.0,%2522HPO%2522:100.0%257D", "Show Evidence...")</f>
        <v>Show Evidence...</v>
      </c>
    </row>
    <row r="1466" spans="1:10" ht="12.75">
      <c r="A1466" s="2" t="s">
        <v>2374</v>
      </c>
      <c r="B1466" s="2" t="s">
        <v>2375</v>
      </c>
      <c r="C1466" s="2" t="s">
        <v>24</v>
      </c>
      <c r="D1466" s="2" t="s">
        <v>2376</v>
      </c>
      <c r="E1466" s="2" t="s">
        <v>53</v>
      </c>
      <c r="F1466" s="11" t="s">
        <v>2461</v>
      </c>
      <c r="G1466" t="s">
        <v>39</v>
      </c>
      <c r="H1466" t="s">
        <v>2462</v>
      </c>
      <c r="I1466" t="s">
        <v>2458</v>
      </c>
      <c r="J1466" s="6" t="str">
        <f>HYPERLINK("https://www.biovista.com/db/link/%5B%5B%22Disease%7CMyotonic%20dystrophy%20type%201%22%5D,%20%5B%22Drug%7CSelenium%22%5D%5D?strength-weight-map=%257B%2522MEDLINE_STRENGTH_AB%2522:1.0,%2522HPO%2522:100.0%257D", "Show Evidence...")</f>
        <v>Show Evidence...</v>
      </c>
    </row>
    <row r="1467" spans="1:10" ht="12.75">
      <c r="A1467" s="2" t="s">
        <v>2374</v>
      </c>
      <c r="B1467" s="2" t="s">
        <v>2375</v>
      </c>
      <c r="C1467" s="2" t="s">
        <v>24</v>
      </c>
      <c r="D1467" s="2" t="s">
        <v>2376</v>
      </c>
      <c r="E1467" s="2" t="s">
        <v>53</v>
      </c>
      <c r="F1467" s="11" t="s">
        <v>274</v>
      </c>
      <c r="G1467" t="s">
        <v>39</v>
      </c>
      <c r="H1467" t="s">
        <v>275</v>
      </c>
      <c r="I1467" t="s">
        <v>2458</v>
      </c>
      <c r="J1467" s="6" t="str">
        <f>HYPERLINK("https://www.biovista.com/db/link/%5B%5B%22Disease%7CMyotonic%20dystrophy%20type%201%22%5D,%20%5B%22Drug%7CSomatostatin%22%5D%5D?strength-weight-map=%257B%2522MEDLINE_STRENGTH_AB%2522:1.0,%2522HPO%2522:100.0%257D", "Show Evidence...")</f>
        <v>Show Evidence...</v>
      </c>
    </row>
    <row r="1468" spans="1:10" ht="12.75">
      <c r="A1468" s="2" t="s">
        <v>2374</v>
      </c>
      <c r="B1468" s="2" t="s">
        <v>2375</v>
      </c>
      <c r="C1468" s="2" t="s">
        <v>24</v>
      </c>
      <c r="D1468" s="2" t="s">
        <v>2376</v>
      </c>
      <c r="E1468" s="2" t="s">
        <v>53</v>
      </c>
      <c r="F1468" s="11" t="s">
        <v>2463</v>
      </c>
      <c r="G1468" t="s">
        <v>39</v>
      </c>
      <c r="H1468" t="s">
        <v>2464</v>
      </c>
      <c r="I1468" t="s">
        <v>2458</v>
      </c>
      <c r="J1468" s="6" t="str">
        <f>HYPERLINK("https://www.biovista.com/db/link/%5B%5B%22Disease%7CMyotonic%20dystrophy%20type%201%22%5D,%20%5B%22Drug%7CTheophylline%22%5D%5D?strength-weight-map=%257B%2522MEDLINE_STRENGTH_AB%2522:1.0,%2522HPO%2522:100.0%257D", "Show Evidence...")</f>
        <v>Show Evidence...</v>
      </c>
    </row>
    <row r="1469" spans="1:10" ht="12.75">
      <c r="A1469" s="2" t="s">
        <v>2374</v>
      </c>
      <c r="B1469" s="2" t="s">
        <v>2375</v>
      </c>
      <c r="C1469" s="2" t="s">
        <v>24</v>
      </c>
      <c r="D1469" s="2" t="s">
        <v>2376</v>
      </c>
      <c r="E1469" s="2" t="s">
        <v>53</v>
      </c>
      <c r="F1469" s="11" t="s">
        <v>2465</v>
      </c>
      <c r="G1469" t="s">
        <v>39</v>
      </c>
      <c r="H1469" t="s">
        <v>2466</v>
      </c>
      <c r="I1469" t="s">
        <v>2458</v>
      </c>
      <c r="J1469" s="6" t="str">
        <f>HYPERLINK("https://www.biovista.com/db/link/%5B%5B%22Disease%7CMyotonic%20dystrophy%20type%201%22%5D,%20%5B%22Drug%7Ctideglusib%22%5D%5D?strength-weight-map=%257B%2522MEDLINE_STRENGTH_AB%2522:1.0,%2522HPO%2522:100.0%257D", "Show Evidence...")</f>
        <v>Show Evidence...</v>
      </c>
    </row>
    <row r="1470" spans="1:10" ht="12.75">
      <c r="A1470" s="2" t="s">
        <v>2374</v>
      </c>
      <c r="B1470" s="2" t="s">
        <v>2375</v>
      </c>
      <c r="C1470" s="2" t="s">
        <v>24</v>
      </c>
      <c r="D1470" s="2" t="s">
        <v>2376</v>
      </c>
      <c r="E1470" s="2" t="s">
        <v>53</v>
      </c>
      <c r="F1470" s="11" t="s">
        <v>2467</v>
      </c>
      <c r="G1470" t="s">
        <v>39</v>
      </c>
      <c r="H1470" t="s">
        <v>2468</v>
      </c>
      <c r="I1470" t="s">
        <v>2458</v>
      </c>
      <c r="J1470" s="6" t="str">
        <f>HYPERLINK("https://www.biovista.com/db/link/%5B%5B%22Disease%7CMyotonic%20dystrophy%20type%201%22%5D,%20%5B%22Drug%7CTriiodothyronine%22%5D%5D?strength-weight-map=%257B%2522MEDLINE_STRENGTH_AB%2522:1.0,%2522HPO%2522:100.0%257D", "Show Evidence...")</f>
        <v>Show Evidence...</v>
      </c>
    </row>
    <row r="1471" spans="1:10" ht="12.75">
      <c r="A1471" s="2" t="s">
        <v>2374</v>
      </c>
      <c r="B1471" s="2" t="s">
        <v>2375</v>
      </c>
      <c r="C1471" s="2" t="s">
        <v>24</v>
      </c>
      <c r="D1471" s="2" t="s">
        <v>2376</v>
      </c>
      <c r="E1471" s="2" t="s">
        <v>53</v>
      </c>
      <c r="F1471" s="11" t="s">
        <v>2469</v>
      </c>
      <c r="G1471" t="s">
        <v>39</v>
      </c>
      <c r="H1471" t="s">
        <v>2470</v>
      </c>
      <c r="I1471" t="s">
        <v>2471</v>
      </c>
      <c r="J1471" s="6" t="str">
        <f>HYPERLINK("https://www.biovista.com/db/link/%5B%5B%22Disease%7CMyotonic%20dystrophy%20type%201%22%5D,%20%5B%22Drug%7CAminophylline%22%5D%5D?strength-weight-map=%257B%2522MEDLINE_STRENGTH_AB%2522:1.0,%2522HPO%2522:100.0%257D", "Show Evidence...")</f>
        <v>Show Evidence...</v>
      </c>
    </row>
    <row r="1472" spans="1:10" ht="12.75">
      <c r="A1472" s="2" t="s">
        <v>2374</v>
      </c>
      <c r="B1472" s="2" t="s">
        <v>2375</v>
      </c>
      <c r="C1472" s="2" t="s">
        <v>24</v>
      </c>
      <c r="D1472" s="2" t="s">
        <v>2376</v>
      </c>
      <c r="E1472" s="2" t="s">
        <v>53</v>
      </c>
      <c r="F1472" s="11" t="s">
        <v>2472</v>
      </c>
      <c r="G1472" t="s">
        <v>39</v>
      </c>
      <c r="H1472" t="s">
        <v>2473</v>
      </c>
      <c r="I1472" t="s">
        <v>2471</v>
      </c>
      <c r="J1472" s="6" t="str">
        <f>HYPERLINK("https://www.biovista.com/db/link/%5B%5B%22Disease%7CMyotonic%20dystrophy%20type%201%22%5D,%20%5B%22Drug%7CCaffeine%22%5D%5D?strength-weight-map=%257B%2522MEDLINE_STRENGTH_AB%2522:1.0,%2522HPO%2522:100.0%257D", "Show Evidence...")</f>
        <v>Show Evidence...</v>
      </c>
    </row>
    <row r="1473" spans="1:10" ht="12.75">
      <c r="A1473" s="2" t="s">
        <v>2374</v>
      </c>
      <c r="B1473" s="2" t="s">
        <v>2375</v>
      </c>
      <c r="C1473" s="2" t="s">
        <v>24</v>
      </c>
      <c r="D1473" s="2" t="s">
        <v>2376</v>
      </c>
      <c r="E1473" s="2" t="s">
        <v>53</v>
      </c>
      <c r="F1473" s="11" t="s">
        <v>922</v>
      </c>
      <c r="G1473" t="s">
        <v>39</v>
      </c>
      <c r="H1473" t="s">
        <v>923</v>
      </c>
      <c r="I1473" t="s">
        <v>2471</v>
      </c>
      <c r="J1473" s="6" t="str">
        <f>HYPERLINK("https://www.biovista.com/db/link/%5B%5B%22Disease%7CMyotonic%20dystrophy%20type%201%22%5D,%20%5B%22Drug%7CCarnitine%22%5D%5D?strength-weight-map=%257B%2522MEDLINE_STRENGTH_AB%2522:1.0,%2522HPO%2522:100.0%257D", "Show Evidence...")</f>
        <v>Show Evidence...</v>
      </c>
    </row>
    <row r="1474" spans="1:10" ht="12.75">
      <c r="A1474" s="2" t="s">
        <v>2374</v>
      </c>
      <c r="B1474" s="2" t="s">
        <v>2375</v>
      </c>
      <c r="C1474" s="2" t="s">
        <v>24</v>
      </c>
      <c r="D1474" s="2" t="s">
        <v>2376</v>
      </c>
      <c r="E1474" s="2" t="s">
        <v>53</v>
      </c>
      <c r="F1474" s="11" t="s">
        <v>120</v>
      </c>
      <c r="G1474" t="s">
        <v>39</v>
      </c>
      <c r="H1474" t="s">
        <v>121</v>
      </c>
      <c r="I1474" t="s">
        <v>2471</v>
      </c>
      <c r="J1474" s="6" t="str">
        <f>HYPERLINK("https://www.biovista.com/db/link/%5B%5B%22Disease%7CMyotonic%20dystrophy%20type%201%22%5D,%20%5B%22Drug%7CCorticotropin-Releasing%20Hormone%22%5D%5D?strength-weight-map=%257B%2522MEDLINE_STRENGTH_AB%2522:1.0,%2522HPO%2522:100.0%257D", "Show Evidence...")</f>
        <v>Show Evidence...</v>
      </c>
    </row>
    <row r="1475" spans="1:10" ht="12.75">
      <c r="A1475" s="2" t="s">
        <v>2374</v>
      </c>
      <c r="B1475" s="2" t="s">
        <v>2375</v>
      </c>
      <c r="C1475" s="2" t="s">
        <v>24</v>
      </c>
      <c r="D1475" s="2" t="s">
        <v>2376</v>
      </c>
      <c r="E1475" s="2" t="s">
        <v>53</v>
      </c>
      <c r="F1475" s="11" t="s">
        <v>2474</v>
      </c>
      <c r="G1475" t="s">
        <v>39</v>
      </c>
      <c r="H1475" t="s">
        <v>2475</v>
      </c>
      <c r="I1475" t="s">
        <v>2471</v>
      </c>
      <c r="J1475" s="6" t="str">
        <f>HYPERLINK("https://www.biovista.com/db/link/%5B%5B%22Disease%7CMyotonic%20dystrophy%20type%201%22%5D,%20%5B%22Drug%7CCyclin-Dependent%20Kinase%20Inhibitor%20p21%22%5D%5D?strength-weight-map=%257B%2522MEDLINE_STRENGTH_AB%2522:1.0,%2522HPO%2522:100.0%257D", "Show Evidence...")</f>
        <v>Show Evidence...</v>
      </c>
    </row>
    <row r="1476" spans="1:10" ht="12.75">
      <c r="A1476" s="2" t="s">
        <v>2374</v>
      </c>
      <c r="B1476" s="2" t="s">
        <v>2375</v>
      </c>
      <c r="C1476" s="2" t="s">
        <v>24</v>
      </c>
      <c r="D1476" s="2" t="s">
        <v>2376</v>
      </c>
      <c r="E1476" s="2" t="s">
        <v>53</v>
      </c>
      <c r="F1476" s="11" t="s">
        <v>81</v>
      </c>
      <c r="G1476" t="s">
        <v>39</v>
      </c>
      <c r="H1476" t="s">
        <v>82</v>
      </c>
      <c r="I1476" t="s">
        <v>2471</v>
      </c>
      <c r="J1476" s="6" t="str">
        <f>HYPERLINK("https://www.biovista.com/db/link/%5B%5B%22Disease%7CMyotonic%20dystrophy%20type%201%22%5D,%20%5B%22Drug%7CDopamine%22%5D%5D?strength-weight-map=%257B%2522MEDLINE_STRENGTH_AB%2522:1.0,%2522HPO%2522:100.0%257D", "Show Evidence...")</f>
        <v>Show Evidence...</v>
      </c>
    </row>
    <row r="1477" spans="1:10" ht="12.75">
      <c r="A1477" s="2" t="s">
        <v>2374</v>
      </c>
      <c r="B1477" s="2" t="s">
        <v>2375</v>
      </c>
      <c r="C1477" s="2" t="s">
        <v>24</v>
      </c>
      <c r="D1477" s="2" t="s">
        <v>2376</v>
      </c>
      <c r="E1477" s="2" t="s">
        <v>53</v>
      </c>
      <c r="F1477" s="11" t="s">
        <v>171</v>
      </c>
      <c r="G1477" t="s">
        <v>39</v>
      </c>
      <c r="H1477" t="s">
        <v>172</v>
      </c>
      <c r="I1477" t="s">
        <v>2471</v>
      </c>
      <c r="J1477" s="6" t="str">
        <f>HYPERLINK("https://www.biovista.com/db/link/%5B%5B%22Disease%7CMyotonic%20dystrophy%20type%201%22%5D,%20%5B%22Drug%7CEstradiol%22%5D%5D?strength-weight-map=%257B%2522MEDLINE_STRENGTH_AB%2522:1.0,%2522HPO%2522:100.0%257D", "Show Evidence...")</f>
        <v>Show Evidence...</v>
      </c>
    </row>
    <row r="1478" spans="1:10" ht="12.75">
      <c r="A1478" s="2" t="s">
        <v>2374</v>
      </c>
      <c r="B1478" s="2" t="s">
        <v>2375</v>
      </c>
      <c r="C1478" s="2" t="s">
        <v>24</v>
      </c>
      <c r="D1478" s="2" t="s">
        <v>2376</v>
      </c>
      <c r="E1478" s="2" t="s">
        <v>53</v>
      </c>
      <c r="F1478" s="11" t="s">
        <v>2476</v>
      </c>
      <c r="G1478" t="s">
        <v>39</v>
      </c>
      <c r="H1478" t="s">
        <v>2477</v>
      </c>
      <c r="I1478" t="s">
        <v>2471</v>
      </c>
      <c r="J1478" s="6" t="str">
        <f>HYPERLINK("https://www.biovista.com/db/link/%5B%5B%22Disease%7CMyotonic%20dystrophy%20type%201%22%5D,%20%5B%22Drug%7CHuman%20Growth%20Hormone%22%5D%5D?strength-weight-map=%257B%2522MEDLINE_STRENGTH_AB%2522:1.0,%2522HPO%2522:100.0%257D", "Show Evidence...")</f>
        <v>Show Evidence...</v>
      </c>
    </row>
    <row r="1479" spans="1:10" ht="12.75">
      <c r="A1479" s="2" t="s">
        <v>2374</v>
      </c>
      <c r="B1479" s="2" t="s">
        <v>2375</v>
      </c>
      <c r="C1479" s="2" t="s">
        <v>24</v>
      </c>
      <c r="D1479" s="2" t="s">
        <v>2376</v>
      </c>
      <c r="E1479" s="2" t="s">
        <v>53</v>
      </c>
      <c r="F1479" s="11" t="s">
        <v>180</v>
      </c>
      <c r="G1479" t="s">
        <v>39</v>
      </c>
      <c r="H1479" t="s">
        <v>181</v>
      </c>
      <c r="I1479" t="s">
        <v>2471</v>
      </c>
      <c r="J1479" s="6" t="str">
        <f>HYPERLINK("https://www.biovista.com/db/link/%5B%5B%22Disease%7CMyotonic%20dystrophy%20type%201%22%5D,%20%5B%22Drug%7CImmunoglobulins,%20Intravenous%22%5D%5D?strength-weight-map=%257B%2522MEDLINE_STRENGTH_AB%2522:1.0,%2522HPO%2522:100.0%257D", "Show Evidence...")</f>
        <v>Show Evidence...</v>
      </c>
    </row>
    <row r="1480" spans="1:10" ht="12.75">
      <c r="A1480" s="2" t="s">
        <v>2374</v>
      </c>
      <c r="B1480" s="2" t="s">
        <v>2375</v>
      </c>
      <c r="C1480" s="2" t="s">
        <v>24</v>
      </c>
      <c r="D1480" s="2" t="s">
        <v>2376</v>
      </c>
      <c r="E1480" s="2" t="s">
        <v>53</v>
      </c>
      <c r="F1480" s="11" t="s">
        <v>2478</v>
      </c>
      <c r="G1480" t="s">
        <v>39</v>
      </c>
      <c r="H1480" t="s">
        <v>2479</v>
      </c>
      <c r="I1480" t="s">
        <v>2471</v>
      </c>
      <c r="J1480" s="6" t="str">
        <f>HYPERLINK("https://www.biovista.com/db/link/%5B%5B%22Disease%7CMyotonic%20dystrophy%20type%201%22%5D,%20%5B%22Drug%7CNifedipine%22%5D%5D?strength-weight-map=%257B%2522MEDLINE_STRENGTH_AB%2522:1.0,%2522HPO%2522:100.0%257D", "Show Evidence...")</f>
        <v>Show Evidence...</v>
      </c>
    </row>
    <row r="1481" spans="1:10" ht="12.75">
      <c r="A1481" s="2" t="s">
        <v>2374</v>
      </c>
      <c r="B1481" s="2" t="s">
        <v>2375</v>
      </c>
      <c r="C1481" s="2" t="s">
        <v>24</v>
      </c>
      <c r="D1481" s="2" t="s">
        <v>2376</v>
      </c>
      <c r="E1481" s="2" t="s">
        <v>53</v>
      </c>
      <c r="F1481" s="11" t="s">
        <v>259</v>
      </c>
      <c r="G1481" t="s">
        <v>39</v>
      </c>
      <c r="H1481" t="s">
        <v>260</v>
      </c>
      <c r="I1481" t="s">
        <v>2471</v>
      </c>
      <c r="J1481" s="6" t="str">
        <f>HYPERLINK("https://www.biovista.com/db/link/%5B%5B%22Disease%7CMyotonic%20dystrophy%20type%201%22%5D,%20%5B%22Drug%7CPrednisone%22%5D%5D?strength-weight-map=%257B%2522MEDLINE_STRENGTH_AB%2522:1.0,%2522HPO%2522:100.0%257D", "Show Evidence...")</f>
        <v>Show Evidence...</v>
      </c>
    </row>
    <row r="1482" spans="1:10" ht="12.75">
      <c r="A1482" s="2" t="s">
        <v>2374</v>
      </c>
      <c r="B1482" s="2" t="s">
        <v>2375</v>
      </c>
      <c r="C1482" s="2" t="s">
        <v>24</v>
      </c>
      <c r="D1482" s="2" t="s">
        <v>2376</v>
      </c>
      <c r="E1482" s="2" t="s">
        <v>53</v>
      </c>
      <c r="F1482" s="11" t="s">
        <v>263</v>
      </c>
      <c r="G1482" t="s">
        <v>39</v>
      </c>
      <c r="H1482" t="s">
        <v>264</v>
      </c>
      <c r="I1482" t="s">
        <v>2471</v>
      </c>
      <c r="J1482" s="6" t="str">
        <f>HYPERLINK("https://www.biovista.com/db/link/%5B%5B%22Disease%7CMyotonic%20dystrophy%20type%201%22%5D,%20%5B%22Drug%7CVitamin%20D%22%5D%5D?strength-weight-map=%257B%2522MEDLINE_STRENGTH_AB%2522:1.0,%2522HPO%2522:100.0%257D", "Show Evidence...")</f>
        <v>Show Evidence...</v>
      </c>
    </row>
    <row r="1483" spans="1:10" ht="12.75">
      <c r="A1483" s="2" t="s">
        <v>2374</v>
      </c>
      <c r="B1483" s="2" t="s">
        <v>2375</v>
      </c>
      <c r="C1483" s="2" t="s">
        <v>24</v>
      </c>
      <c r="D1483" s="2" t="s">
        <v>2376</v>
      </c>
      <c r="E1483" s="2" t="s">
        <v>53</v>
      </c>
      <c r="F1483" s="11" t="s">
        <v>2480</v>
      </c>
      <c r="G1483" t="s">
        <v>39</v>
      </c>
      <c r="H1483" t="s">
        <v>2481</v>
      </c>
      <c r="I1483" t="s">
        <v>2482</v>
      </c>
      <c r="J1483" s="6" t="str">
        <f>HYPERLINK("https://www.biovista.com/db/link/%5B%5B%22Disease%7CMyotonic%20dystrophy%20type%201%22%5D,%20%5B%22Drug%7CAjmaline%22%5D%5D?strength-weight-map=%257B%2522MEDLINE_STRENGTH_AB%2522:1.0,%2522HPO%2522:100.0%257D", "Show Evidence...")</f>
        <v>Show Evidence...</v>
      </c>
    </row>
    <row r="1484" spans="1:10" ht="12.75">
      <c r="A1484" s="2" t="s">
        <v>2374</v>
      </c>
      <c r="B1484" s="2" t="s">
        <v>2375</v>
      </c>
      <c r="C1484" s="2" t="s">
        <v>24</v>
      </c>
      <c r="D1484" s="2" t="s">
        <v>2376</v>
      </c>
      <c r="E1484" s="2" t="s">
        <v>53</v>
      </c>
      <c r="F1484" s="11" t="s">
        <v>187</v>
      </c>
      <c r="G1484" t="s">
        <v>39</v>
      </c>
      <c r="H1484" t="s">
        <v>188</v>
      </c>
      <c r="I1484" t="s">
        <v>2482</v>
      </c>
      <c r="J1484" s="6" t="str">
        <f>HYPERLINK("https://www.biovista.com/db/link/%5B%5B%22Disease%7CMyotonic%20dystrophy%20type%201%22%5D,%20%5B%22Drug%7CAspirin%22%5D%5D?strength-weight-map=%257B%2522MEDLINE_STRENGTH_AB%2522:1.0,%2522HPO%2522:100.0%257D", "Show Evidence...")</f>
        <v>Show Evidence...</v>
      </c>
    </row>
    <row r="1485" spans="1:10" ht="12.75">
      <c r="A1485" s="2" t="s">
        <v>2374</v>
      </c>
      <c r="B1485" s="2" t="s">
        <v>2375</v>
      </c>
      <c r="C1485" s="2" t="s">
        <v>24</v>
      </c>
      <c r="D1485" s="2" t="s">
        <v>2376</v>
      </c>
      <c r="E1485" s="2" t="s">
        <v>53</v>
      </c>
      <c r="F1485" s="11" t="s">
        <v>2483</v>
      </c>
      <c r="G1485" t="s">
        <v>39</v>
      </c>
      <c r="H1485" t="s">
        <v>2484</v>
      </c>
      <c r="I1485" t="s">
        <v>2482</v>
      </c>
      <c r="J1485" s="6" t="str">
        <f>HYPERLINK("https://www.biovista.com/db/link/%5B%5B%22Disease%7CMyotonic%20dystrophy%20type%201%22%5D,%20%5B%22Drug%7CAzithromycin%22%5D%5D?strength-weight-map=%257B%2522MEDLINE_STRENGTH_AB%2522:1.0,%2522HPO%2522:100.0%257D", "Show Evidence...")</f>
        <v>Show Evidence...</v>
      </c>
    </row>
    <row r="1486" spans="1:10" ht="12.75">
      <c r="A1486" s="2" t="s">
        <v>2374</v>
      </c>
      <c r="B1486" s="2" t="s">
        <v>2375</v>
      </c>
      <c r="C1486" s="2" t="s">
        <v>24</v>
      </c>
      <c r="D1486" s="2" t="s">
        <v>2376</v>
      </c>
      <c r="E1486" s="2" t="s">
        <v>53</v>
      </c>
      <c r="F1486" s="11" t="s">
        <v>2485</v>
      </c>
      <c r="G1486" t="s">
        <v>39</v>
      </c>
      <c r="H1486" t="s">
        <v>2486</v>
      </c>
      <c r="I1486" t="s">
        <v>2482</v>
      </c>
      <c r="J1486" s="6" t="str">
        <f>HYPERLINK("https://www.biovista.com/db/link/%5B%5B%22Disease%7CMyotonic%20dystrophy%20type%201%22%5D,%20%5B%22Drug%7Cdigoxin%20antibodies%20Fab%20fragments%22%5D%5D?strength-weight-map=%257B%2522MEDLINE_STRENGTH_AB%2522:1.0,%2522HPO%2522:100.0%257D", "Show Evidence...")</f>
        <v>Show Evidence...</v>
      </c>
    </row>
    <row r="1487" spans="1:10" ht="12.75">
      <c r="A1487" s="2" t="s">
        <v>2374</v>
      </c>
      <c r="B1487" s="2" t="s">
        <v>2375</v>
      </c>
      <c r="C1487" s="2" t="s">
        <v>24</v>
      </c>
      <c r="D1487" s="2" t="s">
        <v>2376</v>
      </c>
      <c r="E1487" s="2" t="s">
        <v>53</v>
      </c>
      <c r="F1487" s="11" t="s">
        <v>2487</v>
      </c>
      <c r="G1487" t="s">
        <v>39</v>
      </c>
      <c r="H1487" t="s">
        <v>2488</v>
      </c>
      <c r="I1487" t="s">
        <v>2482</v>
      </c>
      <c r="J1487" s="6" t="str">
        <f>HYPERLINK("https://www.biovista.com/db/link/%5B%5B%22Disease%7CMyotonic%20dystrophy%20type%201%22%5D,%20%5B%22Drug%7CFlecainide%22%5D%5D?strength-weight-map=%257B%2522MEDLINE_STRENGTH_AB%2522:1.0,%2522HPO%2522:100.0%257D", "Show Evidence...")</f>
        <v>Show Evidence...</v>
      </c>
    </row>
    <row r="1488" spans="1:10" ht="12.75">
      <c r="A1488" s="2" t="s">
        <v>2374</v>
      </c>
      <c r="B1488" s="2" t="s">
        <v>2375</v>
      </c>
      <c r="C1488" s="2" t="s">
        <v>24</v>
      </c>
      <c r="D1488" s="2" t="s">
        <v>2376</v>
      </c>
      <c r="E1488" s="2" t="s">
        <v>53</v>
      </c>
      <c r="F1488" s="11" t="s">
        <v>2489</v>
      </c>
      <c r="G1488" t="s">
        <v>39</v>
      </c>
      <c r="H1488" t="s">
        <v>2490</v>
      </c>
      <c r="I1488" t="s">
        <v>2482</v>
      </c>
      <c r="J1488" s="6" t="str">
        <f>HYPERLINK("https://www.biovista.com/db/link/%5B%5B%22Disease%7CMyotonic%20dystrophy%20type%201%22%5D,%20%5B%22Drug%7CFluorescein%22%5D%5D?strength-weight-map=%257B%2522MEDLINE_STRENGTH_AB%2522:1.0,%2522HPO%2522:100.0%257D", "Show Evidence...")</f>
        <v>Show Evidence...</v>
      </c>
    </row>
    <row r="1489" spans="1:10" ht="12.75">
      <c r="A1489" s="2" t="s">
        <v>2374</v>
      </c>
      <c r="B1489" s="2" t="s">
        <v>2375</v>
      </c>
      <c r="C1489" s="2" t="s">
        <v>24</v>
      </c>
      <c r="D1489" s="2" t="s">
        <v>2376</v>
      </c>
      <c r="E1489" s="2" t="s">
        <v>53</v>
      </c>
      <c r="F1489" s="11" t="s">
        <v>2491</v>
      </c>
      <c r="G1489" t="s">
        <v>39</v>
      </c>
      <c r="H1489" t="s">
        <v>2492</v>
      </c>
      <c r="I1489" t="s">
        <v>2482</v>
      </c>
      <c r="J1489" s="6" t="str">
        <f>HYPERLINK("https://www.biovista.com/db/link/%5B%5B%22Disease%7CMyotonic%20dystrophy%20type%201%22%5D,%20%5B%22Drug%7CGonadotropins,%20Pituitary%22%5D%5D?strength-weight-map=%257B%2522MEDLINE_STRENGTH_AB%2522:1.0,%2522HPO%2522:100.0%257D", "Show Evidence...")</f>
        <v>Show Evidence...</v>
      </c>
    </row>
    <row r="1490" spans="1:10" ht="12.75">
      <c r="A1490" s="2" t="s">
        <v>2374</v>
      </c>
      <c r="B1490" s="2" t="s">
        <v>2375</v>
      </c>
      <c r="C1490" s="2" t="s">
        <v>24</v>
      </c>
      <c r="D1490" s="2" t="s">
        <v>2376</v>
      </c>
      <c r="E1490" s="2" t="s">
        <v>53</v>
      </c>
      <c r="F1490" s="11" t="s">
        <v>2493</v>
      </c>
      <c r="G1490" t="s">
        <v>39</v>
      </c>
      <c r="H1490" t="s">
        <v>2494</v>
      </c>
      <c r="I1490" t="s">
        <v>2482</v>
      </c>
      <c r="J1490" s="6" t="str">
        <f>HYPERLINK("https://www.biovista.com/db/link/%5B%5B%22Disease%7CMyotonic%20dystrophy%20type%201%22%5D,%20%5B%22Drug%7CHistamine%22%5D%5D?strength-weight-map=%257B%2522MEDLINE_STRENGTH_AB%2522:1.0,%2522HPO%2522:100.0%257D", "Show Evidence...")</f>
        <v>Show Evidence...</v>
      </c>
    </row>
    <row r="1491" spans="1:10" ht="12.75">
      <c r="A1491" s="2" t="s">
        <v>2374</v>
      </c>
      <c r="B1491" s="2" t="s">
        <v>2375</v>
      </c>
      <c r="C1491" s="2" t="s">
        <v>24</v>
      </c>
      <c r="D1491" s="2" t="s">
        <v>2376</v>
      </c>
      <c r="E1491" s="2" t="s">
        <v>53</v>
      </c>
      <c r="F1491" s="11" t="s">
        <v>78</v>
      </c>
      <c r="G1491" t="s">
        <v>39</v>
      </c>
      <c r="H1491" t="s">
        <v>79</v>
      </c>
      <c r="I1491" t="s">
        <v>2482</v>
      </c>
      <c r="J1491" s="6" t="str">
        <f>HYPERLINK("https://www.biovista.com/db/link/%5B%5B%22Disease%7CMyotonic%20dystrophy%20type%201%22%5D,%20%5B%22Drug%7CImipramine%22%5D%5D?strength-weight-map=%257B%2522MEDLINE_STRENGTH_AB%2522:1.0,%2522HPO%2522:100.0%257D", "Show Evidence...")</f>
        <v>Show Evidence...</v>
      </c>
    </row>
    <row r="1492" spans="1:10" ht="12.75">
      <c r="A1492" s="2" t="s">
        <v>2374</v>
      </c>
      <c r="B1492" s="2" t="s">
        <v>2375</v>
      </c>
      <c r="C1492" s="2" t="s">
        <v>24</v>
      </c>
      <c r="D1492" s="2" t="s">
        <v>2376</v>
      </c>
      <c r="E1492" s="2" t="s">
        <v>53</v>
      </c>
      <c r="F1492" s="11" t="s">
        <v>2495</v>
      </c>
      <c r="G1492" t="s">
        <v>39</v>
      </c>
      <c r="H1492" t="s">
        <v>2496</v>
      </c>
      <c r="I1492" t="s">
        <v>2482</v>
      </c>
      <c r="J1492" s="6" t="str">
        <f>HYPERLINK("https://www.biovista.com/db/link/%5B%5B%22Disease%7CMyotonic%20dystrophy%20type%201%22%5D,%20%5B%22Drug%7CMetoclopramide%22%5D%5D?strength-weight-map=%257B%2522MEDLINE_STRENGTH_AB%2522:1.0,%2522HPO%2522:100.0%257D", "Show Evidence...")</f>
        <v>Show Evidence...</v>
      </c>
    </row>
    <row r="1493" spans="1:10" ht="12.75">
      <c r="A1493" s="2" t="s">
        <v>2374</v>
      </c>
      <c r="B1493" s="2" t="s">
        <v>2375</v>
      </c>
      <c r="C1493" s="2" t="s">
        <v>24</v>
      </c>
      <c r="D1493" s="2" t="s">
        <v>2376</v>
      </c>
      <c r="E1493" s="2" t="s">
        <v>53</v>
      </c>
      <c r="F1493" s="11" t="s">
        <v>2497</v>
      </c>
      <c r="G1493" t="s">
        <v>39</v>
      </c>
      <c r="H1493" t="s">
        <v>2498</v>
      </c>
      <c r="I1493" t="s">
        <v>2482</v>
      </c>
      <c r="J1493" s="6" t="str">
        <f>HYPERLINK("https://www.biovista.com/db/link/%5B%5B%22Disease%7CMyotonic%20dystrophy%20type%201%22%5D,%20%5B%22Drug%7CPancuronium%22%5D%5D?strength-weight-map=%257B%2522MEDLINE_STRENGTH_AB%2522:1.0,%2522HPO%2522:100.0%257D", "Show Evidence...")</f>
        <v>Show Evidence...</v>
      </c>
    </row>
    <row r="1494" spans="1:10" ht="12.75">
      <c r="A1494" s="2" t="s">
        <v>2374</v>
      </c>
      <c r="B1494" s="2" t="s">
        <v>2375</v>
      </c>
      <c r="C1494" s="2" t="s">
        <v>24</v>
      </c>
      <c r="D1494" s="2" t="s">
        <v>2376</v>
      </c>
      <c r="E1494" s="2" t="s">
        <v>53</v>
      </c>
      <c r="F1494" s="11" t="s">
        <v>1933</v>
      </c>
      <c r="G1494" t="s">
        <v>39</v>
      </c>
      <c r="H1494" t="s">
        <v>1934</v>
      </c>
      <c r="I1494" t="s">
        <v>2482</v>
      </c>
      <c r="J1494" s="6" t="str">
        <f>HYPERLINK("https://www.biovista.com/db/link/%5B%5B%22Disease%7CMyotonic%20dystrophy%20type%201%22%5D,%20%5B%22Drug%7CPropranolol%22%5D%5D?strength-weight-map=%257B%2522MEDLINE_STRENGTH_AB%2522:1.0,%2522HPO%2522:100.0%257D", "Show Evidence...")</f>
        <v>Show Evidence...</v>
      </c>
    </row>
    <row r="1495" spans="1:10" ht="12.75">
      <c r="A1495" s="2" t="s">
        <v>2374</v>
      </c>
      <c r="B1495" s="2" t="s">
        <v>2375</v>
      </c>
      <c r="C1495" s="2" t="s">
        <v>24</v>
      </c>
      <c r="D1495" s="2" t="s">
        <v>2376</v>
      </c>
      <c r="E1495" s="2" t="s">
        <v>53</v>
      </c>
      <c r="F1495" s="11" t="s">
        <v>57</v>
      </c>
      <c r="G1495" t="s">
        <v>39</v>
      </c>
      <c r="H1495" t="s">
        <v>58</v>
      </c>
      <c r="I1495" t="s">
        <v>2482</v>
      </c>
      <c r="J1495" s="6" t="str">
        <f>HYPERLINK("https://www.biovista.com/db/link/%5B%5B%22Disease%7CMyotonic%20dystrophy%20type%201%22%5D,%20%5B%22Drug%7CPyridostigmine%20Bromide%22%5D%5D?strength-weight-map=%257B%2522MEDLINE_STRENGTH_AB%2522:1.0,%2522HPO%2522:100.0%257D", "Show Evidence...")</f>
        <v>Show Evidence...</v>
      </c>
    </row>
    <row r="1496" spans="1:10" ht="12.75">
      <c r="A1496" s="2" t="s">
        <v>2374</v>
      </c>
      <c r="B1496" s="2" t="s">
        <v>2375</v>
      </c>
      <c r="C1496" s="2" t="s">
        <v>24</v>
      </c>
      <c r="D1496" s="2" t="s">
        <v>2376</v>
      </c>
      <c r="E1496" s="2" t="s">
        <v>53</v>
      </c>
      <c r="F1496" s="11" t="s">
        <v>133</v>
      </c>
      <c r="G1496" t="s">
        <v>39</v>
      </c>
      <c r="H1496" t="s">
        <v>134</v>
      </c>
      <c r="I1496" t="s">
        <v>2482</v>
      </c>
      <c r="J1496" s="6" t="str">
        <f>HYPERLINK("https://www.biovista.com/db/link/%5B%5B%22Disease%7CMyotonic%20dystrophy%20type%201%22%5D,%20%5B%22Drug%7CQuinidine%22%5D%5D?strength-weight-map=%257B%2522MEDLINE_STRENGTH_AB%2522:1.0,%2522HPO%2522:100.0%257D", "Show Evidence...")</f>
        <v>Show Evidence...</v>
      </c>
    </row>
    <row r="1497" spans="1:10" ht="12.75">
      <c r="A1497" s="2" t="s">
        <v>2374</v>
      </c>
      <c r="B1497" s="2" t="s">
        <v>2375</v>
      </c>
      <c r="C1497" s="2" t="s">
        <v>24</v>
      </c>
      <c r="D1497" s="2" t="s">
        <v>2376</v>
      </c>
      <c r="E1497" s="2" t="s">
        <v>53</v>
      </c>
      <c r="F1497" s="11" t="s">
        <v>2499</v>
      </c>
      <c r="G1497" t="s">
        <v>39</v>
      </c>
      <c r="H1497" t="s">
        <v>2500</v>
      </c>
      <c r="I1497" t="s">
        <v>2482</v>
      </c>
      <c r="J1497" s="6" t="str">
        <f>HYPERLINK("https://www.biovista.com/db/link/%5B%5B%22Disease%7CMyotonic%20dystrophy%20type%201%22%5D,%20%5B%22Drug%7CRitodrine%22%5D%5D?strength-weight-map=%257B%2522MEDLINE_STRENGTH_AB%2522:1.0,%2522HPO%2522:100.0%257D", "Show Evidence...")</f>
        <v>Show Evidence...</v>
      </c>
    </row>
    <row r="1498" spans="1:10" ht="12.75">
      <c r="A1498" s="2" t="s">
        <v>2374</v>
      </c>
      <c r="B1498" s="2" t="s">
        <v>2375</v>
      </c>
      <c r="C1498" s="2" t="s">
        <v>24</v>
      </c>
      <c r="D1498" s="2" t="s">
        <v>2376</v>
      </c>
      <c r="E1498" s="2" t="s">
        <v>53</v>
      </c>
      <c r="F1498" s="11" t="s">
        <v>2501</v>
      </c>
      <c r="G1498" t="s">
        <v>39</v>
      </c>
      <c r="H1498" t="s">
        <v>2502</v>
      </c>
      <c r="I1498" t="s">
        <v>2482</v>
      </c>
      <c r="J1498" s="6" t="str">
        <f>HYPERLINK("https://www.biovista.com/db/link/%5B%5B%22Disease%7CMyotonic%20dystrophy%20type%201%22%5D,%20%5B%22Drug%7CTubocurarine%22%5D%5D?strength-weight-map=%257B%2522MEDLINE_STRENGTH_AB%2522:1.0,%2522HPO%2522:100.0%257D", "Show Evidence...")</f>
        <v>Show Evidence...</v>
      </c>
    </row>
    <row r="1499" spans="1:10" ht="12.75">
      <c r="A1499" s="2" t="s">
        <v>2374</v>
      </c>
      <c r="B1499" s="2" t="s">
        <v>2375</v>
      </c>
      <c r="C1499" s="2" t="s">
        <v>24</v>
      </c>
      <c r="D1499" s="2" t="s">
        <v>2376</v>
      </c>
      <c r="E1499" s="2" t="s">
        <v>53</v>
      </c>
      <c r="F1499" s="11" t="s">
        <v>2503</v>
      </c>
      <c r="G1499" t="s">
        <v>39</v>
      </c>
      <c r="H1499" t="s">
        <v>2504</v>
      </c>
      <c r="I1499" t="s">
        <v>2482</v>
      </c>
      <c r="J1499" s="6" t="str">
        <f>HYPERLINK("https://www.biovista.com/db/link/%5B%5B%22Disease%7CMyotonic%20dystrophy%20type%201%22%5D,%20%5B%22Drug%7CVasopressins%22%5D%5D?strength-weight-map=%257B%2522MEDLINE_STRENGTH_AB%2522:1.0,%2522HPO%2522:100.0%257D", "Show Evidence...")</f>
        <v>Show Evidence...</v>
      </c>
    </row>
    <row r="1500" spans="1:10" ht="12.75">
      <c r="A1500" s="2" t="s">
        <v>2374</v>
      </c>
      <c r="B1500" s="2" t="s">
        <v>2375</v>
      </c>
      <c r="C1500" s="2" t="s">
        <v>24</v>
      </c>
      <c r="D1500" s="2" t="s">
        <v>2376</v>
      </c>
      <c r="E1500" s="2" t="s">
        <v>53</v>
      </c>
      <c r="F1500" s="11" t="s">
        <v>155</v>
      </c>
      <c r="G1500" t="s">
        <v>39</v>
      </c>
      <c r="H1500" t="s">
        <v>156</v>
      </c>
      <c r="I1500" t="s">
        <v>2505</v>
      </c>
      <c r="J1500" s="6" t="str">
        <f>HYPERLINK("https://www.biovista.com/db/link/%5B%5B%22Disease%7CMyotonic%20dystrophy%20type%201%22%5D,%20%5B%22Drug%7CCholine%22%5D%5D?strength-weight-map=%257B%2522MEDLINE_STRENGTH_AB%2522:1.0,%2522HPO%2522:100.0%257D", "Show Evidence...")</f>
        <v>Show Evidence...</v>
      </c>
    </row>
    <row r="1501" spans="1:10" ht="12.75">
      <c r="A1501" s="2" t="s">
        <v>2374</v>
      </c>
      <c r="B1501" s="2" t="s">
        <v>2375</v>
      </c>
      <c r="C1501" s="2" t="s">
        <v>24</v>
      </c>
      <c r="D1501" s="2" t="s">
        <v>2376</v>
      </c>
      <c r="E1501" s="2" t="s">
        <v>53</v>
      </c>
      <c r="F1501" s="11" t="s">
        <v>2506</v>
      </c>
      <c r="G1501" t="s">
        <v>39</v>
      </c>
      <c r="H1501" t="s">
        <v>2507</v>
      </c>
      <c r="I1501" t="s">
        <v>2505</v>
      </c>
      <c r="J1501" s="6" t="str">
        <f>HYPERLINK("https://www.biovista.com/db/link/%5B%5B%22Disease%7CMyotonic%20dystrophy%20type%201%22%5D,%20%5B%22Drug%7CCortisone%22%5D%5D?strength-weight-map=%257B%2522MEDLINE_STRENGTH_AB%2522:1.0,%2522HPO%2522:100.0%257D", "Show Evidence...")</f>
        <v>Show Evidence...</v>
      </c>
    </row>
    <row r="1502" spans="1:10" ht="12.75">
      <c r="A1502" s="2" t="s">
        <v>2374</v>
      </c>
      <c r="B1502" s="2" t="s">
        <v>2375</v>
      </c>
      <c r="C1502" s="2" t="s">
        <v>24</v>
      </c>
      <c r="D1502" s="2" t="s">
        <v>2376</v>
      </c>
      <c r="E1502" s="2" t="s">
        <v>53</v>
      </c>
      <c r="F1502" s="11" t="s">
        <v>2508</v>
      </c>
      <c r="G1502" t="s">
        <v>39</v>
      </c>
      <c r="H1502" t="s">
        <v>2509</v>
      </c>
      <c r="I1502" t="s">
        <v>2505</v>
      </c>
      <c r="J1502" s="6" t="str">
        <f>HYPERLINK("https://www.biovista.com/db/link/%5B%5B%22Disease%7CMyotonic%20dystrophy%20type%201%22%5D,%20%5B%22Drug%7CDeoxyglucose%22%5D%5D?strength-weight-map=%257B%2522MEDLINE_STRENGTH_AB%2522:1.0,%2522HPO%2522:100.0%257D", "Show Evidence...")</f>
        <v>Show Evidence...</v>
      </c>
    </row>
    <row r="1503" spans="1:10" ht="12.75">
      <c r="A1503" s="2" t="s">
        <v>2374</v>
      </c>
      <c r="B1503" s="2" t="s">
        <v>2375</v>
      </c>
      <c r="C1503" s="2" t="s">
        <v>24</v>
      </c>
      <c r="D1503" s="2" t="s">
        <v>2376</v>
      </c>
      <c r="E1503" s="2" t="s">
        <v>53</v>
      </c>
      <c r="F1503" s="11" t="s">
        <v>2510</v>
      </c>
      <c r="G1503" t="s">
        <v>39</v>
      </c>
      <c r="H1503" t="s">
        <v>2511</v>
      </c>
      <c r="I1503" t="s">
        <v>2505</v>
      </c>
      <c r="J1503" s="6" t="str">
        <f>HYPERLINK("https://www.biovista.com/db/link/%5B%5B%22Disease%7CMyotonic%20dystrophy%20type%201%22%5D,%20%5B%22Drug%7CDextroamphetamine%22%5D%5D?strength-weight-map=%257B%2522MEDLINE_STRENGTH_AB%2522:1.0,%2522HPO%2522:100.0%257D", "Show Evidence...")</f>
        <v>Show Evidence...</v>
      </c>
    </row>
    <row r="1504" spans="1:10" ht="12.75">
      <c r="A1504" s="2" t="s">
        <v>2374</v>
      </c>
      <c r="B1504" s="2" t="s">
        <v>2375</v>
      </c>
      <c r="C1504" s="2" t="s">
        <v>24</v>
      </c>
      <c r="D1504" s="2" t="s">
        <v>2376</v>
      </c>
      <c r="E1504" s="2" t="s">
        <v>53</v>
      </c>
      <c r="F1504" s="11" t="s">
        <v>200</v>
      </c>
      <c r="G1504" t="s">
        <v>39</v>
      </c>
      <c r="H1504" t="s">
        <v>201</v>
      </c>
      <c r="I1504" t="s">
        <v>2505</v>
      </c>
      <c r="J1504" s="6" t="str">
        <f>HYPERLINK("https://www.biovista.com/db/link/%5B%5B%22Disease%7CMyotonic%20dystrophy%20type%201%22%5D,%20%5B%22Drug%7CDiazepam%22%5D%5D?strength-weight-map=%257B%2522MEDLINE_STRENGTH_AB%2522:1.0,%2522HPO%2522:100.0%257D", "Show Evidence...")</f>
        <v>Show Evidence...</v>
      </c>
    </row>
    <row r="1505" spans="1:10" ht="12.75">
      <c r="A1505" s="2" t="s">
        <v>2374</v>
      </c>
      <c r="B1505" s="2" t="s">
        <v>2375</v>
      </c>
      <c r="C1505" s="2" t="s">
        <v>24</v>
      </c>
      <c r="D1505" s="2" t="s">
        <v>2376</v>
      </c>
      <c r="E1505" s="2" t="s">
        <v>53</v>
      </c>
      <c r="F1505" s="11" t="s">
        <v>2512</v>
      </c>
      <c r="G1505" t="s">
        <v>39</v>
      </c>
      <c r="H1505" t="s">
        <v>2513</v>
      </c>
      <c r="I1505" t="s">
        <v>2505</v>
      </c>
      <c r="J1505" s="6" t="str">
        <f>HYPERLINK("https://www.biovista.com/db/link/%5B%5B%22Disease%7CMyotonic%20dystrophy%20type%201%22%5D,%20%5B%22Drug%7CErythromycin%22%5D%5D?strength-weight-map=%257B%2522MEDLINE_STRENGTH_AB%2522:1.0,%2522HPO%2522:100.0%257D", "Show Evidence...")</f>
        <v>Show Evidence...</v>
      </c>
    </row>
    <row r="1506" spans="1:10" ht="12.75">
      <c r="A1506" s="2" t="s">
        <v>2374</v>
      </c>
      <c r="B1506" s="2" t="s">
        <v>2375</v>
      </c>
      <c r="C1506" s="2" t="s">
        <v>24</v>
      </c>
      <c r="D1506" s="2" t="s">
        <v>2376</v>
      </c>
      <c r="E1506" s="2" t="s">
        <v>53</v>
      </c>
      <c r="F1506" s="11" t="s">
        <v>2514</v>
      </c>
      <c r="G1506" t="s">
        <v>39</v>
      </c>
      <c r="H1506" t="s">
        <v>2515</v>
      </c>
      <c r="I1506" t="s">
        <v>2505</v>
      </c>
      <c r="J1506" s="6" t="str">
        <f>HYPERLINK("https://www.biovista.com/db/link/%5B%5B%22Disease%7CMyotonic%20dystrophy%20type%201%22%5D,%20%5B%22Drug%7CFlumazenil%22%5D%5D?strength-weight-map=%257B%2522MEDLINE_STRENGTH_AB%2522:1.0,%2522HPO%2522:100.0%257D", "Show Evidence...")</f>
        <v>Show Evidence...</v>
      </c>
    </row>
    <row r="1507" spans="1:10" ht="12.75">
      <c r="A1507" s="2" t="s">
        <v>2374</v>
      </c>
      <c r="B1507" s="2" t="s">
        <v>2375</v>
      </c>
      <c r="C1507" s="2" t="s">
        <v>24</v>
      </c>
      <c r="D1507" s="2" t="s">
        <v>2376</v>
      </c>
      <c r="E1507" s="2" t="s">
        <v>53</v>
      </c>
      <c r="F1507" s="11" t="s">
        <v>968</v>
      </c>
      <c r="G1507" t="s">
        <v>39</v>
      </c>
      <c r="H1507" t="s">
        <v>969</v>
      </c>
      <c r="I1507" t="s">
        <v>2505</v>
      </c>
      <c r="J1507" s="6" t="str">
        <f>HYPERLINK("https://www.biovista.com/db/link/%5B%5B%22Disease%7CMyotonic%20dystrophy%20type%201%22%5D,%20%5B%22Drug%7CImmunoglobulin%20G%22%5D%5D?strength-weight-map=%257B%2522MEDLINE_STRENGTH_AB%2522:1.0,%2522HPO%2522:100.0%257D", "Show Evidence...")</f>
        <v>Show Evidence...</v>
      </c>
    </row>
    <row r="1508" spans="1:10" ht="12.75">
      <c r="A1508" s="2" t="s">
        <v>2374</v>
      </c>
      <c r="B1508" s="2" t="s">
        <v>2375</v>
      </c>
      <c r="C1508" s="2" t="s">
        <v>24</v>
      </c>
      <c r="D1508" s="2" t="s">
        <v>2376</v>
      </c>
      <c r="E1508" s="2" t="s">
        <v>53</v>
      </c>
      <c r="F1508" s="11" t="s">
        <v>2516</v>
      </c>
      <c r="G1508" t="s">
        <v>39</v>
      </c>
      <c r="H1508" t="s">
        <v>2517</v>
      </c>
      <c r="I1508" t="s">
        <v>2505</v>
      </c>
      <c r="J1508" s="6" t="str">
        <f>HYPERLINK("https://www.biovista.com/db/link/%5B%5B%22Disease%7CMyotonic%20dystrophy%20type%201%22%5D,%20%5B%22Drug%7CSelegiline%22%5D%5D?strength-weight-map=%257B%2522MEDLINE_STRENGTH_AB%2522:1.0,%2522HPO%2522:100.0%257D", "Show Evidence...")</f>
        <v>Show Evidence...</v>
      </c>
    </row>
    <row r="1509" spans="1:10" ht="12.75">
      <c r="A1509" s="2" t="s">
        <v>2374</v>
      </c>
      <c r="B1509" s="2" t="s">
        <v>2375</v>
      </c>
      <c r="C1509" s="2" t="s">
        <v>24</v>
      </c>
      <c r="D1509" s="2" t="s">
        <v>2376</v>
      </c>
      <c r="E1509" s="2" t="s">
        <v>53</v>
      </c>
      <c r="F1509" s="11" t="s">
        <v>90</v>
      </c>
      <c r="G1509" t="s">
        <v>39</v>
      </c>
      <c r="H1509" t="s">
        <v>91</v>
      </c>
      <c r="I1509" t="s">
        <v>2505</v>
      </c>
      <c r="J1509" s="6" t="str">
        <f>HYPERLINK("https://www.biovista.com/db/link/%5B%5B%22Disease%7CMyotonic%20dystrophy%20type%201%22%5D,%20%5B%22Drug%7CSuperoxide%20Dismutase%22%5D%5D?strength-weight-map=%257B%2522MEDLINE_STRENGTH_AB%2522:1.0,%2522HPO%2522:100.0%257D", "Show Evidence...")</f>
        <v>Show Evidence...</v>
      </c>
    </row>
    <row r="1510" spans="1:10" ht="12.75">
      <c r="A1510" s="2" t="s">
        <v>2374</v>
      </c>
      <c r="B1510" s="2" t="s">
        <v>2375</v>
      </c>
      <c r="C1510" s="2" t="s">
        <v>24</v>
      </c>
      <c r="D1510" s="2" t="s">
        <v>2376</v>
      </c>
      <c r="E1510" s="2" t="s">
        <v>293</v>
      </c>
      <c r="F1510" s="11">
        <v>1760</v>
      </c>
      <c r="G1510" t="s">
        <v>36</v>
      </c>
      <c r="H1510" t="s">
        <v>2518</v>
      </c>
      <c r="I1510" t="s">
        <v>2519</v>
      </c>
      <c r="J1510" s="6" t="str">
        <f>HYPERLINK("https://www.biovista.com/db/link/%5B%5B%22Disease%7CMyotonic%20dystrophy%20type%201%22%5D,%20%5B%22Gene%7CDMPK%22%5D%5D?strength-weight-map=%257B%2522MEDLINE_STRENGTH_AB%2522:1.0,%2522HPO%2522:100.0%257D", "Show Evidence...")</f>
        <v>Show Evidence...</v>
      </c>
    </row>
    <row r="1511" spans="1:10" ht="12.75">
      <c r="A1511" s="2" t="s">
        <v>2374</v>
      </c>
      <c r="B1511" s="2" t="s">
        <v>2375</v>
      </c>
      <c r="C1511" s="2" t="s">
        <v>24</v>
      </c>
      <c r="D1511" s="2" t="s">
        <v>2376</v>
      </c>
      <c r="E1511" s="2" t="s">
        <v>293</v>
      </c>
      <c r="F1511" s="11">
        <v>1760</v>
      </c>
      <c r="G1511" t="s">
        <v>36</v>
      </c>
      <c r="H1511" t="s">
        <v>2520</v>
      </c>
      <c r="I1511" t="s">
        <v>2521</v>
      </c>
      <c r="J1511" s="6" t="str">
        <f>HYPERLINK("https://www.biovista.com/db/link/%5B%5B%22Disease%7CMyotonic%20dystrophy%20type%201%22%5D,%20%5B%22Gene%7CDM1%22%5D%5D?strength-weight-map=%257B%2522MEDLINE_STRENGTH_AB%2522:1.0,%2522HPO%2522:100.0%257D", "Show Evidence...")</f>
        <v>Show Evidence...</v>
      </c>
    </row>
    <row r="1512" spans="1:10" ht="12.75">
      <c r="A1512" s="2" t="s">
        <v>2374</v>
      </c>
      <c r="B1512" s="2" t="s">
        <v>2375</v>
      </c>
      <c r="C1512" s="2" t="s">
        <v>24</v>
      </c>
      <c r="D1512" s="2" t="s">
        <v>2376</v>
      </c>
      <c r="E1512" s="2" t="s">
        <v>293</v>
      </c>
      <c r="F1512" s="11">
        <v>1760</v>
      </c>
      <c r="G1512" t="s">
        <v>36</v>
      </c>
      <c r="H1512" t="s">
        <v>2522</v>
      </c>
      <c r="I1512" t="s">
        <v>2523</v>
      </c>
      <c r="J1512" s="6" t="str">
        <f>HYPERLINK("https://www.biovista.com/db/link/%5B%5B%22Disease%7CMyotonic%20dystrophy%20type%201%22%5D,%20%5B%22Gene%7Cmyotonin-protein%20kinase%22%5D%5D?strength-weight-map=%257B%2522MEDLINE_STRENGTH_AB%2522:1.0,%2522HPO%2522:100.0%257D", "Show Evidence...")</f>
        <v>Show Evidence...</v>
      </c>
    </row>
    <row r="1513" spans="1:10" ht="12.75">
      <c r="A1513" s="2" t="s">
        <v>2374</v>
      </c>
      <c r="B1513" s="2" t="s">
        <v>2375</v>
      </c>
      <c r="C1513" s="2" t="s">
        <v>24</v>
      </c>
      <c r="D1513" s="2" t="s">
        <v>2376</v>
      </c>
      <c r="E1513" s="2" t="s">
        <v>293</v>
      </c>
      <c r="F1513" s="11">
        <v>4154</v>
      </c>
      <c r="G1513" t="s">
        <v>36</v>
      </c>
      <c r="H1513" t="s">
        <v>2524</v>
      </c>
      <c r="I1513" t="s">
        <v>2525</v>
      </c>
      <c r="J1513" s="6" t="str">
        <f>HYPERLINK("https://www.biovista.com/db/link/%5B%5B%22Disease%7CMyotonic%20dystrophy%20type%201%22%5D,%20%5B%22Gene%7CMBNL1%22%5D%5D?strength-weight-map=%257B%2522MEDLINE_STRENGTH_AB%2522:1.0,%2522HPO%2522:100.0%257D", "Show Evidence...")</f>
        <v>Show Evidence...</v>
      </c>
    </row>
    <row r="1514" spans="1:10" ht="12.75">
      <c r="A1514" s="2" t="s">
        <v>2374</v>
      </c>
      <c r="B1514" s="2" t="s">
        <v>2375</v>
      </c>
      <c r="C1514" s="2" t="s">
        <v>24</v>
      </c>
      <c r="D1514" s="2" t="s">
        <v>2376</v>
      </c>
      <c r="E1514" s="2" t="s">
        <v>293</v>
      </c>
      <c r="F1514" s="11">
        <v>7555</v>
      </c>
      <c r="G1514" t="s">
        <v>36</v>
      </c>
      <c r="H1514" t="s">
        <v>2526</v>
      </c>
      <c r="I1514" t="s">
        <v>2527</v>
      </c>
      <c r="J1514" s="6" t="str">
        <f>HYPERLINK("https://www.biovista.com/db/link/%5B%5B%22Disease%7CMyotonic%20dystrophy%20type%201%22%5D,%20%5B%22Gene%7CDM2%22%5D%5D?strength-weight-map=%257B%2522MEDLINE_STRENGTH_AB%2522:1.0,%2522HPO%2522:100.0%257D", "Show Evidence...")</f>
        <v>Show Evidence...</v>
      </c>
    </row>
    <row r="1515" spans="1:10" ht="12.75">
      <c r="A1515" s="2" t="s">
        <v>2374</v>
      </c>
      <c r="B1515" s="2" t="s">
        <v>2375</v>
      </c>
      <c r="C1515" s="2" t="s">
        <v>24</v>
      </c>
      <c r="D1515" s="2" t="s">
        <v>2376</v>
      </c>
      <c r="E1515" s="2" t="s">
        <v>293</v>
      </c>
      <c r="F1515" s="11">
        <v>7203</v>
      </c>
      <c r="G1515" t="s">
        <v>36</v>
      </c>
      <c r="H1515" t="s">
        <v>2528</v>
      </c>
      <c r="I1515" t="s">
        <v>2529</v>
      </c>
      <c r="J1515" s="6" t="str">
        <f>HYPERLINK("https://www.biovista.com/db/link/%5B%5B%22Disease%7CMyotonic%20dystrophy%20type%201%22%5D,%20%5B%22Gene%7CCCTG%22%5D%5D?strength-weight-map=%257B%2522MEDLINE_STRENGTH_AB%2522:1.0,%2522HPO%2522:100.0%257D", "Show Evidence...")</f>
        <v>Show Evidence...</v>
      </c>
    </row>
    <row r="1516" spans="1:10" ht="12.75">
      <c r="A1516" s="2" t="s">
        <v>2374</v>
      </c>
      <c r="B1516" s="2" t="s">
        <v>2375</v>
      </c>
      <c r="C1516" s="2" t="s">
        <v>24</v>
      </c>
      <c r="D1516" s="2" t="s">
        <v>2376</v>
      </c>
      <c r="E1516" s="2" t="s">
        <v>293</v>
      </c>
      <c r="F1516" s="11">
        <v>13400</v>
      </c>
      <c r="G1516" t="s">
        <v>36</v>
      </c>
      <c r="H1516" t="s">
        <v>2530</v>
      </c>
      <c r="I1516" t="s">
        <v>2531</v>
      </c>
      <c r="J1516" s="6" t="str">
        <f>HYPERLINK("https://www.biovista.com/db/link/%5B%5B%22Disease%7CMyotonic%20dystrophy%20type%201%22%5D,%20%5B%22Gene%7CMyotonic%20dystrophy%20protein%20kinase%22%5D%5D?strength-weight-map=%257B%2522MEDLINE_STRENGTH_AB%2522:1.0,%2522HPO%2522:100.0%257D", "Show Evidence...")</f>
        <v>Show Evidence...</v>
      </c>
    </row>
    <row r="1517" spans="1:10" ht="12.75">
      <c r="A1517" s="2" t="s">
        <v>2374</v>
      </c>
      <c r="B1517" s="2" t="s">
        <v>2375</v>
      </c>
      <c r="C1517" s="2" t="s">
        <v>24</v>
      </c>
      <c r="D1517" s="2" t="s">
        <v>2376</v>
      </c>
      <c r="E1517" s="2" t="s">
        <v>293</v>
      </c>
      <c r="F1517" s="11">
        <v>7555</v>
      </c>
      <c r="G1517" t="s">
        <v>36</v>
      </c>
      <c r="H1517" t="s">
        <v>2532</v>
      </c>
      <c r="I1517" t="s">
        <v>2533</v>
      </c>
      <c r="J1517" s="6" t="str">
        <f>HYPERLINK("https://www.biovista.com/db/link/%5B%5B%22Disease%7CMyotonic%20dystrophy%20type%201%22%5D,%20%5B%22Gene%7CCNBP%22%5D%5D?strength-weight-map=%257B%2522MEDLINE_STRENGTH_AB%2522:1.0,%2522HPO%2522:100.0%257D", "Show Evidence...")</f>
        <v>Show Evidence...</v>
      </c>
    </row>
    <row r="1518" spans="1:10" ht="12.75">
      <c r="A1518" s="2" t="s">
        <v>2374</v>
      </c>
      <c r="B1518" s="2" t="s">
        <v>2375</v>
      </c>
      <c r="C1518" s="2" t="s">
        <v>24</v>
      </c>
      <c r="D1518" s="2" t="s">
        <v>2376</v>
      </c>
      <c r="E1518" s="2" t="s">
        <v>293</v>
      </c>
      <c r="F1518" s="11">
        <v>3630</v>
      </c>
      <c r="G1518" t="s">
        <v>36</v>
      </c>
      <c r="H1518" t="s">
        <v>358</v>
      </c>
      <c r="I1518" t="s">
        <v>2534</v>
      </c>
      <c r="J1518" s="6" t="str">
        <f>HYPERLINK("https://www.biovista.com/db/link/%5B%5B%22Disease%7CMyotonic%20dystrophy%20type%201%22%5D,%20%5B%22Gene%7CINS%22%5D%5D?strength-weight-map=%257B%2522MEDLINE_STRENGTH_AB%2522:1.0,%2522HPO%2522:100.0%257D", "Show Evidence...")</f>
        <v>Show Evidence...</v>
      </c>
    </row>
    <row r="1519" spans="1:10" ht="12.75">
      <c r="A1519" s="2" t="s">
        <v>2374</v>
      </c>
      <c r="B1519" s="2" t="s">
        <v>2375</v>
      </c>
      <c r="C1519" s="2" t="s">
        <v>24</v>
      </c>
      <c r="D1519" s="2" t="s">
        <v>2376</v>
      </c>
      <c r="E1519" s="2" t="s">
        <v>293</v>
      </c>
      <c r="F1519" s="11">
        <v>100176946</v>
      </c>
      <c r="G1519" t="s">
        <v>36</v>
      </c>
      <c r="H1519" t="s">
        <v>401</v>
      </c>
      <c r="I1519" t="s">
        <v>2535</v>
      </c>
      <c r="J1519" s="6" t="str">
        <f>HYPERLINK("https://www.biovista.com/db/link/%5B%5B%22Disease%7CMyotonic%20dystrophy%20type%201%22%5D,%20%5B%22Gene%7Ccreatine%20kinase%22%5D%5D?strength-weight-map=%257B%2522MEDLINE_STRENGTH_AB%2522:1.0,%2522HPO%2522:100.0%257D", "Show Evidence...")</f>
        <v>Show Evidence...</v>
      </c>
    </row>
    <row r="1520" spans="1:10" ht="12.75">
      <c r="A1520" s="2" t="s">
        <v>2374</v>
      </c>
      <c r="B1520" s="2" t="s">
        <v>2375</v>
      </c>
      <c r="C1520" s="2" t="s">
        <v>24</v>
      </c>
      <c r="D1520" s="2" t="s">
        <v>2376</v>
      </c>
      <c r="E1520" s="2" t="s">
        <v>53</v>
      </c>
      <c r="F1520" s="11" t="s">
        <v>2536</v>
      </c>
      <c r="G1520" t="s">
        <v>36</v>
      </c>
      <c r="H1520" t="s">
        <v>2537</v>
      </c>
      <c r="I1520" t="s">
        <v>2538</v>
      </c>
      <c r="J1520" s="6" t="str">
        <f>HYPERLINK("https://www.biovista.com/db/link/%5B%5B%22Disease%7CMyotonic%20dystrophy%20type%201%22%5D,%20%5B%22Gene%7CDM%20Kinase%22%5D%5D?strength-weight-map=%257B%2522MEDLINE_STRENGTH_AB%2522:1.0,%2522HPO%2522:100.0%257D", "Show Evidence...")</f>
        <v>Show Evidence...</v>
      </c>
    </row>
    <row r="1521" spans="1:10" ht="12.75">
      <c r="A1521" s="2" t="s">
        <v>2374</v>
      </c>
      <c r="B1521" s="2" t="s">
        <v>2375</v>
      </c>
      <c r="C1521" s="2" t="s">
        <v>24</v>
      </c>
      <c r="D1521" s="2" t="s">
        <v>2376</v>
      </c>
      <c r="E1521" s="2" t="s">
        <v>293</v>
      </c>
      <c r="F1521" s="11">
        <v>10658</v>
      </c>
      <c r="G1521" t="s">
        <v>36</v>
      </c>
      <c r="H1521" t="s">
        <v>2539</v>
      </c>
      <c r="I1521" t="s">
        <v>2540</v>
      </c>
      <c r="J1521" s="6" t="str">
        <f>HYPERLINK("https://www.biovista.com/db/link/%5B%5B%22Disease%7CMyotonic%20dystrophy%20type%201%22%5D,%20%5B%22Gene%7CCELF1%22%5D%5D?strength-weight-map=%257B%2522MEDLINE_STRENGTH_AB%2522:1.0,%2522HPO%2522:100.0%257D", "Show Evidence...")</f>
        <v>Show Evidence...</v>
      </c>
    </row>
    <row r="1522" spans="1:10" ht="12.75">
      <c r="A1522" s="2" t="s">
        <v>2374</v>
      </c>
      <c r="B1522" s="2" t="s">
        <v>2375</v>
      </c>
      <c r="C1522" s="2" t="s">
        <v>24</v>
      </c>
      <c r="D1522" s="2" t="s">
        <v>2376</v>
      </c>
      <c r="E1522" s="2" t="s">
        <v>293</v>
      </c>
      <c r="F1522" s="11">
        <v>1760</v>
      </c>
      <c r="G1522" t="s">
        <v>36</v>
      </c>
      <c r="H1522" t="s">
        <v>2541</v>
      </c>
      <c r="I1522" t="s">
        <v>2542</v>
      </c>
      <c r="J1522" s="6" t="str">
        <f>HYPERLINK("https://www.biovista.com/db/link/%5B%5B%22Disease%7CMyotonic%20dystrophy%20type%201%22%5D,%20%5B%22Gene%7Cdystrophia%20myotonica%20protein%20kinase%22%5D%5D?strength-weight-map=%257B%2522MEDLINE_STRENGTH_AB%2522:1.0,%2522HPO%2522:100.0%257D", "Show Evidence...")</f>
        <v>Show Evidence...</v>
      </c>
    </row>
    <row r="1523" spans="1:10" ht="12.75">
      <c r="A1523" s="2" t="s">
        <v>2374</v>
      </c>
      <c r="B1523" s="2" t="s">
        <v>2375</v>
      </c>
      <c r="C1523" s="2" t="s">
        <v>24</v>
      </c>
      <c r="D1523" s="2" t="s">
        <v>2376</v>
      </c>
      <c r="E1523" s="2" t="s">
        <v>53</v>
      </c>
      <c r="F1523" s="11" t="s">
        <v>2543</v>
      </c>
      <c r="G1523" t="s">
        <v>36</v>
      </c>
      <c r="H1523" t="s">
        <v>2544</v>
      </c>
      <c r="I1523" t="s">
        <v>2545</v>
      </c>
      <c r="J1523" s="6" t="str">
        <f>HYPERLINK("https://www.biovista.com/db/link/%5B%5B%22Disease%7CMyotonic%20dystrophy%20type%201%22%5D,%20%5B%22Gene%7CCELF1%20Protein%22%5D%5D?strength-weight-map=%257B%2522MEDLINE_STRENGTH_AB%2522:1.0,%2522HPO%2522:100.0%257D", "Show Evidence...")</f>
        <v>Show Evidence...</v>
      </c>
    </row>
    <row r="1524" spans="1:10" ht="12.75">
      <c r="A1524" s="2" t="s">
        <v>2374</v>
      </c>
      <c r="B1524" s="2" t="s">
        <v>2375</v>
      </c>
      <c r="C1524" s="2" t="s">
        <v>24</v>
      </c>
      <c r="D1524" s="2" t="s">
        <v>2376</v>
      </c>
      <c r="E1524" s="2" t="s">
        <v>293</v>
      </c>
      <c r="F1524" s="11">
        <v>56758</v>
      </c>
      <c r="G1524" t="s">
        <v>36</v>
      </c>
      <c r="H1524" t="s">
        <v>2546</v>
      </c>
      <c r="I1524" t="s">
        <v>2547</v>
      </c>
      <c r="J1524" s="6" t="str">
        <f>HYPERLINK("https://www.biovista.com/db/link/%5B%5B%22Disease%7CMyotonic%20dystrophy%20type%201%22%5D,%20%5B%22Gene%7Cmuscleblind-like%201%22%5D%5D?strength-weight-map=%257B%2522MEDLINE_STRENGTH_AB%2522:1.0,%2522HPO%2522:100.0%257D", "Show Evidence...")</f>
        <v>Show Evidence...</v>
      </c>
    </row>
    <row r="1525" spans="1:10" ht="12.75">
      <c r="A1525" s="2" t="s">
        <v>2374</v>
      </c>
      <c r="B1525" s="2" t="s">
        <v>2375</v>
      </c>
      <c r="C1525" s="2" t="s">
        <v>24</v>
      </c>
      <c r="D1525" s="2" t="s">
        <v>2376</v>
      </c>
      <c r="E1525" s="2" t="s">
        <v>293</v>
      </c>
      <c r="F1525" s="11">
        <v>1180</v>
      </c>
      <c r="G1525" t="s">
        <v>36</v>
      </c>
      <c r="H1525" t="s">
        <v>2548</v>
      </c>
      <c r="I1525" t="s">
        <v>2549</v>
      </c>
      <c r="J1525" s="6" t="str">
        <f>HYPERLINK("https://www.biovista.com/db/link/%5B%5B%22Disease%7CMyotonic%20dystrophy%20type%201%22%5D,%20%5B%22Gene%7CCLCN1%22%5D%5D?strength-weight-map=%257B%2522MEDLINE_STRENGTH_AB%2522:1.0,%2522HPO%2522:100.0%257D", "Show Evidence...")</f>
        <v>Show Evidence...</v>
      </c>
    </row>
    <row r="1526" spans="1:10" ht="12.75">
      <c r="A1526" s="2" t="s">
        <v>2374</v>
      </c>
      <c r="B1526" s="2" t="s">
        <v>2375</v>
      </c>
      <c r="C1526" s="2" t="s">
        <v>24</v>
      </c>
      <c r="D1526" s="2" t="s">
        <v>2376</v>
      </c>
      <c r="E1526" s="2" t="s">
        <v>293</v>
      </c>
      <c r="F1526" s="11">
        <v>7555</v>
      </c>
      <c r="G1526" t="s">
        <v>36</v>
      </c>
      <c r="H1526" t="s">
        <v>2550</v>
      </c>
      <c r="I1526" t="s">
        <v>2551</v>
      </c>
      <c r="J1526" s="6" t="str">
        <f>HYPERLINK("https://www.biovista.com/db/link/%5B%5B%22Disease%7CMyotonic%20dystrophy%20type%201%22%5D,%20%5B%22Gene%7CZNF9%22%5D%5D?strength-weight-map=%257B%2522MEDLINE_STRENGTH_AB%2522:1.0,%2522HPO%2522:100.0%257D", "Show Evidence...")</f>
        <v>Show Evidence...</v>
      </c>
    </row>
    <row r="1527" spans="1:10" ht="12.75">
      <c r="A1527" s="2" t="s">
        <v>2374</v>
      </c>
      <c r="B1527" s="2" t="s">
        <v>2375</v>
      </c>
      <c r="C1527" s="2" t="s">
        <v>24</v>
      </c>
      <c r="D1527" s="2" t="s">
        <v>2376</v>
      </c>
      <c r="E1527" s="2" t="s">
        <v>293</v>
      </c>
      <c r="F1527" s="11">
        <v>2395</v>
      </c>
      <c r="G1527" t="s">
        <v>36</v>
      </c>
      <c r="H1527" t="s">
        <v>2055</v>
      </c>
      <c r="I1527" t="s">
        <v>2552</v>
      </c>
      <c r="J1527" s="6" t="str">
        <f>HYPERLINK("https://www.biovista.com/db/link/%5B%5B%22Disease%7CMyotonic%20dystrophy%20type%201%22%5D,%20%5B%22Gene%7CFXN%22%5D%5D?strength-weight-map=%257B%2522MEDLINE_STRENGTH_AB%2522:1.0,%2522HPO%2522:100.0%257D", "Show Evidence...")</f>
        <v>Show Evidence...</v>
      </c>
    </row>
    <row r="1528" spans="1:10" ht="12.75">
      <c r="A1528" s="2" t="s">
        <v>2374</v>
      </c>
      <c r="B1528" s="2" t="s">
        <v>2375</v>
      </c>
      <c r="C1528" s="2" t="s">
        <v>24</v>
      </c>
      <c r="D1528" s="2" t="s">
        <v>2376</v>
      </c>
      <c r="E1528" s="2" t="s">
        <v>53</v>
      </c>
      <c r="F1528" s="11" t="s">
        <v>2553</v>
      </c>
      <c r="G1528" t="s">
        <v>36</v>
      </c>
      <c r="H1528" t="s">
        <v>2554</v>
      </c>
      <c r="I1528" t="s">
        <v>2555</v>
      </c>
      <c r="J1528" s="6" t="str">
        <f>HYPERLINK("https://www.biovista.com/db/link/%5B%5B%22Disease%7CMyotonic%20dystrophy%20type%201%22%5D,%20%5B%22Gene%7CRNA%20Splicing%20Factors%22%5D%5D?strength-weight-map=%257B%2522MEDLINE_STRENGTH_AB%2522:1.0,%2522HPO%2522:100.0%257D", "Show Evidence...")</f>
        <v>Show Evidence...</v>
      </c>
    </row>
    <row r="1529" spans="1:10" ht="12.75">
      <c r="A1529" s="2" t="s">
        <v>2374</v>
      </c>
      <c r="B1529" s="2" t="s">
        <v>2375</v>
      </c>
      <c r="C1529" s="2" t="s">
        <v>24</v>
      </c>
      <c r="D1529" s="2" t="s">
        <v>2376</v>
      </c>
      <c r="E1529" s="2" t="s">
        <v>293</v>
      </c>
      <c r="F1529" s="11">
        <v>2542007</v>
      </c>
      <c r="G1529" t="s">
        <v>36</v>
      </c>
      <c r="H1529" t="s">
        <v>2556</v>
      </c>
      <c r="I1529" t="s">
        <v>2557</v>
      </c>
      <c r="J1529" s="6" t="str">
        <f>HYPERLINK("https://www.biovista.com/db/link/%5B%5B%22Disease%7CMyotonic%20dystrophy%20type%201%22%5D,%20%5B%22Gene%7Crhp57%22%5D%5D?strength-weight-map=%257B%2522MEDLINE_STRENGTH_AB%2522:1.0,%2522HPO%2522:100.0%257D", "Show Evidence...")</f>
        <v>Show Evidence...</v>
      </c>
    </row>
    <row r="1530" spans="1:10" ht="12.75">
      <c r="A1530" s="2" t="s">
        <v>2374</v>
      </c>
      <c r="B1530" s="2" t="s">
        <v>2375</v>
      </c>
      <c r="C1530" s="2" t="s">
        <v>24</v>
      </c>
      <c r="D1530" s="2" t="s">
        <v>2376</v>
      </c>
      <c r="E1530" s="2" t="s">
        <v>293</v>
      </c>
      <c r="F1530" s="11">
        <v>147912</v>
      </c>
      <c r="G1530" t="s">
        <v>36</v>
      </c>
      <c r="H1530" t="s">
        <v>2558</v>
      </c>
      <c r="I1530" t="s">
        <v>2559</v>
      </c>
      <c r="J1530" s="6" t="str">
        <f>HYPERLINK("https://www.biovista.com/db/link/%5B%5B%22Disease%7CMyotonic%20dystrophy%20type%201%22%5D,%20%5B%22Gene%7CSIX5%22%5D%5D?strength-weight-map=%257B%2522MEDLINE_STRENGTH_AB%2522:1.0,%2522HPO%2522:100.0%257D", "Show Evidence...")</f>
        <v>Show Evidence...</v>
      </c>
    </row>
    <row r="1531" spans="1:10" ht="12.75">
      <c r="A1531" s="2" t="s">
        <v>2374</v>
      </c>
      <c r="B1531" s="2" t="s">
        <v>2375</v>
      </c>
      <c r="C1531" s="2" t="s">
        <v>24</v>
      </c>
      <c r="D1531" s="2" t="s">
        <v>2376</v>
      </c>
      <c r="E1531" s="2" t="s">
        <v>293</v>
      </c>
      <c r="F1531" s="11">
        <v>3643</v>
      </c>
      <c r="G1531" t="s">
        <v>36</v>
      </c>
      <c r="H1531" t="s">
        <v>2560</v>
      </c>
      <c r="I1531" t="s">
        <v>2561</v>
      </c>
      <c r="J1531" s="6" t="str">
        <f>HYPERLINK("https://www.biovista.com/db/link/%5B%5B%22Disease%7CMyotonic%20dystrophy%20type%201%22%5D,%20%5B%22Gene%7Cinsulin%20receptor%22%5D%5D?strength-weight-map=%257B%2522MEDLINE_STRENGTH_AB%2522:1.0,%2522HPO%2522:100.0%257D", "Show Evidence...")</f>
        <v>Show Evidence...</v>
      </c>
    </row>
    <row r="1532" spans="1:10" ht="12.75">
      <c r="A1532" s="2" t="s">
        <v>2374</v>
      </c>
      <c r="B1532" s="2" t="s">
        <v>2375</v>
      </c>
      <c r="C1532" s="2" t="s">
        <v>24</v>
      </c>
      <c r="D1532" s="2" t="s">
        <v>2376</v>
      </c>
      <c r="E1532" s="2" t="s">
        <v>293</v>
      </c>
      <c r="F1532" s="11">
        <v>10150</v>
      </c>
      <c r="G1532" t="s">
        <v>36</v>
      </c>
      <c r="H1532" t="s">
        <v>2562</v>
      </c>
      <c r="I1532" t="s">
        <v>2561</v>
      </c>
      <c r="J1532" s="6" t="str">
        <f>HYPERLINK("https://www.biovista.com/db/link/%5B%5B%22Disease%7CMyotonic%20dystrophy%20type%201%22%5D,%20%5B%22Gene%7CMBNL2%22%5D%5D?strength-weight-map=%257B%2522MEDLINE_STRENGTH_AB%2522:1.0,%2522HPO%2522:100.0%257D", "Show Evidence...")</f>
        <v>Show Evidence...</v>
      </c>
    </row>
    <row r="1533" spans="1:10" ht="12.75">
      <c r="A1533" s="2" t="s">
        <v>2374</v>
      </c>
      <c r="B1533" s="2" t="s">
        <v>2375</v>
      </c>
      <c r="C1533" s="2" t="s">
        <v>24</v>
      </c>
      <c r="D1533" s="2" t="s">
        <v>2376</v>
      </c>
      <c r="E1533" s="2" t="s">
        <v>293</v>
      </c>
      <c r="F1533" s="11">
        <v>1760</v>
      </c>
      <c r="G1533" t="s">
        <v>36</v>
      </c>
      <c r="H1533" t="s">
        <v>2563</v>
      </c>
      <c r="I1533" t="s">
        <v>2564</v>
      </c>
      <c r="J1533" s="6" t="str">
        <f>HYPERLINK("https://www.biovista.com/db/link/%5B%5B%22Disease%7CMyotonic%20dystrophy%20type%201%22%5D,%20%5B%22Gene%7CDM%20protein%20kinase%22%5D%5D?strength-weight-map=%257B%2522MEDLINE_STRENGTH_AB%2522:1.0,%2522HPO%2522:100.0%257D", "Show Evidence...")</f>
        <v>Show Evidence...</v>
      </c>
    </row>
    <row r="1534" spans="1:10" ht="12.75">
      <c r="A1534" s="2" t="s">
        <v>2374</v>
      </c>
      <c r="B1534" s="2" t="s">
        <v>2375</v>
      </c>
      <c r="C1534" s="2" t="s">
        <v>24</v>
      </c>
      <c r="D1534" s="2" t="s">
        <v>2376</v>
      </c>
      <c r="E1534" s="2" t="s">
        <v>293</v>
      </c>
      <c r="F1534" s="11">
        <v>10658</v>
      </c>
      <c r="G1534" t="s">
        <v>36</v>
      </c>
      <c r="H1534" t="s">
        <v>2565</v>
      </c>
      <c r="I1534" t="s">
        <v>2566</v>
      </c>
      <c r="J1534" s="6" t="str">
        <f>HYPERLINK("https://www.biovista.com/db/link/%5B%5B%22Disease%7CMyotonic%20dystrophy%20type%201%22%5D,%20%5B%22Gene%7CCUGBP1%22%5D%5D?strength-weight-map=%257B%2522MEDLINE_STRENGTH_AB%2522:1.0,%2522HPO%2522:100.0%257D", "Show Evidence...")</f>
        <v>Show Evidence...</v>
      </c>
    </row>
    <row r="1535" spans="1:10" ht="12.75">
      <c r="A1535" s="2" t="s">
        <v>2374</v>
      </c>
      <c r="B1535" s="2" t="s">
        <v>2375</v>
      </c>
      <c r="C1535" s="2" t="s">
        <v>24</v>
      </c>
      <c r="D1535" s="2" t="s">
        <v>2376</v>
      </c>
      <c r="E1535" s="2" t="s">
        <v>53</v>
      </c>
      <c r="F1535" s="11" t="s">
        <v>2567</v>
      </c>
      <c r="G1535" t="s">
        <v>36</v>
      </c>
      <c r="H1535" t="s">
        <v>2568</v>
      </c>
      <c r="I1535" t="s">
        <v>2569</v>
      </c>
      <c r="J1535" s="6" t="str">
        <f>HYPERLINK("https://www.biovista.com/db/link/%5B%5B%22Disease%7CMyotonic%20dystrophy%20type%201%22%5D,%20%5B%22Gene%7CReceptor,%20Insulin%22%5D%5D?strength-weight-map=%257B%2522MEDLINE_STRENGTH_AB%2522:1.0,%2522HPO%2522:100.0%257D", "Show Evidence...")</f>
        <v>Show Evidence...</v>
      </c>
    </row>
    <row r="1536" spans="1:10" ht="12.75">
      <c r="A1536" s="2" t="s">
        <v>2374</v>
      </c>
      <c r="B1536" s="2" t="s">
        <v>2375</v>
      </c>
      <c r="C1536" s="2" t="s">
        <v>24</v>
      </c>
      <c r="D1536" s="2" t="s">
        <v>2376</v>
      </c>
      <c r="E1536" s="2" t="s">
        <v>293</v>
      </c>
      <c r="F1536" s="11">
        <v>7555</v>
      </c>
      <c r="G1536" t="s">
        <v>36</v>
      </c>
      <c r="H1536" t="s">
        <v>2570</v>
      </c>
      <c r="I1536" t="s">
        <v>2571</v>
      </c>
      <c r="J1536" s="6" t="str">
        <f>HYPERLINK("https://www.biovista.com/db/link/%5B%5B%22Disease%7CMyotonic%20dystrophy%20type%201%22%5D,%20%5B%22Gene%7CPROMM%22%5D%5D?strength-weight-map=%257B%2522MEDLINE_STRENGTH_AB%2522:1.0,%2522HPO%2522:100.0%257D", "Show Evidence...")</f>
        <v>Show Evidence...</v>
      </c>
    </row>
    <row r="1537" spans="1:10" ht="12.75">
      <c r="A1537" s="2" t="s">
        <v>2374</v>
      </c>
      <c r="B1537" s="2" t="s">
        <v>2375</v>
      </c>
      <c r="C1537" s="2" t="s">
        <v>24</v>
      </c>
      <c r="D1537" s="2" t="s">
        <v>2376</v>
      </c>
      <c r="E1537" s="2" t="s">
        <v>293</v>
      </c>
      <c r="F1537" s="11">
        <v>1756</v>
      </c>
      <c r="G1537" t="s">
        <v>36</v>
      </c>
      <c r="H1537" t="s">
        <v>2572</v>
      </c>
      <c r="I1537" t="s">
        <v>2573</v>
      </c>
      <c r="J1537" s="6" t="str">
        <f>HYPERLINK("https://www.biovista.com/db/link/%5B%5B%22Disease%7CMyotonic%20dystrophy%20type%201%22%5D,%20%5B%22Gene%7Cdystrophin%22%5D%5D?strength-weight-map=%257B%2522MEDLINE_STRENGTH_AB%2522:1.0,%2522HPO%2522:100.0%257D", "Show Evidence...")</f>
        <v>Show Evidence...</v>
      </c>
    </row>
    <row r="1538" spans="1:10" ht="12.75">
      <c r="A1538" s="2" t="s">
        <v>2374</v>
      </c>
      <c r="B1538" s="2" t="s">
        <v>2375</v>
      </c>
      <c r="C1538" s="2" t="s">
        <v>24</v>
      </c>
      <c r="D1538" s="2" t="s">
        <v>2376</v>
      </c>
      <c r="E1538" s="2" t="s">
        <v>293</v>
      </c>
      <c r="F1538" s="11">
        <v>344</v>
      </c>
      <c r="G1538" t="s">
        <v>36</v>
      </c>
      <c r="H1538" t="s">
        <v>2574</v>
      </c>
      <c r="I1538" t="s">
        <v>2575</v>
      </c>
      <c r="J1538" s="6" t="str">
        <f>HYPERLINK("https://www.biovista.com/db/link/%5B%5B%22Disease%7CMyotonic%20dystrophy%20type%201%22%5D,%20%5B%22Gene%7CAPOC2%22%5D%5D?strength-weight-map=%257B%2522MEDLINE_STRENGTH_AB%2522:1.0,%2522HPO%2522:100.0%257D", "Show Evidence...")</f>
        <v>Show Evidence...</v>
      </c>
    </row>
    <row r="1539" spans="1:10" ht="12.75">
      <c r="A1539" s="2" t="s">
        <v>2374</v>
      </c>
      <c r="B1539" s="2" t="s">
        <v>2375</v>
      </c>
      <c r="C1539" s="2" t="s">
        <v>24</v>
      </c>
      <c r="D1539" s="2" t="s">
        <v>2376</v>
      </c>
      <c r="E1539" s="2" t="s">
        <v>293</v>
      </c>
      <c r="F1539" s="11">
        <v>2796</v>
      </c>
      <c r="G1539" t="s">
        <v>36</v>
      </c>
      <c r="H1539" t="s">
        <v>2576</v>
      </c>
      <c r="I1539" t="s">
        <v>2575</v>
      </c>
      <c r="J1539" s="6" t="str">
        <f>HYPERLINK("https://www.biovista.com/db/link/%5B%5B%22Disease%7CMyotonic%20dystrophy%20type%201%22%5D,%20%5B%22Gene%7CGNRH1%22%5D%5D?strength-weight-map=%257B%2522MEDLINE_STRENGTH_AB%2522:1.0,%2522HPO%2522:100.0%257D", "Show Evidence...")</f>
        <v>Show Evidence...</v>
      </c>
    </row>
    <row r="1540" spans="1:10" ht="12.75">
      <c r="A1540" s="2" t="s">
        <v>2374</v>
      </c>
      <c r="B1540" s="2" t="s">
        <v>2375</v>
      </c>
      <c r="C1540" s="2" t="s">
        <v>24</v>
      </c>
      <c r="D1540" s="2" t="s">
        <v>2376</v>
      </c>
      <c r="E1540" s="2" t="s">
        <v>53</v>
      </c>
      <c r="F1540" s="11" t="s">
        <v>2577</v>
      </c>
      <c r="G1540" t="s">
        <v>36</v>
      </c>
      <c r="H1540" t="s">
        <v>2578</v>
      </c>
      <c r="I1540" t="s">
        <v>2579</v>
      </c>
      <c r="J1540" s="6" t="str">
        <f>HYPERLINK("https://www.biovista.com/db/link/%5B%5B%22Disease%7CMyotonic%20dystrophy%20type%201%22%5D,%20%5B%22Gene%7Ctau%20Proteins%22%5D%5D?strength-weight-map=%257B%2522MEDLINE_STRENGTH_AB%2522:1.0,%2522HPO%2522:100.0%257D", "Show Evidence...")</f>
        <v>Show Evidence...</v>
      </c>
    </row>
    <row r="1541" spans="1:10" ht="12.75">
      <c r="A1541" s="2" t="s">
        <v>2374</v>
      </c>
      <c r="B1541" s="2" t="s">
        <v>2375</v>
      </c>
      <c r="C1541" s="2" t="s">
        <v>24</v>
      </c>
      <c r="D1541" s="2" t="s">
        <v>2376</v>
      </c>
      <c r="E1541" s="2" t="s">
        <v>293</v>
      </c>
      <c r="F1541" s="11">
        <v>5443</v>
      </c>
      <c r="G1541" t="s">
        <v>36</v>
      </c>
      <c r="H1541" t="s">
        <v>393</v>
      </c>
      <c r="I1541" t="s">
        <v>2580</v>
      </c>
      <c r="J1541" s="6" t="str">
        <f>HYPERLINK("https://www.biovista.com/db/link/%5B%5B%22Disease%7CMyotonic%20dystrophy%20type%201%22%5D,%20%5B%22Gene%7Cadrenocorticotropic%20hormone%22%5D%5D?strength-weight-map=%257B%2522MEDLINE_STRENGTH_AB%2522:1.0,%2522HPO%2522:100.0%257D", "Show Evidence...")</f>
        <v>Show Evidence...</v>
      </c>
    </row>
    <row r="1542" spans="1:10" ht="12.75">
      <c r="A1542" s="2" t="s">
        <v>2374</v>
      </c>
      <c r="B1542" s="2" t="s">
        <v>2375</v>
      </c>
      <c r="C1542" s="2" t="s">
        <v>24</v>
      </c>
      <c r="D1542" s="2" t="s">
        <v>2376</v>
      </c>
      <c r="E1542" s="2" t="s">
        <v>293</v>
      </c>
      <c r="F1542" s="11">
        <v>14599</v>
      </c>
      <c r="G1542" t="s">
        <v>36</v>
      </c>
      <c r="H1542" t="s">
        <v>2581</v>
      </c>
      <c r="I1542" t="s">
        <v>2385</v>
      </c>
      <c r="J1542" s="6" t="str">
        <f>HYPERLINK("https://www.biovista.com/db/link/%5B%5B%22Disease%7CMyotonic%20dystrophy%20type%201%22%5D,%20%5B%22Gene%7CGrowth%20hormone%22%5D%5D?strength-weight-map=%257B%2522MEDLINE_STRENGTH_AB%2522:1.0,%2522HPO%2522:100.0%257D", "Show Evidence...")</f>
        <v>Show Evidence...</v>
      </c>
    </row>
    <row r="1543" spans="1:10" ht="12.75">
      <c r="A1543" s="2" t="s">
        <v>2374</v>
      </c>
      <c r="B1543" s="2" t="s">
        <v>2375</v>
      </c>
      <c r="C1543" s="2" t="s">
        <v>24</v>
      </c>
      <c r="D1543" s="2" t="s">
        <v>2376</v>
      </c>
      <c r="E1543" s="2" t="s">
        <v>293</v>
      </c>
      <c r="F1543" s="11">
        <v>4137</v>
      </c>
      <c r="G1543" t="s">
        <v>36</v>
      </c>
      <c r="H1543" t="s">
        <v>2582</v>
      </c>
      <c r="I1543" t="s">
        <v>2385</v>
      </c>
      <c r="J1543" s="6" t="str">
        <f>HYPERLINK("https://www.biovista.com/db/link/%5B%5B%22Disease%7CMyotonic%20dystrophy%20type%201%22%5D,%20%5B%22Gene%7CTAU%22%5D%5D?strength-weight-map=%257B%2522MEDLINE_STRENGTH_AB%2522:1.0,%2522HPO%2522:100.0%257D", "Show Evidence...")</f>
        <v>Show Evidence...</v>
      </c>
    </row>
    <row r="1544" spans="1:10" ht="12.75">
      <c r="A1544" s="2" t="s">
        <v>2374</v>
      </c>
      <c r="B1544" s="2" t="s">
        <v>2375</v>
      </c>
      <c r="C1544" s="2" t="s">
        <v>24</v>
      </c>
      <c r="D1544" s="2" t="s">
        <v>2376</v>
      </c>
      <c r="E1544" s="2" t="s">
        <v>293</v>
      </c>
      <c r="F1544" s="11">
        <v>1052</v>
      </c>
      <c r="G1544" t="s">
        <v>36</v>
      </c>
      <c r="H1544" t="s">
        <v>2583</v>
      </c>
      <c r="I1544" t="s">
        <v>2584</v>
      </c>
      <c r="J1544" s="6" t="str">
        <f>HYPERLINK("https://www.biovista.com/db/link/%5B%5B%22Disease%7CMyotonic%20dystrophy%20type%201%22%5D,%20%5B%22Gene%7CCELF%22%5D%5D?strength-weight-map=%257B%2522MEDLINE_STRENGTH_AB%2522:1.0,%2522HPO%2522:100.0%257D", "Show Evidence...")</f>
        <v>Show Evidence...</v>
      </c>
    </row>
    <row r="1545" spans="1:10" ht="12.75">
      <c r="A1545" s="2" t="s">
        <v>2374</v>
      </c>
      <c r="B1545" s="2" t="s">
        <v>2375</v>
      </c>
      <c r="C1545" s="2" t="s">
        <v>24</v>
      </c>
      <c r="D1545" s="2" t="s">
        <v>2376</v>
      </c>
      <c r="E1545" s="2" t="s">
        <v>293</v>
      </c>
      <c r="F1545" s="11">
        <v>2488</v>
      </c>
      <c r="G1545" t="s">
        <v>36</v>
      </c>
      <c r="H1545" t="s">
        <v>2585</v>
      </c>
      <c r="I1545" t="s">
        <v>2584</v>
      </c>
      <c r="J1545" s="6" t="str">
        <f>HYPERLINK("https://www.biovista.com/db/link/%5B%5B%22Disease%7CMyotonic%20dystrophy%20type%201%22%5D,%20%5B%22Gene%7CFSHB%22%5D%5D?strength-weight-map=%257B%2522MEDLINE_STRENGTH_AB%2522:1.0,%2522HPO%2522:100.0%257D", "Show Evidence...")</f>
        <v>Show Evidence...</v>
      </c>
    </row>
    <row r="1546" spans="1:10" ht="12.75">
      <c r="A1546" s="2" t="s">
        <v>2374</v>
      </c>
      <c r="B1546" s="2" t="s">
        <v>2375</v>
      </c>
      <c r="C1546" s="2" t="s">
        <v>24</v>
      </c>
      <c r="D1546" s="2" t="s">
        <v>2376</v>
      </c>
      <c r="E1546" s="2" t="s">
        <v>293</v>
      </c>
      <c r="F1546" s="11">
        <v>2232</v>
      </c>
      <c r="G1546" t="s">
        <v>36</v>
      </c>
      <c r="H1546" t="s">
        <v>2586</v>
      </c>
      <c r="I1546" t="s">
        <v>2587</v>
      </c>
      <c r="J1546" s="6" t="str">
        <f>HYPERLINK("https://www.biovista.com/db/link/%5B%5B%22Disease%7CMyotonic%20dystrophy%20type%201%22%5D,%20%5B%22Gene%7CAR%22%5D%5D?strength-weight-map=%257B%2522MEDLINE_STRENGTH_AB%2522:1.0,%2522HPO%2522:100.0%257D", "Show Evidence...")</f>
        <v>Show Evidence...</v>
      </c>
    </row>
    <row r="1547" spans="1:10" ht="12.75">
      <c r="A1547" s="2" t="s">
        <v>2374</v>
      </c>
      <c r="B1547" s="2" t="s">
        <v>2375</v>
      </c>
      <c r="C1547" s="2" t="s">
        <v>24</v>
      </c>
      <c r="D1547" s="2" t="s">
        <v>2376</v>
      </c>
      <c r="E1547" s="2" t="s">
        <v>293</v>
      </c>
      <c r="F1547" s="11">
        <v>6310</v>
      </c>
      <c r="G1547" t="s">
        <v>36</v>
      </c>
      <c r="H1547" t="s">
        <v>2588</v>
      </c>
      <c r="I1547" t="s">
        <v>2587</v>
      </c>
      <c r="J1547" s="6" t="str">
        <f>HYPERLINK("https://www.biovista.com/db/link/%5B%5B%22Disease%7CMyotonic%20dystrophy%20type%201%22%5D,%20%5B%22Gene%7CATXN1%22%5D%5D?strength-weight-map=%257B%2522MEDLINE_STRENGTH_AB%2522:1.0,%2522HPO%2522:100.0%257D", "Show Evidence...")</f>
        <v>Show Evidence...</v>
      </c>
    </row>
    <row r="1548" spans="1:10" ht="12.75">
      <c r="A1548" s="2" t="s">
        <v>2374</v>
      </c>
      <c r="B1548" s="2" t="s">
        <v>2375</v>
      </c>
      <c r="C1548" s="2" t="s">
        <v>24</v>
      </c>
      <c r="D1548" s="2" t="s">
        <v>2376</v>
      </c>
      <c r="E1548" s="2" t="s">
        <v>293</v>
      </c>
      <c r="F1548" s="11">
        <v>10658</v>
      </c>
      <c r="G1548" t="s">
        <v>36</v>
      </c>
      <c r="H1548" t="s">
        <v>2589</v>
      </c>
      <c r="I1548" t="s">
        <v>2587</v>
      </c>
      <c r="J1548" s="6" t="str">
        <f>HYPERLINK("https://www.biovista.com/db/link/%5B%5B%22Disease%7CMyotonic%20dystrophy%20type%201%22%5D,%20%5B%22Gene%7CCUG-BP%22%5D%5D?strength-weight-map=%257B%2522MEDLINE_STRENGTH_AB%2522:1.0,%2522HPO%2522:100.0%257D", "Show Evidence...")</f>
        <v>Show Evidence...</v>
      </c>
    </row>
    <row r="1549" spans="1:10" ht="12.75">
      <c r="A1549" s="2" t="s">
        <v>2374</v>
      </c>
      <c r="B1549" s="2" t="s">
        <v>2375</v>
      </c>
      <c r="C1549" s="2" t="s">
        <v>24</v>
      </c>
      <c r="D1549" s="2" t="s">
        <v>2376</v>
      </c>
      <c r="E1549" s="2" t="s">
        <v>293</v>
      </c>
      <c r="F1549" s="11">
        <v>8476</v>
      </c>
      <c r="G1549" t="s">
        <v>36</v>
      </c>
      <c r="H1549" t="s">
        <v>2590</v>
      </c>
      <c r="I1549" t="s">
        <v>2587</v>
      </c>
      <c r="J1549" s="6" t="str">
        <f>HYPERLINK("https://www.biovista.com/db/link/%5B%5B%22Disease%7CMyotonic%20dystrophy%20type%201%22%5D,%20%5B%22Gene%7CMRCK%22%5D%5D?strength-weight-map=%257B%2522MEDLINE_STRENGTH_AB%2522:1.0,%2522HPO%2522:100.0%257D", "Show Evidence...")</f>
        <v>Show Evidence...</v>
      </c>
    </row>
    <row r="1550" spans="1:10" ht="12.75">
      <c r="A1550" s="2" t="s">
        <v>2374</v>
      </c>
      <c r="B1550" s="2" t="s">
        <v>2375</v>
      </c>
      <c r="C1550" s="2" t="s">
        <v>24</v>
      </c>
      <c r="D1550" s="2" t="s">
        <v>2376</v>
      </c>
      <c r="E1550" s="2" t="s">
        <v>293</v>
      </c>
      <c r="F1550" s="11">
        <v>10793</v>
      </c>
      <c r="G1550" t="s">
        <v>36</v>
      </c>
      <c r="H1550" t="s">
        <v>2591</v>
      </c>
      <c r="I1550" t="s">
        <v>2386</v>
      </c>
      <c r="J1550" s="6" t="str">
        <f>HYPERLINK("https://www.biovista.com/db/link/%5B%5B%22Disease%7CMyotonic%20dystrophy%20type%201%22%5D,%20%5B%22Gene%7CZinc%20finger%20protein%209%22%5D%5D?strength-weight-map=%257B%2522MEDLINE_STRENGTH_AB%2522:1.0,%2522HPO%2522:100.0%257D", "Show Evidence...")</f>
        <v>Show Evidence...</v>
      </c>
    </row>
    <row r="1551" spans="1:10" ht="12.75">
      <c r="A1551" s="2" t="s">
        <v>2374</v>
      </c>
      <c r="B1551" s="2" t="s">
        <v>2375</v>
      </c>
      <c r="C1551" s="2" t="s">
        <v>24</v>
      </c>
      <c r="D1551" s="2" t="s">
        <v>2376</v>
      </c>
      <c r="E1551" s="2" t="s">
        <v>293</v>
      </c>
      <c r="F1551" s="11">
        <v>4287</v>
      </c>
      <c r="G1551" t="s">
        <v>36</v>
      </c>
      <c r="H1551" t="s">
        <v>2592</v>
      </c>
      <c r="I1551" t="s">
        <v>2593</v>
      </c>
      <c r="J1551" s="6" t="str">
        <f>HYPERLINK("https://www.biovista.com/db/link/%5B%5B%22Disease%7CMyotonic%20dystrophy%20type%201%22%5D,%20%5B%22Gene%7CATXN3%22%5D%5D?strength-weight-map=%257B%2522MEDLINE_STRENGTH_AB%2522:1.0,%2522HPO%2522:100.0%257D", "Show Evidence...")</f>
        <v>Show Evidence...</v>
      </c>
    </row>
    <row r="1552" spans="1:10" ht="12.75">
      <c r="A1552" s="2" t="s">
        <v>2374</v>
      </c>
      <c r="B1552" s="2" t="s">
        <v>2375</v>
      </c>
      <c r="C1552" s="2" t="s">
        <v>24</v>
      </c>
      <c r="D1552" s="2" t="s">
        <v>2376</v>
      </c>
      <c r="E1552" s="2" t="s">
        <v>293</v>
      </c>
      <c r="F1552" s="11">
        <v>203228</v>
      </c>
      <c r="G1552" t="s">
        <v>36</v>
      </c>
      <c r="H1552" t="s">
        <v>2594</v>
      </c>
      <c r="I1552" t="s">
        <v>2593</v>
      </c>
      <c r="J1552" s="6" t="str">
        <f>HYPERLINK("https://www.biovista.com/db/link/%5B%5B%22Disease%7CMyotonic%20dystrophy%20type%201%22%5D,%20%5B%22Gene%7CC9orf72%22%5D%5D?strength-weight-map=%257B%2522MEDLINE_STRENGTH_AB%2522:1.0,%2522HPO%2522:100.0%257D", "Show Evidence...")</f>
        <v>Show Evidence...</v>
      </c>
    </row>
    <row r="1553" spans="1:10" ht="12.75">
      <c r="A1553" s="2" t="s">
        <v>2374</v>
      </c>
      <c r="B1553" s="2" t="s">
        <v>2375</v>
      </c>
      <c r="C1553" s="2" t="s">
        <v>24</v>
      </c>
      <c r="D1553" s="2" t="s">
        <v>2376</v>
      </c>
      <c r="E1553" s="2" t="s">
        <v>293</v>
      </c>
      <c r="F1553" s="11">
        <v>1158</v>
      </c>
      <c r="G1553" t="s">
        <v>36</v>
      </c>
      <c r="H1553" t="s">
        <v>2595</v>
      </c>
      <c r="I1553" t="s">
        <v>2391</v>
      </c>
      <c r="J1553" s="6" t="str">
        <f>HYPERLINK("https://www.biovista.com/db/link/%5B%5B%22Disease%7CMyotonic%20dystrophy%20type%201%22%5D,%20%5B%22Gene%7CCKMM%22%5D%5D?strength-weight-map=%257B%2522MEDLINE_STRENGTH_AB%2522:1.0,%2522HPO%2522:100.0%257D", "Show Evidence...")</f>
        <v>Show Evidence...</v>
      </c>
    </row>
    <row r="1554" spans="1:10" ht="12.75">
      <c r="A1554" s="2" t="s">
        <v>2374</v>
      </c>
      <c r="B1554" s="2" t="s">
        <v>2375</v>
      </c>
      <c r="C1554" s="2" t="s">
        <v>24</v>
      </c>
      <c r="D1554" s="2" t="s">
        <v>2376</v>
      </c>
      <c r="E1554" s="2" t="s">
        <v>293</v>
      </c>
      <c r="F1554" s="11">
        <v>1119</v>
      </c>
      <c r="G1554" t="s">
        <v>36</v>
      </c>
      <c r="H1554" t="s">
        <v>1154</v>
      </c>
      <c r="I1554" t="s">
        <v>2394</v>
      </c>
      <c r="J1554" s="6" t="str">
        <f>HYPERLINK("https://www.biovista.com/db/link/%5B%5B%22Disease%7CMyotonic%20dystrophy%20type%201%22%5D,%20%5B%22Gene%7CCK%22%5D%5D?strength-weight-map=%257B%2522MEDLINE_STRENGTH_AB%2522:1.0,%2522HPO%2522:100.0%257D", "Show Evidence...")</f>
        <v>Show Evidence...</v>
      </c>
    </row>
    <row r="1555" spans="1:10" ht="12.75">
      <c r="A1555" s="2" t="s">
        <v>2374</v>
      </c>
      <c r="B1555" s="2" t="s">
        <v>2375</v>
      </c>
      <c r="C1555" s="2" t="s">
        <v>24</v>
      </c>
      <c r="D1555" s="2" t="s">
        <v>2376</v>
      </c>
      <c r="E1555" s="2" t="s">
        <v>53</v>
      </c>
      <c r="F1555" s="11" t="s">
        <v>2596</v>
      </c>
      <c r="G1555" t="s">
        <v>36</v>
      </c>
      <c r="H1555" t="s">
        <v>2597</v>
      </c>
      <c r="I1555" t="s">
        <v>2598</v>
      </c>
      <c r="J1555" s="6" t="str">
        <f>HYPERLINK("https://www.biovista.com/db/link/%5B%5B%22Disease%7CMyotonic%20dystrophy%20type%201%22%5D,%20%5B%22Gene%7CCELF%20Proteins%22%5D%5D?strength-weight-map=%257B%2522MEDLINE_STRENGTH_AB%2522:1.0,%2522HPO%2522:100.0%257D", "Show Evidence...")</f>
        <v>Show Evidence...</v>
      </c>
    </row>
    <row r="1556" spans="1:10" ht="12.75">
      <c r="A1556" s="2" t="s">
        <v>2374</v>
      </c>
      <c r="B1556" s="2" t="s">
        <v>2375</v>
      </c>
      <c r="C1556" s="2" t="s">
        <v>24</v>
      </c>
      <c r="D1556" s="2" t="s">
        <v>2376</v>
      </c>
      <c r="E1556" s="2" t="s">
        <v>293</v>
      </c>
      <c r="F1556" s="11">
        <v>1180</v>
      </c>
      <c r="G1556" t="s">
        <v>36</v>
      </c>
      <c r="H1556" t="s">
        <v>2599</v>
      </c>
      <c r="I1556" t="s">
        <v>2598</v>
      </c>
      <c r="J1556" s="6" t="str">
        <f>HYPERLINK("https://www.biovista.com/db/link/%5B%5B%22Disease%7CMyotonic%20dystrophy%20type%201%22%5D,%20%5B%22Gene%7CclC-1%22%5D%5D?strength-weight-map=%257B%2522MEDLINE_STRENGTH_AB%2522:1.0,%2522HPO%2522:100.0%257D", "Show Evidence...")</f>
        <v>Show Evidence...</v>
      </c>
    </row>
    <row r="1557" spans="1:10" ht="12.75">
      <c r="A1557" s="2" t="s">
        <v>2374</v>
      </c>
      <c r="B1557" s="2" t="s">
        <v>2375</v>
      </c>
      <c r="C1557" s="2" t="s">
        <v>24</v>
      </c>
      <c r="D1557" s="2" t="s">
        <v>2376</v>
      </c>
      <c r="E1557" s="2" t="s">
        <v>293</v>
      </c>
      <c r="F1557" s="11">
        <v>107826841</v>
      </c>
      <c r="G1557" t="s">
        <v>36</v>
      </c>
      <c r="H1557" t="s">
        <v>2600</v>
      </c>
      <c r="I1557" t="s">
        <v>2598</v>
      </c>
      <c r="J1557" s="6" t="str">
        <f>HYPERLINK("https://www.biovista.com/db/link/%5B%5B%22Disease%7CMyotonic%20dystrophy%20type%201%22%5D,%20%5B%22Gene%7CLOC107826841%22%5D%5D?strength-weight-map=%257B%2522MEDLINE_STRENGTH_AB%2522:1.0,%2522HPO%2522:100.0%257D", "Show Evidence...")</f>
        <v>Show Evidence...</v>
      </c>
    </row>
    <row r="1558" spans="1:10" ht="12.75">
      <c r="A1558" s="2" t="s">
        <v>2374</v>
      </c>
      <c r="B1558" s="2" t="s">
        <v>2375</v>
      </c>
      <c r="C1558" s="2" t="s">
        <v>24</v>
      </c>
      <c r="D1558" s="2" t="s">
        <v>2376</v>
      </c>
      <c r="E1558" s="2" t="s">
        <v>293</v>
      </c>
      <c r="F1558" s="11">
        <v>4153</v>
      </c>
      <c r="G1558" t="s">
        <v>36</v>
      </c>
      <c r="H1558" t="s">
        <v>2601</v>
      </c>
      <c r="I1558" t="s">
        <v>2598</v>
      </c>
      <c r="J1558" s="6" t="str">
        <f>HYPERLINK("https://www.biovista.com/db/link/%5B%5B%22Disease%7CMyotonic%20dystrophy%20type%201%22%5D,%20%5B%22Gene%7CMBL%22%5D%5D?strength-weight-map=%257B%2522MEDLINE_STRENGTH_AB%2522:1.0,%2522HPO%2522:100.0%257D", "Show Evidence...")</f>
        <v>Show Evidence...</v>
      </c>
    </row>
    <row r="1559" spans="1:10" ht="12.75">
      <c r="A1559" s="2" t="s">
        <v>2374</v>
      </c>
      <c r="B1559" s="2" t="s">
        <v>2375</v>
      </c>
      <c r="C1559" s="2" t="s">
        <v>24</v>
      </c>
      <c r="D1559" s="2" t="s">
        <v>2376</v>
      </c>
      <c r="E1559" s="2" t="s">
        <v>293</v>
      </c>
      <c r="F1559" s="11">
        <v>6329</v>
      </c>
      <c r="G1559" t="s">
        <v>36</v>
      </c>
      <c r="H1559" t="s">
        <v>376</v>
      </c>
      <c r="I1559" t="s">
        <v>2598</v>
      </c>
      <c r="J1559" s="6" t="str">
        <f>HYPERLINK("https://www.biovista.com/db/link/%5B%5B%22Disease%7CMyotonic%20dystrophy%20type%201%22%5D,%20%5B%22Gene%7CSCN4A%22%5D%5D?strength-weight-map=%257B%2522MEDLINE_STRENGTH_AB%2522:1.0,%2522HPO%2522:100.0%257D", "Show Evidence...")</f>
        <v>Show Evidence...</v>
      </c>
    </row>
    <row r="1560" spans="1:10" ht="12.75">
      <c r="A1560" s="2" t="s">
        <v>2374</v>
      </c>
      <c r="B1560" s="2" t="s">
        <v>2375</v>
      </c>
      <c r="C1560" s="2" t="s">
        <v>24</v>
      </c>
      <c r="D1560" s="2" t="s">
        <v>2376</v>
      </c>
      <c r="E1560" s="2" t="s">
        <v>293</v>
      </c>
      <c r="F1560" s="11">
        <v>5443</v>
      </c>
      <c r="G1560" t="s">
        <v>36</v>
      </c>
      <c r="H1560" t="s">
        <v>2602</v>
      </c>
      <c r="I1560" t="s">
        <v>2395</v>
      </c>
      <c r="J1560" s="6" t="str">
        <f>HYPERLINK("https://www.biovista.com/db/link/%5B%5B%22Disease%7CMyotonic%20dystrophy%20type%201%22%5D,%20%5B%22Gene%7CACTH%22%5D%5D?strength-weight-map=%257B%2522MEDLINE_STRENGTH_AB%2522:1.0,%2522HPO%2522:100.0%257D", "Show Evidence...")</f>
        <v>Show Evidence...</v>
      </c>
    </row>
    <row r="1561" spans="1:10" ht="12.75">
      <c r="A1561" s="2" t="s">
        <v>2374</v>
      </c>
      <c r="B1561" s="2" t="s">
        <v>2375</v>
      </c>
      <c r="C1561" s="2" t="s">
        <v>24</v>
      </c>
      <c r="D1561" s="2" t="s">
        <v>2376</v>
      </c>
      <c r="E1561" s="2" t="s">
        <v>293</v>
      </c>
      <c r="F1561" s="11">
        <v>102552318</v>
      </c>
      <c r="G1561" t="s">
        <v>36</v>
      </c>
      <c r="H1561" t="s">
        <v>2603</v>
      </c>
      <c r="I1561" t="s">
        <v>2395</v>
      </c>
      <c r="J1561" s="6" t="str">
        <f>HYPERLINK("https://www.biovista.com/db/link/%5B%5B%22Disease%7CMyotonic%20dystrophy%20type%201%22%5D,%20%5B%22Gene%7Cactin%22%5D%5D?strength-weight-map=%257B%2522MEDLINE_STRENGTH_AB%2522:1.0,%2522HPO%2522:100.0%257D", "Show Evidence...")</f>
        <v>Show Evidence...</v>
      </c>
    </row>
    <row r="1562" spans="1:10" ht="12.75">
      <c r="A1562" s="2" t="s">
        <v>2374</v>
      </c>
      <c r="B1562" s="2" t="s">
        <v>2375</v>
      </c>
      <c r="C1562" s="2" t="s">
        <v>24</v>
      </c>
      <c r="D1562" s="2" t="s">
        <v>2376</v>
      </c>
      <c r="E1562" s="2" t="s">
        <v>293</v>
      </c>
      <c r="F1562" s="11">
        <v>479</v>
      </c>
      <c r="G1562" t="s">
        <v>36</v>
      </c>
      <c r="H1562" t="s">
        <v>1153</v>
      </c>
      <c r="I1562" t="s">
        <v>2395</v>
      </c>
      <c r="J1562" s="6" t="str">
        <f>HYPERLINK("https://www.biovista.com/db/link/%5B%5B%22Disease%7CMyotonic%20dystrophy%20type%201%22%5D,%20%5B%22Gene%7CATP12A%22%5D%5D?strength-weight-map=%257B%2522MEDLINE_STRENGTH_AB%2522:1.0,%2522HPO%2522:100.0%257D", "Show Evidence...")</f>
        <v>Show Evidence...</v>
      </c>
    </row>
    <row r="1563" spans="1:10" ht="12.75">
      <c r="A1563" s="2" t="s">
        <v>2374</v>
      </c>
      <c r="B1563" s="2" t="s">
        <v>2375</v>
      </c>
      <c r="C1563" s="2" t="s">
        <v>24</v>
      </c>
      <c r="D1563" s="2" t="s">
        <v>2376</v>
      </c>
      <c r="E1563" s="2" t="s">
        <v>293</v>
      </c>
      <c r="F1563" s="11">
        <v>998</v>
      </c>
      <c r="G1563" t="s">
        <v>36</v>
      </c>
      <c r="H1563" t="s">
        <v>2604</v>
      </c>
      <c r="I1563" t="s">
        <v>2395</v>
      </c>
      <c r="J1563" s="6" t="str">
        <f>HYPERLINK("https://www.biovista.com/db/link/%5B%5B%22Disease%7CMyotonic%20dystrophy%20type%201%22%5D,%20%5B%22Gene%7CCDC42%22%5D%5D?strength-weight-map=%257B%2522MEDLINE_STRENGTH_AB%2522:1.0,%2522HPO%2522:100.0%257D", "Show Evidence...")</f>
        <v>Show Evidence...</v>
      </c>
    </row>
    <row r="1564" spans="1:10" ht="12.75">
      <c r="A1564" s="2" t="s">
        <v>2374</v>
      </c>
      <c r="B1564" s="2" t="s">
        <v>2375</v>
      </c>
      <c r="C1564" s="2" t="s">
        <v>24</v>
      </c>
      <c r="D1564" s="2" t="s">
        <v>2376</v>
      </c>
      <c r="E1564" s="2" t="s">
        <v>293</v>
      </c>
      <c r="F1564" s="11">
        <v>55796</v>
      </c>
      <c r="G1564" t="s">
        <v>36</v>
      </c>
      <c r="H1564" t="s">
        <v>2605</v>
      </c>
      <c r="I1564" t="s">
        <v>2396</v>
      </c>
      <c r="J1564" s="6" t="str">
        <f>HYPERLINK("https://www.biovista.com/db/link/%5B%5B%22Disease%7CMyotonic%20dystrophy%20type%201%22%5D,%20%5B%22Gene%7CMBNL3%22%5D%5D?strength-weight-map=%257B%2522MEDLINE_STRENGTH_AB%2522:1.0,%2522HPO%2522:100.0%257D", "Show Evidence...")</f>
        <v>Show Evidence...</v>
      </c>
    </row>
    <row r="1565" spans="1:10" ht="12.75">
      <c r="A1565" s="2" t="s">
        <v>2374</v>
      </c>
      <c r="B1565" s="2" t="s">
        <v>2375</v>
      </c>
      <c r="C1565" s="2" t="s">
        <v>24</v>
      </c>
      <c r="D1565" s="2" t="s">
        <v>2376</v>
      </c>
      <c r="E1565" s="2" t="s">
        <v>293</v>
      </c>
      <c r="F1565" s="11">
        <v>4437</v>
      </c>
      <c r="G1565" t="s">
        <v>36</v>
      </c>
      <c r="H1565" t="s">
        <v>1190</v>
      </c>
      <c r="I1565" t="s">
        <v>2396</v>
      </c>
      <c r="J1565" s="6" t="str">
        <f>HYPERLINK("https://www.biovista.com/db/link/%5B%5B%22Disease%7CMyotonic%20dystrophy%20type%201%22%5D,%20%5B%22Gene%7CMSH3%22%5D%5D?strength-weight-map=%257B%2522MEDLINE_STRENGTH_AB%2522:1.0,%2522HPO%2522:100.0%257D", "Show Evidence...")</f>
        <v>Show Evidence...</v>
      </c>
    </row>
    <row r="1566" spans="1:10" ht="12.75">
      <c r="A1566" s="2" t="s">
        <v>2374</v>
      </c>
      <c r="B1566" s="2" t="s">
        <v>2375</v>
      </c>
      <c r="C1566" s="2" t="s">
        <v>24</v>
      </c>
      <c r="D1566" s="2" t="s">
        <v>2376</v>
      </c>
      <c r="E1566" s="2" t="s">
        <v>293</v>
      </c>
      <c r="F1566" s="11">
        <v>4763</v>
      </c>
      <c r="G1566" t="s">
        <v>36</v>
      </c>
      <c r="H1566" t="s">
        <v>2606</v>
      </c>
      <c r="I1566" t="s">
        <v>2396</v>
      </c>
      <c r="J1566" s="6" t="str">
        <f>HYPERLINK("https://www.biovista.com/db/link/%5B%5B%22Disease%7CMyotonic%20dystrophy%20type%201%22%5D,%20%5B%22Gene%7Cneurofibromatosis%201%22%5D%5D?strength-weight-map=%257B%2522MEDLINE_STRENGTH_AB%2522:1.0,%2522HPO%2522:100.0%257D", "Show Evidence...")</f>
        <v>Show Evidence...</v>
      </c>
    </row>
    <row r="1567" spans="1:10" ht="12.75">
      <c r="A1567" s="2" t="s">
        <v>2374</v>
      </c>
      <c r="B1567" s="2" t="s">
        <v>2375</v>
      </c>
      <c r="C1567" s="2" t="s">
        <v>24</v>
      </c>
      <c r="D1567" s="2" t="s">
        <v>2376</v>
      </c>
      <c r="E1567" s="2" t="s">
        <v>293</v>
      </c>
      <c r="F1567" s="11">
        <v>3772180</v>
      </c>
      <c r="G1567" t="s">
        <v>36</v>
      </c>
      <c r="H1567" t="s">
        <v>2607</v>
      </c>
      <c r="I1567" t="s">
        <v>2396</v>
      </c>
      <c r="J1567" s="6" t="str">
        <f>HYPERLINK("https://www.biovista.com/db/link/%5B%5B%22Disease%7CMyotonic%20dystrophy%20type%201%22%5D,%20%5B%22Gene%7CSxl%22%5D%5D?strength-weight-map=%257B%2522MEDLINE_STRENGTH_AB%2522:1.0,%2522HPO%2522:100.0%257D", "Show Evidence...")</f>
        <v>Show Evidence...</v>
      </c>
    </row>
    <row r="1568" spans="1:10" ht="12.75">
      <c r="A1568" s="2" t="s">
        <v>2374</v>
      </c>
      <c r="B1568" s="2" t="s">
        <v>2375</v>
      </c>
      <c r="C1568" s="2" t="s">
        <v>24</v>
      </c>
      <c r="D1568" s="2" t="s">
        <v>2376</v>
      </c>
      <c r="E1568" s="2" t="s">
        <v>293</v>
      </c>
      <c r="F1568" s="11">
        <v>7139</v>
      </c>
      <c r="G1568" t="s">
        <v>36</v>
      </c>
      <c r="H1568" t="s">
        <v>2608</v>
      </c>
      <c r="I1568" t="s">
        <v>2396</v>
      </c>
      <c r="J1568" s="6" t="str">
        <f>HYPERLINK("https://www.biovista.com/db/link/%5B%5B%22Disease%7CMyotonic%20dystrophy%20type%201%22%5D,%20%5B%22Gene%7CTNNT2%22%5D%5D?strength-weight-map=%257B%2522MEDLINE_STRENGTH_AB%2522:1.0,%2522HPO%2522:100.0%257D", "Show Evidence...")</f>
        <v>Show Evidence...</v>
      </c>
    </row>
    <row r="1569" spans="1:10" ht="12.75">
      <c r="A1569" s="2" t="s">
        <v>2374</v>
      </c>
      <c r="B1569" s="2" t="s">
        <v>2375</v>
      </c>
      <c r="C1569" s="2" t="s">
        <v>24</v>
      </c>
      <c r="D1569" s="2" t="s">
        <v>2376</v>
      </c>
      <c r="E1569" s="2" t="s">
        <v>309</v>
      </c>
      <c r="F1569" s="11">
        <v>108639</v>
      </c>
      <c r="G1569" t="s">
        <v>36</v>
      </c>
      <c r="H1569" t="s">
        <v>2609</v>
      </c>
      <c r="I1569" t="s">
        <v>2610</v>
      </c>
      <c r="J1569" s="6" t="str">
        <f>HYPERLINK("https://www.biovista.com/db/link/%5B%5B%22Disease%7CMyotonic%20dystrophy%20type%201%22%5D,%20%5B%22Gene%7CBY367451%22%5D%5D?strength-weight-map=%257B%2522MEDLINE_STRENGTH_AB%2522:1.0,%2522HPO%2522:100.0%257D", "Show Evidence...")</f>
        <v>Show Evidence...</v>
      </c>
    </row>
    <row r="1570" spans="1:10" ht="12.75">
      <c r="A1570" s="2" t="s">
        <v>2374</v>
      </c>
      <c r="B1570" s="2" t="s">
        <v>2375</v>
      </c>
      <c r="C1570" s="2" t="s">
        <v>24</v>
      </c>
      <c r="D1570" s="2" t="s">
        <v>2376</v>
      </c>
      <c r="E1570" s="2" t="s">
        <v>293</v>
      </c>
      <c r="F1570" s="11">
        <v>1674</v>
      </c>
      <c r="G1570" t="s">
        <v>36</v>
      </c>
      <c r="H1570" t="s">
        <v>2611</v>
      </c>
      <c r="I1570" t="s">
        <v>2610</v>
      </c>
      <c r="J1570" s="6" t="str">
        <f>HYPERLINK("https://www.biovista.com/db/link/%5B%5B%22Disease%7CMyotonic%20dystrophy%20type%201%22%5D,%20%5B%22Gene%7Cdesmin%22%5D%5D?strength-weight-map=%257B%2522MEDLINE_STRENGTH_AB%2522:1.0,%2522HPO%2522:100.0%257D", "Show Evidence...")</f>
        <v>Show Evidence...</v>
      </c>
    </row>
    <row r="1571" spans="1:10" ht="12.75">
      <c r="A1571" s="2" t="s">
        <v>2374</v>
      </c>
      <c r="B1571" s="2" t="s">
        <v>2375</v>
      </c>
      <c r="C1571" s="2" t="s">
        <v>24</v>
      </c>
      <c r="D1571" s="2" t="s">
        <v>2376</v>
      </c>
      <c r="E1571" s="2" t="s">
        <v>309</v>
      </c>
      <c r="F1571" s="11">
        <v>106478973</v>
      </c>
      <c r="G1571" t="s">
        <v>36</v>
      </c>
      <c r="H1571" t="s">
        <v>2612</v>
      </c>
      <c r="I1571" t="s">
        <v>2610</v>
      </c>
      <c r="J1571" s="6" t="str">
        <f>HYPERLINK("https://www.biovista.com/db/link/%5B%5B%22Disease%7CMyotonic%20dystrophy%20type%201%22%5D,%20%5B%22Gene%7CFMR1%22%5D%5D?strength-weight-map=%257B%2522MEDLINE_STRENGTH_AB%2522:1.0,%2522HPO%2522:100.0%257D", "Show Evidence...")</f>
        <v>Show Evidence...</v>
      </c>
    </row>
    <row r="1572" spans="1:10" ht="12.75">
      <c r="A1572" s="2" t="s">
        <v>2374</v>
      </c>
      <c r="B1572" s="2" t="s">
        <v>2375</v>
      </c>
      <c r="C1572" s="2" t="s">
        <v>24</v>
      </c>
      <c r="D1572" s="2" t="s">
        <v>2376</v>
      </c>
      <c r="E1572" s="2" t="s">
        <v>293</v>
      </c>
      <c r="F1572" s="11">
        <v>3643</v>
      </c>
      <c r="G1572" t="s">
        <v>36</v>
      </c>
      <c r="H1572" t="s">
        <v>2613</v>
      </c>
      <c r="I1572" t="s">
        <v>2610</v>
      </c>
      <c r="J1572" s="6" t="str">
        <f>HYPERLINK("https://www.biovista.com/db/link/%5B%5B%22Disease%7CMyotonic%20dystrophy%20type%201%22%5D,%20%5B%22Gene%7CINSR%22%5D%5D?strength-weight-map=%257B%2522MEDLINE_STRENGTH_AB%2522:1.0,%2522HPO%2522:100.0%257D", "Show Evidence...")</f>
        <v>Show Evidence...</v>
      </c>
    </row>
    <row r="1573" spans="1:10" ht="12.75">
      <c r="A1573" s="2" t="s">
        <v>2374</v>
      </c>
      <c r="B1573" s="2" t="s">
        <v>2375</v>
      </c>
      <c r="C1573" s="2" t="s">
        <v>24</v>
      </c>
      <c r="D1573" s="2" t="s">
        <v>2376</v>
      </c>
      <c r="E1573" s="2" t="s">
        <v>293</v>
      </c>
      <c r="F1573" s="11">
        <v>4654</v>
      </c>
      <c r="G1573" t="s">
        <v>36</v>
      </c>
      <c r="H1573" t="s">
        <v>2614</v>
      </c>
      <c r="I1573" t="s">
        <v>2610</v>
      </c>
      <c r="J1573" s="6" t="str">
        <f>HYPERLINK("https://www.biovista.com/db/link/%5B%5B%22Disease%7CMyotonic%20dystrophy%20type%201%22%5D,%20%5B%22Gene%7CMYOD%22%5D%5D?strength-weight-map=%257B%2522MEDLINE_STRENGTH_AB%2522:1.0,%2522HPO%2522:100.0%257D", "Show Evidence...")</f>
        <v>Show Evidence...</v>
      </c>
    </row>
    <row r="1574" spans="1:10" ht="12.75">
      <c r="A1574" s="2" t="s">
        <v>2374</v>
      </c>
      <c r="B1574" s="2" t="s">
        <v>2375</v>
      </c>
      <c r="C1574" s="2" t="s">
        <v>24</v>
      </c>
      <c r="D1574" s="2" t="s">
        <v>2376</v>
      </c>
      <c r="E1574" s="2" t="s">
        <v>53</v>
      </c>
      <c r="F1574" s="11" t="s">
        <v>2079</v>
      </c>
      <c r="G1574" t="s">
        <v>36</v>
      </c>
      <c r="H1574" t="s">
        <v>2080</v>
      </c>
      <c r="I1574" t="s">
        <v>2615</v>
      </c>
      <c r="J1574" s="6" t="str">
        <f>HYPERLINK("https://www.biovista.com/db/link/%5B%5B%22Disease%7CMyotonic%20dystrophy%20type%201%22%5D,%20%5B%22Gene%7CHLA%20Antigens%22%5D%5D?strength-weight-map=%257B%2522MEDLINE_STRENGTH_AB%2522:1.0,%2522HPO%2522:100.0%257D", "Show Evidence...")</f>
        <v>Show Evidence...</v>
      </c>
    </row>
    <row r="1575" spans="1:10" ht="12.75">
      <c r="A1575" s="2" t="s">
        <v>2374</v>
      </c>
      <c r="B1575" s="2" t="s">
        <v>2375</v>
      </c>
      <c r="C1575" s="2" t="s">
        <v>24</v>
      </c>
      <c r="D1575" s="2" t="s">
        <v>2376</v>
      </c>
      <c r="E1575" s="2" t="s">
        <v>293</v>
      </c>
      <c r="F1575" s="11">
        <v>4137</v>
      </c>
      <c r="G1575" t="s">
        <v>36</v>
      </c>
      <c r="H1575" t="s">
        <v>2616</v>
      </c>
      <c r="I1575" t="s">
        <v>2615</v>
      </c>
      <c r="J1575" s="6" t="str">
        <f>HYPERLINK("https://www.biovista.com/db/link/%5B%5B%22Disease%7CMyotonic%20dystrophy%20type%201%22%5D,%20%5B%22Gene%7CMAPT%22%5D%5D?strength-weight-map=%257B%2522MEDLINE_STRENGTH_AB%2522:1.0,%2522HPO%2522:100.0%257D", "Show Evidence...")</f>
        <v>Show Evidence...</v>
      </c>
    </row>
    <row r="1576" spans="1:10" ht="12.75">
      <c r="A1576" s="2" t="s">
        <v>2374</v>
      </c>
      <c r="B1576" s="2" t="s">
        <v>2375</v>
      </c>
      <c r="C1576" s="2" t="s">
        <v>24</v>
      </c>
      <c r="D1576" s="2" t="s">
        <v>2376</v>
      </c>
      <c r="E1576" s="2" t="s">
        <v>293</v>
      </c>
      <c r="F1576" s="11">
        <v>4436</v>
      </c>
      <c r="G1576" t="s">
        <v>36</v>
      </c>
      <c r="H1576" t="s">
        <v>2617</v>
      </c>
      <c r="I1576" t="s">
        <v>2615</v>
      </c>
      <c r="J1576" s="6" t="str">
        <f>HYPERLINK("https://www.biovista.com/db/link/%5B%5B%22Disease%7CMyotonic%20dystrophy%20type%201%22%5D,%20%5B%22Gene%7CMSH2%22%5D%5D?strength-weight-map=%257B%2522MEDLINE_STRENGTH_AB%2522:1.0,%2522HPO%2522:100.0%257D", "Show Evidence...")</f>
        <v>Show Evidence...</v>
      </c>
    </row>
    <row r="1577" spans="1:10" ht="12.75">
      <c r="A1577" s="2" t="s">
        <v>2374</v>
      </c>
      <c r="B1577" s="2" t="s">
        <v>2375</v>
      </c>
      <c r="C1577" s="2" t="s">
        <v>24</v>
      </c>
      <c r="D1577" s="2" t="s">
        <v>2376</v>
      </c>
      <c r="E1577" s="2" t="s">
        <v>293</v>
      </c>
      <c r="F1577" s="11">
        <v>79784</v>
      </c>
      <c r="G1577" t="s">
        <v>36</v>
      </c>
      <c r="H1577" t="s">
        <v>2618</v>
      </c>
      <c r="I1577" t="s">
        <v>2615</v>
      </c>
      <c r="J1577" s="6" t="str">
        <f>HYPERLINK("https://www.biovista.com/db/link/%5B%5B%22Disease%7CMyotonic%20dystrophy%20type%201%22%5D,%20%5B%22Gene%7Cmyosin%22%5D%5D?strength-weight-map=%257B%2522MEDLINE_STRENGTH_AB%2522:1.0,%2522HPO%2522:100.0%257D", "Show Evidence...")</f>
        <v>Show Evidence...</v>
      </c>
    </row>
    <row r="1578" spans="1:10" ht="12.75">
      <c r="A1578" s="2" t="s">
        <v>2374</v>
      </c>
      <c r="B1578" s="2" t="s">
        <v>2375</v>
      </c>
      <c r="C1578" s="2" t="s">
        <v>24</v>
      </c>
      <c r="D1578" s="2" t="s">
        <v>2376</v>
      </c>
      <c r="E1578" s="2" t="s">
        <v>293</v>
      </c>
      <c r="F1578" s="11">
        <v>487</v>
      </c>
      <c r="G1578" t="s">
        <v>36</v>
      </c>
      <c r="H1578" t="s">
        <v>2619</v>
      </c>
      <c r="I1578" t="s">
        <v>2399</v>
      </c>
      <c r="J1578" s="6" t="str">
        <f>HYPERLINK("https://www.biovista.com/db/link/%5B%5B%22Disease%7CMyotonic%20dystrophy%20type%201%22%5D,%20%5B%22Gene%7CATP2A1%22%5D%5D?strength-weight-map=%257B%2522MEDLINE_STRENGTH_AB%2522:1.0,%2522HPO%2522:100.0%257D", "Show Evidence...")</f>
        <v>Show Evidence...</v>
      </c>
    </row>
    <row r="1579" spans="1:10" ht="12.75">
      <c r="A1579" s="2" t="s">
        <v>2374</v>
      </c>
      <c r="B1579" s="2" t="s">
        <v>2375</v>
      </c>
      <c r="C1579" s="2" t="s">
        <v>24</v>
      </c>
      <c r="D1579" s="2" t="s">
        <v>2376</v>
      </c>
      <c r="E1579" s="2" t="s">
        <v>293</v>
      </c>
      <c r="F1579" s="11">
        <v>8476</v>
      </c>
      <c r="G1579" t="s">
        <v>36</v>
      </c>
      <c r="H1579" t="s">
        <v>2620</v>
      </c>
      <c r="I1579" t="s">
        <v>2399</v>
      </c>
      <c r="J1579" s="6" t="str">
        <f>HYPERLINK("https://www.biovista.com/db/link/%5B%5B%22Disease%7CMyotonic%20dystrophy%20type%201%22%5D,%20%5B%22Gene%7CCDC42BPA%22%5D%5D?strength-weight-map=%257B%2522MEDLINE_STRENGTH_AB%2522:1.0,%2522HPO%2522:100.0%257D", "Show Evidence...")</f>
        <v>Show Evidence...</v>
      </c>
    </row>
    <row r="1580" spans="1:10" ht="12.75">
      <c r="A1580" s="2" t="s">
        <v>2374</v>
      </c>
      <c r="B1580" s="2" t="s">
        <v>2375</v>
      </c>
      <c r="C1580" s="2" t="s">
        <v>24</v>
      </c>
      <c r="D1580" s="2" t="s">
        <v>2376</v>
      </c>
      <c r="E1580" s="2" t="s">
        <v>293</v>
      </c>
      <c r="F1580" s="11">
        <v>1760</v>
      </c>
      <c r="G1580" t="s">
        <v>36</v>
      </c>
      <c r="H1580" t="s">
        <v>2621</v>
      </c>
      <c r="I1580" t="s">
        <v>2399</v>
      </c>
      <c r="J1580" s="6" t="str">
        <f>HYPERLINK("https://www.biovista.com/db/link/%5B%5B%22Disease%7CMyotonic%20dystrophy%20type%201%22%5D,%20%5B%22Gene%7CDM1%20protein%20kinase%22%5D%5D?strength-weight-map=%257B%2522MEDLINE_STRENGTH_AB%2522:1.0,%2522HPO%2522:100.0%257D", "Show Evidence...")</f>
        <v>Show Evidence...</v>
      </c>
    </row>
    <row r="1581" spans="1:10" ht="12.75">
      <c r="A1581" s="2" t="s">
        <v>2374</v>
      </c>
      <c r="B1581" s="2" t="s">
        <v>2375</v>
      </c>
      <c r="C1581" s="2" t="s">
        <v>24</v>
      </c>
      <c r="D1581" s="2" t="s">
        <v>2376</v>
      </c>
      <c r="E1581" s="2" t="s">
        <v>293</v>
      </c>
      <c r="F1581" s="11">
        <v>2548</v>
      </c>
      <c r="G1581" t="s">
        <v>36</v>
      </c>
      <c r="H1581" t="s">
        <v>2622</v>
      </c>
      <c r="I1581" t="s">
        <v>2399</v>
      </c>
      <c r="J1581" s="6" t="str">
        <f>HYPERLINK("https://www.biovista.com/db/link/%5B%5B%22Disease%7CMyotonic%20dystrophy%20type%201%22%5D,%20%5B%22Gene%7CGAA%22%5D%5D?strength-weight-map=%257B%2522MEDLINE_STRENGTH_AB%2522:1.0,%2522HPO%2522:100.0%257D", "Show Evidence...")</f>
        <v>Show Evidence...</v>
      </c>
    </row>
    <row r="1582" spans="1:10" ht="12.75">
      <c r="A1582" s="2" t="s">
        <v>2374</v>
      </c>
      <c r="B1582" s="2" t="s">
        <v>2375</v>
      </c>
      <c r="C1582" s="2" t="s">
        <v>24</v>
      </c>
      <c r="D1582" s="2" t="s">
        <v>2376</v>
      </c>
      <c r="E1582" s="2" t="s">
        <v>293</v>
      </c>
      <c r="F1582" s="11">
        <v>1213</v>
      </c>
      <c r="G1582" t="s">
        <v>36</v>
      </c>
      <c r="H1582" t="s">
        <v>352</v>
      </c>
      <c r="I1582" t="s">
        <v>2399</v>
      </c>
      <c r="J1582" s="6" t="str">
        <f>HYPERLINK("https://www.biovista.com/db/link/%5B%5B%22Disease%7CMyotonic%20dystrophy%20type%201%22%5D,%20%5B%22Gene%7CHC%22%5D%5D?strength-weight-map=%257B%2522MEDLINE_STRENGTH_AB%2522:1.0,%2522HPO%2522:100.0%257D", "Show Evidence...")</f>
        <v>Show Evidence...</v>
      </c>
    </row>
    <row r="1583" spans="1:10" ht="12.75">
      <c r="A1583" s="2" t="s">
        <v>2374</v>
      </c>
      <c r="B1583" s="2" t="s">
        <v>2375</v>
      </c>
      <c r="C1583" s="2" t="s">
        <v>24</v>
      </c>
      <c r="D1583" s="2" t="s">
        <v>2376</v>
      </c>
      <c r="E1583" s="2" t="s">
        <v>293</v>
      </c>
      <c r="F1583" s="11">
        <v>213</v>
      </c>
      <c r="G1583" t="s">
        <v>36</v>
      </c>
      <c r="H1583" t="s">
        <v>2623</v>
      </c>
      <c r="I1583" t="s">
        <v>2399</v>
      </c>
      <c r="J1583" s="6" t="str">
        <f>HYPERLINK("https://www.biovista.com/db/link/%5B%5B%22Disease%7CMyotonic%20dystrophy%20type%201%22%5D,%20%5B%22Gene%7CHsa%22%5D%5D?strength-weight-map=%257B%2522MEDLINE_STRENGTH_AB%2522:1.0,%2522HPO%2522:100.0%257D", "Show Evidence...")</f>
        <v>Show Evidence...</v>
      </c>
    </row>
    <row r="1584" spans="1:10" ht="12.75">
      <c r="A1584" s="2" t="s">
        <v>2374</v>
      </c>
      <c r="B1584" s="2" t="s">
        <v>2375</v>
      </c>
      <c r="C1584" s="2" t="s">
        <v>24</v>
      </c>
      <c r="D1584" s="2" t="s">
        <v>2376</v>
      </c>
      <c r="E1584" s="2" t="s">
        <v>53</v>
      </c>
      <c r="F1584" s="11" t="s">
        <v>296</v>
      </c>
      <c r="G1584" t="s">
        <v>36</v>
      </c>
      <c r="H1584" t="s">
        <v>297</v>
      </c>
      <c r="I1584" t="s">
        <v>2399</v>
      </c>
      <c r="J1584" s="6" t="str">
        <f>HYPERLINK("https://www.biovista.com/db/link/%5B%5B%22Disease%7CMyotonic%20dystrophy%20type%201%22%5D,%20%5B%22Gene%7CReceptors,%20Cholinergic%22%5D%5D?strength-weight-map=%257B%2522MEDLINE_STRENGTH_AB%2522:1.0,%2522HPO%2522:100.0%257D", "Show Evidence...")</f>
        <v>Show Evidence...</v>
      </c>
    </row>
    <row r="1585" spans="1:10" ht="12.75">
      <c r="A1585" s="2" t="s">
        <v>2374</v>
      </c>
      <c r="B1585" s="2" t="s">
        <v>2375</v>
      </c>
      <c r="C1585" s="2" t="s">
        <v>24</v>
      </c>
      <c r="D1585" s="2" t="s">
        <v>2376</v>
      </c>
      <c r="E1585" s="2" t="s">
        <v>293</v>
      </c>
      <c r="F1585" s="11">
        <v>6331</v>
      </c>
      <c r="G1585" t="s">
        <v>36</v>
      </c>
      <c r="H1585" t="s">
        <v>2624</v>
      </c>
      <c r="I1585" t="s">
        <v>2399</v>
      </c>
      <c r="J1585" s="6" t="str">
        <f>HYPERLINK("https://www.biovista.com/db/link/%5B%5B%22Disease%7CMyotonic%20dystrophy%20type%201%22%5D,%20%5B%22Gene%7CSCN5A%22%5D%5D?strength-weight-map=%257B%2522MEDLINE_STRENGTH_AB%2522:1.0,%2522HPO%2522:100.0%257D", "Show Evidence...")</f>
        <v>Show Evidence...</v>
      </c>
    </row>
    <row r="1586" spans="1:10" ht="12.75">
      <c r="A1586" s="2" t="s">
        <v>2374</v>
      </c>
      <c r="B1586" s="2" t="s">
        <v>2375</v>
      </c>
      <c r="C1586" s="2" t="s">
        <v>24</v>
      </c>
      <c r="D1586" s="2" t="s">
        <v>2376</v>
      </c>
      <c r="E1586" s="2" t="s">
        <v>293</v>
      </c>
      <c r="F1586" s="11">
        <v>2641</v>
      </c>
      <c r="G1586" t="s">
        <v>36</v>
      </c>
      <c r="H1586" t="s">
        <v>2625</v>
      </c>
      <c r="I1586" t="s">
        <v>2404</v>
      </c>
      <c r="J1586" s="6" t="str">
        <f>HYPERLINK("https://www.biovista.com/db/link/%5B%5B%22Disease%7CMyotonic%20dystrophy%20type%201%22%5D,%20%5B%22Gene%7Cglucagon%22%5D%5D?strength-weight-map=%257B%2522MEDLINE_STRENGTH_AB%2522:1.0,%2522HPO%2522:100.0%257D", "Show Evidence...")</f>
        <v>Show Evidence...</v>
      </c>
    </row>
    <row r="1587" spans="1:10" ht="12.75">
      <c r="A1587" s="2" t="s">
        <v>2374</v>
      </c>
      <c r="B1587" s="2" t="s">
        <v>2375</v>
      </c>
      <c r="C1587" s="2" t="s">
        <v>24</v>
      </c>
      <c r="D1587" s="2" t="s">
        <v>2376</v>
      </c>
      <c r="E1587" s="2" t="s">
        <v>293</v>
      </c>
      <c r="F1587" s="11">
        <v>4656</v>
      </c>
      <c r="G1587" t="s">
        <v>36</v>
      </c>
      <c r="H1587" t="s">
        <v>2626</v>
      </c>
      <c r="I1587" t="s">
        <v>2404</v>
      </c>
      <c r="J1587" s="6" t="str">
        <f>HYPERLINK("https://www.biovista.com/db/link/%5B%5B%22Disease%7CMyotonic%20dystrophy%20type%201%22%5D,%20%5B%22Gene%7Cmyogenin%22%5D%5D?strength-weight-map=%257B%2522MEDLINE_STRENGTH_AB%2522:1.0,%2522HPO%2522:100.0%257D", "Show Evidence...")</f>
        <v>Show Evidence...</v>
      </c>
    </row>
    <row r="1588" spans="1:10" ht="12.75">
      <c r="A1588" s="2" t="s">
        <v>2374</v>
      </c>
      <c r="B1588" s="2" t="s">
        <v>2375</v>
      </c>
      <c r="C1588" s="2" t="s">
        <v>24</v>
      </c>
      <c r="D1588" s="2" t="s">
        <v>2376</v>
      </c>
      <c r="E1588" s="2" t="s">
        <v>293</v>
      </c>
      <c r="F1588" s="11">
        <v>1762</v>
      </c>
      <c r="G1588" t="s">
        <v>36</v>
      </c>
      <c r="H1588" t="s">
        <v>2627</v>
      </c>
      <c r="I1588" t="s">
        <v>2409</v>
      </c>
      <c r="J1588" s="6" t="str">
        <f>HYPERLINK("https://www.biovista.com/db/link/%5B%5B%22Disease%7CMyotonic%20dystrophy%20type%201%22%5D,%20%5B%22Gene%7CDMWD%22%5D%5D?strength-weight-map=%257B%2522MEDLINE_STRENGTH_AB%2522:1.0,%2522HPO%2522:100.0%257D", "Show Evidence...")</f>
        <v>Show Evidence...</v>
      </c>
    </row>
    <row r="1589" spans="1:10" ht="12.75">
      <c r="A1589" s="2" t="s">
        <v>2374</v>
      </c>
      <c r="B1589" s="2" t="s">
        <v>2375</v>
      </c>
      <c r="C1589" s="2" t="s">
        <v>24</v>
      </c>
      <c r="D1589" s="2" t="s">
        <v>2376</v>
      </c>
      <c r="E1589" s="2" t="s">
        <v>293</v>
      </c>
      <c r="F1589" s="11">
        <v>3064</v>
      </c>
      <c r="G1589" t="s">
        <v>36</v>
      </c>
      <c r="H1589" t="s">
        <v>2628</v>
      </c>
      <c r="I1589" t="s">
        <v>2409</v>
      </c>
      <c r="J1589" s="6" t="str">
        <f>HYPERLINK("https://www.biovista.com/db/link/%5B%5B%22Disease%7CMyotonic%20dystrophy%20type%201%22%5D,%20%5B%22Gene%7CHTT%22%5D%5D?strength-weight-map=%257B%2522MEDLINE_STRENGTH_AB%2522:1.0,%2522HPO%2522:100.0%257D", "Show Evidence...")</f>
        <v>Show Evidence...</v>
      </c>
    </row>
    <row r="1590" spans="1:10" ht="12.75">
      <c r="A1590" s="2" t="s">
        <v>2374</v>
      </c>
      <c r="B1590" s="2" t="s">
        <v>2375</v>
      </c>
      <c r="C1590" s="2" t="s">
        <v>24</v>
      </c>
      <c r="D1590" s="2" t="s">
        <v>2376</v>
      </c>
      <c r="E1590" s="2" t="s">
        <v>293</v>
      </c>
      <c r="F1590" s="11">
        <v>100009284</v>
      </c>
      <c r="G1590" t="s">
        <v>36</v>
      </c>
      <c r="H1590" t="s">
        <v>2629</v>
      </c>
      <c r="I1590" t="s">
        <v>2409</v>
      </c>
      <c r="J1590" s="6" t="str">
        <f>HYPERLINK("https://www.biovista.com/db/link/%5B%5B%22Disease%7CMyotonic%20dystrophy%20type%201%22%5D,%20%5B%22Gene%7Cmyosin%20heavy%20chain%22%5D%5D?strength-weight-map=%257B%2522MEDLINE_STRENGTH_AB%2522:1.0,%2522HPO%2522:100.0%257D", "Show Evidence...")</f>
        <v>Show Evidence...</v>
      </c>
    </row>
    <row r="1591" spans="1:10" ht="12.75">
      <c r="A1591" s="2" t="s">
        <v>2374</v>
      </c>
      <c r="B1591" s="2" t="s">
        <v>2375</v>
      </c>
      <c r="C1591" s="2" t="s">
        <v>24</v>
      </c>
      <c r="D1591" s="2" t="s">
        <v>2376</v>
      </c>
      <c r="E1591" s="2" t="s">
        <v>293</v>
      </c>
      <c r="F1591" s="11">
        <v>5617</v>
      </c>
      <c r="G1591" t="s">
        <v>36</v>
      </c>
      <c r="H1591" t="s">
        <v>2630</v>
      </c>
      <c r="I1591" t="s">
        <v>2409</v>
      </c>
      <c r="J1591" s="6" t="str">
        <f>HYPERLINK("https://www.biovista.com/db/link/%5B%5B%22Disease%7CMyotonic%20dystrophy%20type%201%22%5D,%20%5B%22Gene%7Cprolactin%22%5D%5D?strength-weight-map=%257B%2522MEDLINE_STRENGTH_AB%2522:1.0,%2522HPO%2522:100.0%257D", "Show Evidence...")</f>
        <v>Show Evidence...</v>
      </c>
    </row>
    <row r="1592" spans="1:10" ht="12.75">
      <c r="A1592" s="2" t="s">
        <v>2374</v>
      </c>
      <c r="B1592" s="2" t="s">
        <v>2375</v>
      </c>
      <c r="C1592" s="2" t="s">
        <v>24</v>
      </c>
      <c r="D1592" s="2" t="s">
        <v>2376</v>
      </c>
      <c r="E1592" s="2" t="s">
        <v>293</v>
      </c>
      <c r="F1592" s="11">
        <v>25537</v>
      </c>
      <c r="G1592" t="s">
        <v>36</v>
      </c>
      <c r="H1592" t="s">
        <v>2631</v>
      </c>
      <c r="I1592" t="s">
        <v>2409</v>
      </c>
      <c r="J1592" s="6" t="str">
        <f>HYPERLINK("https://www.biovista.com/db/link/%5B%5B%22Disease%7CMyotonic%20dystrophy%20type%201%22%5D,%20%5B%22Gene%7CROK%22%5D%5D?strength-weight-map=%257B%2522MEDLINE_STRENGTH_AB%2522:1.0,%2522HPO%2522:100.0%257D", "Show Evidence...")</f>
        <v>Show Evidence...</v>
      </c>
    </row>
    <row r="1593" spans="1:10" ht="12.75">
      <c r="A1593" s="2" t="s">
        <v>2374</v>
      </c>
      <c r="B1593" s="2" t="s">
        <v>2375</v>
      </c>
      <c r="C1593" s="2" t="s">
        <v>24</v>
      </c>
      <c r="D1593" s="2" t="s">
        <v>2376</v>
      </c>
      <c r="E1593" s="2" t="s">
        <v>293</v>
      </c>
      <c r="F1593" s="11">
        <v>487</v>
      </c>
      <c r="G1593" t="s">
        <v>36</v>
      </c>
      <c r="H1593" t="s">
        <v>2632</v>
      </c>
      <c r="I1593" t="s">
        <v>2409</v>
      </c>
      <c r="J1593" s="6" t="str">
        <f>HYPERLINK("https://www.biovista.com/db/link/%5B%5B%22Disease%7CMyotonic%20dystrophy%20type%201%22%5D,%20%5B%22Gene%7CSERCA1%22%5D%5D?strength-weight-map=%257B%2522MEDLINE_STRENGTH_AB%2522:1.0,%2522HPO%2522:100.0%257D", "Show Evidence...")</f>
        <v>Show Evidence...</v>
      </c>
    </row>
    <row r="1594" spans="1:10" ht="12.75">
      <c r="A1594" s="2" t="s">
        <v>2374</v>
      </c>
      <c r="B1594" s="2" t="s">
        <v>2375</v>
      </c>
      <c r="C1594" s="2" t="s">
        <v>24</v>
      </c>
      <c r="D1594" s="2" t="s">
        <v>2376</v>
      </c>
      <c r="E1594" s="2" t="s">
        <v>293</v>
      </c>
      <c r="F1594" s="11">
        <v>32314</v>
      </c>
      <c r="G1594" t="s">
        <v>36</v>
      </c>
      <c r="H1594" t="s">
        <v>2633</v>
      </c>
      <c r="I1594" t="s">
        <v>2409</v>
      </c>
      <c r="J1594" s="6" t="str">
        <f>HYPERLINK("https://www.biovista.com/db/link/%5B%5B%22Disease%7CMyotonic%20dystrophy%20type%201%22%5D,%20%5B%22Gene%7Ctroponin%20T%22%5D%5D?strength-weight-map=%257B%2522MEDLINE_STRENGTH_AB%2522:1.0,%2522HPO%2522:100.0%257D", "Show Evidence...")</f>
        <v>Show Evidence...</v>
      </c>
    </row>
    <row r="1595" spans="1:10" ht="12.75">
      <c r="A1595" s="2" t="s">
        <v>2374</v>
      </c>
      <c r="B1595" s="2" t="s">
        <v>2375</v>
      </c>
      <c r="C1595" s="2" t="s">
        <v>24</v>
      </c>
      <c r="D1595" s="2" t="s">
        <v>2376</v>
      </c>
      <c r="E1595" s="2" t="s">
        <v>293</v>
      </c>
      <c r="F1595" s="11">
        <v>344</v>
      </c>
      <c r="G1595" t="s">
        <v>36</v>
      </c>
      <c r="H1595" t="s">
        <v>2634</v>
      </c>
      <c r="I1595" t="s">
        <v>2416</v>
      </c>
      <c r="J1595" s="6" t="str">
        <f>HYPERLINK("https://www.biovista.com/db/link/%5B%5B%22Disease%7CMyotonic%20dystrophy%20type%201%22%5D,%20%5B%22Gene%7Capolipoprotein%20C-II%22%5D%5D?strength-weight-map=%257B%2522MEDLINE_STRENGTH_AB%2522:1.0,%2522HPO%2522:100.0%257D", "Show Evidence...")</f>
        <v>Show Evidence...</v>
      </c>
    </row>
    <row r="1596" spans="1:10" ht="12.75">
      <c r="A1596" s="2" t="s">
        <v>2374</v>
      </c>
      <c r="B1596" s="2" t="s">
        <v>2375</v>
      </c>
      <c r="C1596" s="2" t="s">
        <v>24</v>
      </c>
      <c r="D1596" s="2" t="s">
        <v>2376</v>
      </c>
      <c r="E1596" s="2" t="s">
        <v>53</v>
      </c>
      <c r="F1596" s="11" t="s">
        <v>2635</v>
      </c>
      <c r="G1596" t="s">
        <v>36</v>
      </c>
      <c r="H1596" t="s">
        <v>2636</v>
      </c>
      <c r="I1596" t="s">
        <v>2416</v>
      </c>
      <c r="J1596" s="6" t="str">
        <f>HYPERLINK("https://www.biovista.com/db/link/%5B%5B%22Disease%7CMyotonic%20dystrophy%20type%201%22%5D,%20%5B%22Gene%7CApolipoproteins%20C%22%5D%5D?strength-weight-map=%257B%2522MEDLINE_STRENGTH_AB%2522:1.0,%2522HPO%2522:100.0%257D", "Show Evidence...")</f>
        <v>Show Evidence...</v>
      </c>
    </row>
    <row r="1597" spans="1:10" ht="12.75">
      <c r="A1597" s="2" t="s">
        <v>2374</v>
      </c>
      <c r="B1597" s="2" t="s">
        <v>2375</v>
      </c>
      <c r="C1597" s="2" t="s">
        <v>24</v>
      </c>
      <c r="D1597" s="2" t="s">
        <v>2376</v>
      </c>
      <c r="E1597" s="2" t="s">
        <v>293</v>
      </c>
      <c r="F1597" s="11">
        <v>119863888</v>
      </c>
      <c r="G1597" t="s">
        <v>36</v>
      </c>
      <c r="H1597" t="s">
        <v>2637</v>
      </c>
      <c r="I1597" t="s">
        <v>2416</v>
      </c>
      <c r="J1597" s="6" t="str">
        <f>HYPERLINK("https://www.biovista.com/db/link/%5B%5B%22Disease%7CMyotonic%20dystrophy%20type%201%22%5D,%20%5B%22Gene%7CCDC42%20GTP-binding%20protein%22%5D%5D?strength-weight-map=%257B%2522MEDLINE_STRENGTH_AB%2522:1.0,%2522HPO%2522:100.0%257D", "Show Evidence...")</f>
        <v>Show Evidence...</v>
      </c>
    </row>
    <row r="1598" spans="1:10" ht="12.75">
      <c r="A1598" s="2" t="s">
        <v>2374</v>
      </c>
      <c r="B1598" s="2" t="s">
        <v>2375</v>
      </c>
      <c r="C1598" s="2" t="s">
        <v>24</v>
      </c>
      <c r="D1598" s="2" t="s">
        <v>2376</v>
      </c>
      <c r="E1598" s="2" t="s">
        <v>293</v>
      </c>
      <c r="F1598" s="11">
        <v>3639366</v>
      </c>
      <c r="G1598" t="s">
        <v>36</v>
      </c>
      <c r="H1598" t="s">
        <v>2638</v>
      </c>
      <c r="I1598" t="s">
        <v>2416</v>
      </c>
      <c r="J1598" s="6" t="str">
        <f>HYPERLINK("https://www.biovista.com/db/link/%5B%5B%22Disease%7CMyotonic%20dystrophy%20type%201%22%5D,%20%5B%22Gene%7Cgamma-glutamyltransferase%22%5D%5D?strength-weight-map=%257B%2522MEDLINE_STRENGTH_AB%2522:1.0,%2522HPO%2522:100.0%257D", "Show Evidence...")</f>
        <v>Show Evidence...</v>
      </c>
    </row>
    <row r="1599" spans="1:10" ht="12.75">
      <c r="A1599" s="2" t="s">
        <v>2374</v>
      </c>
      <c r="B1599" s="2" t="s">
        <v>2375</v>
      </c>
      <c r="C1599" s="2" t="s">
        <v>24</v>
      </c>
      <c r="D1599" s="2" t="s">
        <v>2376</v>
      </c>
      <c r="E1599" s="2" t="s">
        <v>293</v>
      </c>
      <c r="F1599" s="11">
        <v>2932</v>
      </c>
      <c r="G1599" t="s">
        <v>36</v>
      </c>
      <c r="H1599" t="s">
        <v>2639</v>
      </c>
      <c r="I1599" t="s">
        <v>2416</v>
      </c>
      <c r="J1599" s="6" t="str">
        <f>HYPERLINK("https://www.biovista.com/db/link/%5B%5B%22Disease%7CMyotonic%20dystrophy%20type%201%22%5D,%20%5B%22Gene%7CGSK3B%22%5D%5D?strength-weight-map=%257B%2522MEDLINE_STRENGTH_AB%2522:1.0,%2522HPO%2522:100.0%257D", "Show Evidence...")</f>
        <v>Show Evidence...</v>
      </c>
    </row>
    <row r="1600" spans="1:10" ht="12.75">
      <c r="A1600" s="2" t="s">
        <v>2374</v>
      </c>
      <c r="B1600" s="2" t="s">
        <v>2375</v>
      </c>
      <c r="C1600" s="2" t="s">
        <v>24</v>
      </c>
      <c r="D1600" s="2" t="s">
        <v>2376</v>
      </c>
      <c r="E1600" s="2" t="s">
        <v>53</v>
      </c>
      <c r="F1600" s="11" t="s">
        <v>2640</v>
      </c>
      <c r="G1600" t="s">
        <v>36</v>
      </c>
      <c r="H1600" t="s">
        <v>2641</v>
      </c>
      <c r="I1600" t="s">
        <v>2416</v>
      </c>
      <c r="J1600" s="6" t="str">
        <f>HYPERLINK("https://www.biovista.com/db/link/%5B%5B%22Disease%7CMyotonic%20dystrophy%20type%201%22%5D,%20%5B%22Gene%7CMyoD%20Protein%22%5D%5D?strength-weight-map=%257B%2522MEDLINE_STRENGTH_AB%2522:1.0,%2522HPO%2522:100.0%257D", "Show Evidence...")</f>
        <v>Show Evidence...</v>
      </c>
    </row>
    <row r="1601" spans="1:10" ht="12.75">
      <c r="A1601" s="2" t="s">
        <v>2374</v>
      </c>
      <c r="B1601" s="2" t="s">
        <v>2375</v>
      </c>
      <c r="C1601" s="2" t="s">
        <v>24</v>
      </c>
      <c r="D1601" s="2" t="s">
        <v>2376</v>
      </c>
      <c r="E1601" s="2" t="s">
        <v>293</v>
      </c>
      <c r="F1601" s="11">
        <v>7143</v>
      </c>
      <c r="G1601" t="s">
        <v>36</v>
      </c>
      <c r="H1601" t="s">
        <v>2642</v>
      </c>
      <c r="I1601" t="s">
        <v>2416</v>
      </c>
      <c r="J1601" s="6" t="str">
        <f>HYPERLINK("https://www.biovista.com/db/link/%5B%5B%22Disease%7CMyotonic%20dystrophy%20type%201%22%5D,%20%5B%22Gene%7CTNR%22%5D%5D?strength-weight-map=%257B%2522MEDLINE_STRENGTH_AB%2522:1.0,%2522HPO%2522:100.0%257D", "Show Evidence...")</f>
        <v>Show Evidence...</v>
      </c>
    </row>
    <row r="1602" spans="1:10" ht="12.75">
      <c r="A1602" s="2" t="s">
        <v>2374</v>
      </c>
      <c r="B1602" s="2" t="s">
        <v>2375</v>
      </c>
      <c r="C1602" s="2" t="s">
        <v>24</v>
      </c>
      <c r="D1602" s="2" t="s">
        <v>2376</v>
      </c>
      <c r="E1602" s="2" t="s">
        <v>53</v>
      </c>
      <c r="F1602" s="11" t="s">
        <v>365</v>
      </c>
      <c r="G1602" t="s">
        <v>36</v>
      </c>
      <c r="H1602" t="s">
        <v>366</v>
      </c>
      <c r="I1602" t="s">
        <v>2419</v>
      </c>
      <c r="J1602" s="6" t="str">
        <f>HYPERLINK("https://www.biovista.com/db/link/%5B%5B%22Disease%7CMyotonic%20dystrophy%20type%201%22%5D,%20%5B%22Gene%7CAdaptor%20Proteins,%20Signal%20Transducing%22%5D%5D?strength-weight-map=%257B%2522MEDLINE_STRENGTH_AB%2522:1.0,%2522HPO%2522:100.0%257D", "Show Evidence...")</f>
        <v>Show Evidence...</v>
      </c>
    </row>
    <row r="1603" spans="1:10" ht="12.75">
      <c r="A1603" s="2" t="s">
        <v>2374</v>
      </c>
      <c r="B1603" s="2" t="s">
        <v>2375</v>
      </c>
      <c r="C1603" s="2" t="s">
        <v>24</v>
      </c>
      <c r="D1603" s="2" t="s">
        <v>2376</v>
      </c>
      <c r="E1603" s="2" t="s">
        <v>293</v>
      </c>
      <c r="F1603" s="11">
        <v>1822</v>
      </c>
      <c r="G1603" t="s">
        <v>36</v>
      </c>
      <c r="H1603" t="s">
        <v>2643</v>
      </c>
      <c r="I1603" t="s">
        <v>2419</v>
      </c>
      <c r="J1603" s="6" t="str">
        <f>HYPERLINK("https://www.biovista.com/db/link/%5B%5B%22Disease%7CMyotonic%20dystrophy%20type%201%22%5D,%20%5B%22Gene%7CATN1%22%5D%5D?strength-weight-map=%257B%2522MEDLINE_STRENGTH_AB%2522:1.0,%2522HPO%2522:100.0%257D", "Show Evidence...")</f>
        <v>Show Evidence...</v>
      </c>
    </row>
    <row r="1604" spans="1:10" ht="12.75">
      <c r="A1604" s="2" t="s">
        <v>2374</v>
      </c>
      <c r="B1604" s="2" t="s">
        <v>2375</v>
      </c>
      <c r="C1604" s="2" t="s">
        <v>24</v>
      </c>
      <c r="D1604" s="2" t="s">
        <v>2376</v>
      </c>
      <c r="E1604" s="2" t="s">
        <v>293</v>
      </c>
      <c r="F1604" s="11">
        <v>10150</v>
      </c>
      <c r="G1604" t="s">
        <v>36</v>
      </c>
      <c r="H1604" t="s">
        <v>2644</v>
      </c>
      <c r="I1604" t="s">
        <v>2419</v>
      </c>
      <c r="J1604" s="6" t="str">
        <f>HYPERLINK("https://www.biovista.com/db/link/%5B%5B%22Disease%7CMyotonic%20dystrophy%20type%201%22%5D,%20%5B%22Gene%7Cmuscleblind-like%20protein%201%22%5D%5D?strength-weight-map=%257B%2522MEDLINE_STRENGTH_AB%2522:1.0,%2522HPO%2522:100.0%257D", "Show Evidence...")</f>
        <v>Show Evidence...</v>
      </c>
    </row>
    <row r="1605" spans="1:10" ht="12.75">
      <c r="A1605" s="2" t="s">
        <v>2374</v>
      </c>
      <c r="B1605" s="2" t="s">
        <v>2375</v>
      </c>
      <c r="C1605" s="2" t="s">
        <v>24</v>
      </c>
      <c r="D1605" s="2" t="s">
        <v>2376</v>
      </c>
      <c r="E1605" s="2" t="s">
        <v>293</v>
      </c>
      <c r="F1605" s="11">
        <v>29984</v>
      </c>
      <c r="G1605" t="s">
        <v>36</v>
      </c>
      <c r="H1605" t="s">
        <v>2645</v>
      </c>
      <c r="I1605" t="s">
        <v>2419</v>
      </c>
      <c r="J1605" s="6" t="str">
        <f>HYPERLINK("https://www.biovista.com/db/link/%5B%5B%22Disease%7CMyotonic%20dystrophy%20type%201%22%5D,%20%5B%22Gene%7CRHO%22%5D%5D?strength-weight-map=%257B%2522MEDLINE_STRENGTH_AB%2522:1.0,%2522HPO%2522:100.0%257D", "Show Evidence...")</f>
        <v>Show Evidence...</v>
      </c>
    </row>
    <row r="1606" spans="1:10" ht="12.75">
      <c r="A1606" s="2" t="s">
        <v>2374</v>
      </c>
      <c r="B1606" s="2" t="s">
        <v>2375</v>
      </c>
      <c r="C1606" s="2" t="s">
        <v>24</v>
      </c>
      <c r="D1606" s="2" t="s">
        <v>2376</v>
      </c>
      <c r="E1606" s="2" t="s">
        <v>293</v>
      </c>
      <c r="F1606" s="11">
        <v>79158</v>
      </c>
      <c r="G1606" t="s">
        <v>36</v>
      </c>
      <c r="H1606" t="s">
        <v>412</v>
      </c>
      <c r="I1606" t="s">
        <v>2420</v>
      </c>
      <c r="J1606" s="6" t="str">
        <f>HYPERLINK("https://www.biovista.com/db/link/%5B%5B%22Disease%7CMyotonic%20dystrophy%20type%201%22%5D,%20%5B%22Gene%7CICD%22%5D%5D?strength-weight-map=%257B%2522MEDLINE_STRENGTH_AB%2522:1.0,%2522HPO%2522:100.0%257D", "Show Evidence...")</f>
        <v>Show Evidence...</v>
      </c>
    </row>
    <row r="1607" spans="1:10" ht="12.75">
      <c r="A1607" s="2" t="s">
        <v>2374</v>
      </c>
      <c r="B1607" s="2" t="s">
        <v>2375</v>
      </c>
      <c r="C1607" s="2" t="s">
        <v>24</v>
      </c>
      <c r="D1607" s="2" t="s">
        <v>2376</v>
      </c>
      <c r="E1607" s="2" t="s">
        <v>293</v>
      </c>
      <c r="F1607" s="11">
        <v>125772317</v>
      </c>
      <c r="G1607" t="s">
        <v>36</v>
      </c>
      <c r="H1607" t="s">
        <v>2646</v>
      </c>
      <c r="I1607" t="s">
        <v>2420</v>
      </c>
      <c r="J1607" s="6" t="str">
        <f>HYPERLINK("https://www.biovista.com/db/link/%5B%5B%22Disease%7CMyotonic%20dystrophy%20type%201%22%5D,%20%5B%22Gene%7CL-lactate%20dehydrogenase%22%5D%5D?strength-weight-map=%257B%2522MEDLINE_STRENGTH_AB%2522:1.0,%2522HPO%2522:100.0%257D", "Show Evidence...")</f>
        <v>Show Evidence...</v>
      </c>
    </row>
    <row r="1608" spans="1:10" ht="12.75">
      <c r="A1608" s="2" t="s">
        <v>2374</v>
      </c>
      <c r="B1608" s="2" t="s">
        <v>2375</v>
      </c>
      <c r="C1608" s="2" t="s">
        <v>24</v>
      </c>
      <c r="D1608" s="2" t="s">
        <v>2376</v>
      </c>
      <c r="E1608" s="2" t="s">
        <v>293</v>
      </c>
      <c r="F1608" s="11">
        <v>125774680</v>
      </c>
      <c r="G1608" t="s">
        <v>36</v>
      </c>
      <c r="H1608" t="s">
        <v>2647</v>
      </c>
      <c r="I1608" t="s">
        <v>2420</v>
      </c>
      <c r="J1608" s="6" t="str">
        <f>HYPERLINK("https://www.biovista.com/db/link/%5B%5B%22Disease%7CMyotonic%20dystrophy%20type%201%22%5D,%20%5B%22Gene%7Cprotein%20kinase%20C%22%5D%5D?strength-weight-map=%257B%2522MEDLINE_STRENGTH_AB%2522:1.0,%2522HPO%2522:100.0%257D", "Show Evidence...")</f>
        <v>Show Evidence...</v>
      </c>
    </row>
    <row r="1609" spans="1:10" ht="12.75">
      <c r="A1609" s="2" t="s">
        <v>2374</v>
      </c>
      <c r="B1609" s="2" t="s">
        <v>2375</v>
      </c>
      <c r="C1609" s="2" t="s">
        <v>24</v>
      </c>
      <c r="D1609" s="2" t="s">
        <v>2376</v>
      </c>
      <c r="E1609" s="2" t="s">
        <v>293</v>
      </c>
      <c r="F1609" s="11">
        <v>57794</v>
      </c>
      <c r="G1609" t="s">
        <v>36</v>
      </c>
      <c r="H1609" t="s">
        <v>2648</v>
      </c>
      <c r="I1609" t="s">
        <v>2420</v>
      </c>
      <c r="J1609" s="6" t="str">
        <f>HYPERLINK("https://www.biovista.com/db/link/%5B%5B%22Disease%7CMyotonic%20dystrophy%20type%201%22%5D,%20%5B%22Gene%7CRBP%22%5D%5D?strength-weight-map=%257B%2522MEDLINE_STRENGTH_AB%2522:1.0,%2522HPO%2522:100.0%257D", "Show Evidence...")</f>
        <v>Show Evidence...</v>
      </c>
    </row>
    <row r="1610" spans="1:10" ht="12.75">
      <c r="A1610" s="2" t="s">
        <v>2374</v>
      </c>
      <c r="B1610" s="2" t="s">
        <v>2375</v>
      </c>
      <c r="C1610" s="2" t="s">
        <v>24</v>
      </c>
      <c r="D1610" s="2" t="s">
        <v>2376</v>
      </c>
      <c r="E1610" s="2" t="s">
        <v>431</v>
      </c>
      <c r="F1610" s="11" t="s">
        <v>2649</v>
      </c>
      <c r="G1610" t="s">
        <v>38</v>
      </c>
      <c r="H1610" t="s">
        <v>2650</v>
      </c>
      <c r="I1610" t="s">
        <v>2651</v>
      </c>
      <c r="J1610" s="6" t="str">
        <f>HYPERLINK("https://www.biovista.com/db/link/%5B%5B%22Disease%7CMyotonic%20dystrophy%20type%201%22%5D,%20%5B%22Human%20Phenotype%7CCardiac%20conduction%20abnormality%22%5D%5D?strength-weight-map=%257B%2522MEDLINE_STRENGTH_AB%2522:1.0,%2522HPO%2522:100.0%257D", "Show Evidence...")</f>
        <v>Show Evidence...</v>
      </c>
    </row>
    <row r="1611" spans="1:10" ht="12.75">
      <c r="A1611" s="2" t="s">
        <v>2374</v>
      </c>
      <c r="B1611" s="2" t="s">
        <v>2375</v>
      </c>
      <c r="C1611" s="2" t="s">
        <v>24</v>
      </c>
      <c r="D1611" s="2" t="s">
        <v>2376</v>
      </c>
      <c r="E1611" s="2" t="s">
        <v>431</v>
      </c>
      <c r="F1611" s="11" t="s">
        <v>2218</v>
      </c>
      <c r="G1611" t="s">
        <v>38</v>
      </c>
      <c r="H1611" t="s">
        <v>2219</v>
      </c>
      <c r="I1611" t="s">
        <v>2652</v>
      </c>
      <c r="J1611" s="6" t="str">
        <f>HYPERLINK("https://www.biovista.com/db/link/%5B%5B%22Disease%7CMyotonic%20dystrophy%20type%201%22%5D,%20%5B%22Human%20Phenotype%7CDistal%20muscle%20weakness%22%5D%5D?strength-weight-map=%257B%2522MEDLINE_STRENGTH_AB%2522:1.0,%2522HPO%2522:100.0%257D", "Show Evidence...")</f>
        <v>Show Evidence...</v>
      </c>
    </row>
    <row r="1612" spans="1:10" ht="12.75">
      <c r="A1612" s="2" t="s">
        <v>2374</v>
      </c>
      <c r="B1612" s="2" t="s">
        <v>2375</v>
      </c>
      <c r="C1612" s="2" t="s">
        <v>24</v>
      </c>
      <c r="D1612" s="2" t="s">
        <v>2376</v>
      </c>
      <c r="E1612" s="2" t="s">
        <v>431</v>
      </c>
      <c r="F1612" s="11" t="s">
        <v>2653</v>
      </c>
      <c r="G1612" t="s">
        <v>38</v>
      </c>
      <c r="H1612" t="s">
        <v>2654</v>
      </c>
      <c r="I1612" t="s">
        <v>2655</v>
      </c>
      <c r="J1612" s="6" t="str">
        <f>HYPERLINK("https://www.biovista.com/db/link/%5B%5B%22Disease%7CMyotonic%20dystrophy%20type%201%22%5D,%20%5B%22Human%20Phenotype%7CPosterior%20subcapsular%20cataract%22%5D%5D?strength-weight-map=%257B%2522MEDLINE_STRENGTH_AB%2522:1.0,%2522HPO%2522:100.0%257D", "Show Evidence...")</f>
        <v>Show Evidence...</v>
      </c>
    </row>
    <row r="1613" spans="1:10" ht="12.75">
      <c r="A1613" s="2" t="s">
        <v>2374</v>
      </c>
      <c r="B1613" s="2" t="s">
        <v>2375</v>
      </c>
      <c r="C1613" s="2" t="s">
        <v>24</v>
      </c>
      <c r="D1613" s="2" t="s">
        <v>2376</v>
      </c>
      <c r="E1613" s="2" t="s">
        <v>431</v>
      </c>
      <c r="F1613" s="11" t="s">
        <v>2656</v>
      </c>
      <c r="G1613" t="s">
        <v>38</v>
      </c>
      <c r="H1613" t="s">
        <v>2657</v>
      </c>
      <c r="I1613" t="s">
        <v>455</v>
      </c>
      <c r="J1613" s="6" t="str">
        <f>HYPERLINK("https://www.biovista.com/db/link/%5B%5B%22Disease%7CMyotonic%20dystrophy%20type%201%22%5D,%20%5B%22Human%20Phenotype%7CEMG:%20myotonic%20discharges%22%5D%5D?strength-weight-map=%257B%2522MEDLINE_STRENGTH_AB%2522:1.0,%2522HPO%2522:100.0%257D", "Show Evidence...")</f>
        <v>Show Evidence...</v>
      </c>
    </row>
    <row r="1614" spans="1:10" ht="12.75">
      <c r="A1614" s="2" t="s">
        <v>2374</v>
      </c>
      <c r="B1614" s="2" t="s">
        <v>2375</v>
      </c>
      <c r="C1614" s="2" t="s">
        <v>24</v>
      </c>
      <c r="D1614" s="2" t="s">
        <v>2376</v>
      </c>
      <c r="E1614" s="2" t="s">
        <v>431</v>
      </c>
      <c r="F1614" s="11" t="s">
        <v>2658</v>
      </c>
      <c r="G1614" t="s">
        <v>38</v>
      </c>
      <c r="H1614" t="s">
        <v>2659</v>
      </c>
      <c r="I1614" t="s">
        <v>455</v>
      </c>
      <c r="J1614" s="6" t="str">
        <f>HYPERLINK("https://www.biovista.com/db/link/%5B%5B%22Disease%7CMyotonic%20dystrophy%20type%201%22%5D,%20%5B%22Human%20Phenotype%7CMyotonia%20with%20warm-up%20phenomenon%22%5D%5D?strength-weight-map=%257B%2522MEDLINE_STRENGTH_AB%2522:1.0,%2522HPO%2522:100.0%257D", "Show Evidence...")</f>
        <v>Show Evidence...</v>
      </c>
    </row>
    <row r="1615" spans="1:10" ht="12.75">
      <c r="A1615" s="2" t="s">
        <v>2374</v>
      </c>
      <c r="B1615" s="2" t="s">
        <v>2375</v>
      </c>
      <c r="C1615" s="2" t="s">
        <v>24</v>
      </c>
      <c r="D1615" s="2" t="s">
        <v>2376</v>
      </c>
      <c r="E1615" s="2" t="s">
        <v>431</v>
      </c>
      <c r="F1615" s="11" t="s">
        <v>692</v>
      </c>
      <c r="G1615" t="s">
        <v>38</v>
      </c>
      <c r="H1615" t="s">
        <v>693</v>
      </c>
      <c r="I1615" t="s">
        <v>2660</v>
      </c>
      <c r="J1615" s="6" t="str">
        <f>HYPERLINK("https://www.biovista.com/db/link/%5B%5B%22Disease%7CMyotonic%20dystrophy%20type%201%22%5D,%20%5B%22Human%20Phenotype%7CFatigue%22%5D%5D?strength-weight-map=%257B%2522MEDLINE_STRENGTH_AB%2522:1.0,%2522HPO%2522:100.0%257D", "Show Evidence...")</f>
        <v>Show Evidence...</v>
      </c>
    </row>
    <row r="1616" spans="1:10" ht="12.75">
      <c r="A1616" s="2" t="s">
        <v>2374</v>
      </c>
      <c r="B1616" s="2" t="s">
        <v>2375</v>
      </c>
      <c r="C1616" s="2" t="s">
        <v>24</v>
      </c>
      <c r="D1616" s="2" t="s">
        <v>2376</v>
      </c>
      <c r="E1616" s="2" t="s">
        <v>431</v>
      </c>
      <c r="F1616" s="11" t="s">
        <v>694</v>
      </c>
      <c r="G1616" t="s">
        <v>38</v>
      </c>
      <c r="H1616" t="s">
        <v>695</v>
      </c>
      <c r="I1616" t="s">
        <v>2661</v>
      </c>
      <c r="J1616" s="6" t="str">
        <f>HYPERLINK("https://www.biovista.com/db/link/%5B%5B%22Disease%7CMyotonic%20dystrophy%20type%201%22%5D,%20%5B%22Human%20Phenotype%7CCognitive%20impairment%22%5D%5D?strength-weight-map=%257B%2522MEDLINE_STRENGTH_AB%2522:1.0,%2522HPO%2522:100.0%257D", "Show Evidence...")</f>
        <v>Show Evidence...</v>
      </c>
    </row>
    <row r="1617" spans="1:10" ht="12.75">
      <c r="A1617" s="2" t="s">
        <v>2374</v>
      </c>
      <c r="B1617" s="2" t="s">
        <v>2375</v>
      </c>
      <c r="C1617" s="2" t="s">
        <v>24</v>
      </c>
      <c r="D1617" s="2" t="s">
        <v>2376</v>
      </c>
      <c r="E1617" s="2" t="s">
        <v>431</v>
      </c>
      <c r="F1617" s="11" t="s">
        <v>2662</v>
      </c>
      <c r="G1617" t="s">
        <v>38</v>
      </c>
      <c r="H1617" t="s">
        <v>2663</v>
      </c>
      <c r="I1617" t="s">
        <v>2664</v>
      </c>
      <c r="J1617" s="6" t="str">
        <f>HYPERLINK("https://www.biovista.com/db/link/%5B%5B%22Disease%7CMyotonic%20dystrophy%20type%201%22%5D,%20%5B%22Human%20Phenotype%7CMyalgia%22%5D%5D?strength-weight-map=%257B%2522MEDLINE_STRENGTH_AB%2522:1.0,%2522HPO%2522:100.0%257D", "Show Evidence...")</f>
        <v>Show Evidence...</v>
      </c>
    </row>
    <row r="1618" spans="1:10" ht="12.75">
      <c r="A1618" s="2" t="s">
        <v>2374</v>
      </c>
      <c r="B1618" s="2" t="s">
        <v>2375</v>
      </c>
      <c r="C1618" s="2" t="s">
        <v>24</v>
      </c>
      <c r="D1618" s="2" t="s">
        <v>2376</v>
      </c>
      <c r="E1618" s="2" t="s">
        <v>431</v>
      </c>
      <c r="F1618" s="11" t="s">
        <v>2665</v>
      </c>
      <c r="G1618" t="s">
        <v>38</v>
      </c>
      <c r="H1618" t="s">
        <v>2666</v>
      </c>
      <c r="I1618" t="s">
        <v>2667</v>
      </c>
      <c r="J1618" s="6" t="str">
        <f>HYPERLINK("https://www.biovista.com/db/link/%5B%5B%22Disease%7CMyotonic%20dystrophy%20type%201%22%5D,%20%5B%22Human%20Phenotype%7CHypersomnia%22%5D%5D?strength-weight-map=%257B%2522MEDLINE_STRENGTH_AB%2522:1.0,%2522HPO%2522:100.0%257D", "Show Evidence...")</f>
        <v>Show Evidence...</v>
      </c>
    </row>
    <row r="1619" spans="1:10" ht="12.75">
      <c r="A1619" s="2" t="s">
        <v>2374</v>
      </c>
      <c r="B1619" s="2" t="s">
        <v>2375</v>
      </c>
      <c r="C1619" s="2" t="s">
        <v>24</v>
      </c>
      <c r="D1619" s="2" t="s">
        <v>2376</v>
      </c>
      <c r="E1619" s="2" t="s">
        <v>431</v>
      </c>
      <c r="F1619" s="11" t="s">
        <v>660</v>
      </c>
      <c r="G1619" t="s">
        <v>38</v>
      </c>
      <c r="H1619" t="s">
        <v>661</v>
      </c>
      <c r="I1619" t="s">
        <v>2668</v>
      </c>
      <c r="J1619" s="6" t="str">
        <f>HYPERLINK("https://www.biovista.com/db/link/%5B%5B%22Disease%7CMyotonic%20dystrophy%20type%201%22%5D,%20%5B%22Human%20Phenotype%7CAtypical%20behavior%22%5D%5D?strength-weight-map=%257B%2522MEDLINE_STRENGTH_AB%2522:1.0,%2522HPO%2522:100.0%257D", "Show Evidence...")</f>
        <v>Show Evidence...</v>
      </c>
    </row>
    <row r="1620" spans="1:10" ht="12.75">
      <c r="A1620" s="2" t="s">
        <v>2374</v>
      </c>
      <c r="B1620" s="2" t="s">
        <v>2375</v>
      </c>
      <c r="C1620" s="2" t="s">
        <v>24</v>
      </c>
      <c r="D1620" s="2" t="s">
        <v>2376</v>
      </c>
      <c r="E1620" s="2" t="s">
        <v>431</v>
      </c>
      <c r="F1620" s="11" t="s">
        <v>569</v>
      </c>
      <c r="G1620" t="s">
        <v>38</v>
      </c>
      <c r="H1620" t="s">
        <v>570</v>
      </c>
      <c r="I1620" t="s">
        <v>2669</v>
      </c>
      <c r="J1620" s="6" t="str">
        <f>HYPERLINK("https://www.biovista.com/db/link/%5B%5B%22Disease%7CMyotonic%20dystrophy%20type%201%22%5D,%20%5B%22Human%20Phenotype%7CObstructive%20sleep%20apnea%22%5D%5D?strength-weight-map=%257B%2522MEDLINE_STRENGTH_AB%2522:1.0,%2522HPO%2522:100.0%257D", "Show Evidence...")</f>
        <v>Show Evidence...</v>
      </c>
    </row>
    <row r="1621" spans="1:10" ht="12.75">
      <c r="A1621" s="2" t="s">
        <v>2374</v>
      </c>
      <c r="B1621" s="2" t="s">
        <v>2375</v>
      </c>
      <c r="C1621" s="2" t="s">
        <v>24</v>
      </c>
      <c r="D1621" s="2" t="s">
        <v>2376</v>
      </c>
      <c r="E1621" s="2" t="s">
        <v>431</v>
      </c>
      <c r="F1621" s="11" t="s">
        <v>2670</v>
      </c>
      <c r="G1621" t="s">
        <v>38</v>
      </c>
      <c r="H1621" t="s">
        <v>2671</v>
      </c>
      <c r="I1621" t="s">
        <v>2672</v>
      </c>
      <c r="J1621" s="6" t="str">
        <f>HYPERLINK("https://www.biovista.com/db/link/%5B%5B%22Disease%7CMyotonic%20dystrophy%20type%201%22%5D,%20%5B%22Human%20Phenotype%7CWeakness%20of%20facial%20musculature%22%5D%5D?strength-weight-map=%257B%2522MEDLINE_STRENGTH_AB%2522:1.0,%2522HPO%2522:100.0%257D", "Show Evidence...")</f>
        <v>Show Evidence...</v>
      </c>
    </row>
    <row r="1622" spans="1:10" ht="12.75">
      <c r="A1622" s="2" t="s">
        <v>2374</v>
      </c>
      <c r="B1622" s="2" t="s">
        <v>2375</v>
      </c>
      <c r="C1622" s="2" t="s">
        <v>24</v>
      </c>
      <c r="D1622" s="2" t="s">
        <v>2376</v>
      </c>
      <c r="E1622" s="2" t="s">
        <v>431</v>
      </c>
      <c r="F1622" s="11" t="s">
        <v>493</v>
      </c>
      <c r="G1622" t="s">
        <v>38</v>
      </c>
      <c r="H1622" t="s">
        <v>494</v>
      </c>
      <c r="I1622" t="s">
        <v>2673</v>
      </c>
      <c r="J1622" s="6" t="str">
        <f>HYPERLINK("https://www.biovista.com/db/link/%5B%5B%22Disease%7CMyotonic%20dystrophy%20type%201%22%5D,%20%5B%22Human%20Phenotype%7CGait%20disturbance%22%5D%5D?strength-weight-map=%257B%2522MEDLINE_STRENGTH_AB%2522:1.0,%2522HPO%2522:100.0%257D", "Show Evidence...")</f>
        <v>Show Evidence...</v>
      </c>
    </row>
    <row r="1623" spans="1:10" ht="12.75">
      <c r="A1623" s="2" t="s">
        <v>2374</v>
      </c>
      <c r="B1623" s="2" t="s">
        <v>2375</v>
      </c>
      <c r="C1623" s="2" t="s">
        <v>24</v>
      </c>
      <c r="D1623" s="2" t="s">
        <v>2376</v>
      </c>
      <c r="E1623" s="2" t="s">
        <v>431</v>
      </c>
      <c r="F1623" s="11" t="s">
        <v>2674</v>
      </c>
      <c r="G1623" t="s">
        <v>38</v>
      </c>
      <c r="H1623" t="s">
        <v>2675</v>
      </c>
      <c r="I1623" t="s">
        <v>2676</v>
      </c>
      <c r="J1623" s="6" t="str">
        <f>HYPERLINK("https://www.biovista.com/db/link/%5B%5B%22Disease%7CMyotonic%20dystrophy%20type%201%22%5D,%20%5B%22Human%20Phenotype%7CProlonged%20QRS%20complex%22%5D%5D?strength-weight-map=%257B%2522MEDLINE_STRENGTH_AB%2522:1.0,%2522HPO%2522:100.0%257D", "Show Evidence...")</f>
        <v>Show Evidence...</v>
      </c>
    </row>
    <row r="1624" spans="1:10" ht="12.75">
      <c r="A1624" s="2" t="s">
        <v>2374</v>
      </c>
      <c r="B1624" s="2" t="s">
        <v>2375</v>
      </c>
      <c r="C1624" s="2" t="s">
        <v>24</v>
      </c>
      <c r="D1624" s="2" t="s">
        <v>2376</v>
      </c>
      <c r="E1624" s="2" t="s">
        <v>431</v>
      </c>
      <c r="F1624" s="11" t="s">
        <v>2677</v>
      </c>
      <c r="G1624" t="s">
        <v>38</v>
      </c>
      <c r="H1624" t="s">
        <v>2678</v>
      </c>
      <c r="I1624" t="s">
        <v>2679</v>
      </c>
      <c r="J1624" s="6" t="str">
        <f>HYPERLINK("https://www.biovista.com/db/link/%5B%5B%22Disease%7CMyotonic%20dystrophy%20type%201%22%5D,%20%5B%22Human%20Phenotype%7CProlonged%20PR%20interval%22%5D%5D?strength-weight-map=%257B%2522MEDLINE_STRENGTH_AB%2522:1.0,%2522HPO%2522:100.0%257D", "Show Evidence...")</f>
        <v>Show Evidence...</v>
      </c>
    </row>
    <row r="1625" spans="1:10" ht="12.75">
      <c r="A1625" s="2" t="s">
        <v>2374</v>
      </c>
      <c r="B1625" s="2" t="s">
        <v>2375</v>
      </c>
      <c r="C1625" s="2" t="s">
        <v>24</v>
      </c>
      <c r="D1625" s="2" t="s">
        <v>2376</v>
      </c>
      <c r="E1625" s="2" t="s">
        <v>431</v>
      </c>
      <c r="F1625" s="11" t="s">
        <v>2680</v>
      </c>
      <c r="G1625" t="s">
        <v>38</v>
      </c>
      <c r="H1625" t="s">
        <v>2681</v>
      </c>
      <c r="I1625" t="s">
        <v>2682</v>
      </c>
      <c r="J1625" s="6" t="str">
        <f>HYPERLINK("https://www.biovista.com/db/link/%5B%5B%22Disease%7CMyotonic%20dystrophy%20type%201%22%5D,%20%5B%22Human%20Phenotype%7CFoot%20dorsiflexor%20weakness%22%5D%5D?strength-weight-map=%257B%2522MEDLINE_STRENGTH_AB%2522:1.0,%2522HPO%2522:100.0%257D", "Show Evidence...")</f>
        <v>Show Evidence...</v>
      </c>
    </row>
    <row r="1626" spans="1:10" ht="12.75">
      <c r="A1626" s="2" t="s">
        <v>2374</v>
      </c>
      <c r="B1626" s="2" t="s">
        <v>2375</v>
      </c>
      <c r="C1626" s="2" t="s">
        <v>24</v>
      </c>
      <c r="D1626" s="2" t="s">
        <v>2376</v>
      </c>
      <c r="E1626" s="2" t="s">
        <v>431</v>
      </c>
      <c r="F1626" s="11" t="s">
        <v>2683</v>
      </c>
      <c r="G1626" t="s">
        <v>38</v>
      </c>
      <c r="H1626" t="s">
        <v>2684</v>
      </c>
      <c r="I1626" t="s">
        <v>2685</v>
      </c>
      <c r="J1626" s="6" t="str">
        <f>HYPERLINK("https://www.biovista.com/db/link/%5B%5B%22Disease%7CMyotonic%20dystrophy%20type%201%22%5D,%20%5B%22Human%20Phenotype%7CAbnormal%20rapid%20eye%20movement%20sleep%22%5D%5D?strength-weight-map=%257B%2522MEDLINE_STRENGTH_AB%2522:1.0,%2522HPO%2522:100.0%257D", "Show Evidence...")</f>
        <v>Show Evidence...</v>
      </c>
    </row>
    <row r="1627" spans="1:10" ht="12.75">
      <c r="A1627" s="2" t="s">
        <v>2374</v>
      </c>
      <c r="B1627" s="2" t="s">
        <v>2375</v>
      </c>
      <c r="C1627" s="2" t="s">
        <v>24</v>
      </c>
      <c r="D1627" s="2" t="s">
        <v>2376</v>
      </c>
      <c r="E1627" s="2" t="s">
        <v>431</v>
      </c>
      <c r="F1627" s="11" t="s">
        <v>2686</v>
      </c>
      <c r="G1627" t="s">
        <v>38</v>
      </c>
      <c r="H1627" t="s">
        <v>2687</v>
      </c>
      <c r="I1627" t="s">
        <v>499</v>
      </c>
      <c r="J1627" s="6" t="str">
        <f>HYPERLINK("https://www.biovista.com/db/link/%5B%5B%22Disease%7CMyotonic%20dystrophy%20type%201%22%5D,%20%5B%22Human%20Phenotype%7CAbnormality%20of%20masticatory%20muscle%22%5D%5D?strength-weight-map=%257B%2522MEDLINE_STRENGTH_AB%2522:1.0,%2522HPO%2522:100.0%257D", "Show Evidence...")</f>
        <v>Show Evidence...</v>
      </c>
    </row>
    <row r="1628" spans="1:10" ht="12.75">
      <c r="A1628" s="2" t="s">
        <v>2374</v>
      </c>
      <c r="B1628" s="2" t="s">
        <v>2375</v>
      </c>
      <c r="C1628" s="2" t="s">
        <v>24</v>
      </c>
      <c r="D1628" s="2" t="s">
        <v>2376</v>
      </c>
      <c r="E1628" s="2" t="s">
        <v>431</v>
      </c>
      <c r="F1628" s="11" t="s">
        <v>2688</v>
      </c>
      <c r="G1628" t="s">
        <v>38</v>
      </c>
      <c r="H1628" t="s">
        <v>2689</v>
      </c>
      <c r="I1628" t="s">
        <v>499</v>
      </c>
      <c r="J1628" s="6" t="s">
        <v>2690</v>
      </c>
    </row>
    <row r="1629" spans="1:10" ht="12.75">
      <c r="A1629" s="2" t="s">
        <v>2374</v>
      </c>
      <c r="B1629" s="2" t="s">
        <v>2375</v>
      </c>
      <c r="C1629" s="2" t="s">
        <v>24</v>
      </c>
      <c r="D1629" s="2" t="s">
        <v>2376</v>
      </c>
      <c r="E1629" s="2" t="s">
        <v>431</v>
      </c>
      <c r="F1629" s="11" t="s">
        <v>2691</v>
      </c>
      <c r="G1629" t="s">
        <v>38</v>
      </c>
      <c r="H1629" t="s">
        <v>2692</v>
      </c>
      <c r="I1629" t="s">
        <v>499</v>
      </c>
      <c r="J1629" s="6" t="str">
        <f>HYPERLINK("https://www.biovista.com/db/link/%5B%5B%22Disease%7CMyotonic%20dystrophy%20type%201%22%5D,%20%5B%22Human%20Phenotype%7CImpairment%20in%20personality%20functioning%22%5D%5D?strength-weight-map=%257B%2522MEDLINE_STRENGTH_AB%2522:1.0,%2522HPO%2522:100.0%257D", "Show Evidence...")</f>
        <v>Show Evidence...</v>
      </c>
    </row>
    <row r="1630" spans="1:10" ht="12.75">
      <c r="A1630" s="2" t="s">
        <v>2374</v>
      </c>
      <c r="B1630" s="2" t="s">
        <v>2375</v>
      </c>
      <c r="C1630" s="2" t="s">
        <v>24</v>
      </c>
      <c r="D1630" s="2" t="s">
        <v>2376</v>
      </c>
      <c r="E1630" s="2" t="s">
        <v>431</v>
      </c>
      <c r="F1630" s="11" t="s">
        <v>2693</v>
      </c>
      <c r="G1630" t="s">
        <v>38</v>
      </c>
      <c r="H1630" t="s">
        <v>2694</v>
      </c>
      <c r="I1630" t="s">
        <v>499</v>
      </c>
      <c r="J1630" s="6" t="str">
        <f>HYPERLINK("https://www.biovista.com/db/link/%5B%5B%22Disease%7CMyotonic%20dystrophy%20type%201%22%5D,%20%5B%22Human%20Phenotype%7CPoor%20fine%20motor%20coordination%22%5D%5D?strength-weight-map=%257B%2522MEDLINE_STRENGTH_AB%2522:1.0,%2522HPO%2522:100.0%257D", "Show Evidence...")</f>
        <v>Show Evidence...</v>
      </c>
    </row>
    <row r="1631" spans="1:10" ht="12.75">
      <c r="A1631" s="2" t="s">
        <v>2374</v>
      </c>
      <c r="B1631" s="2" t="s">
        <v>2375</v>
      </c>
      <c r="C1631" s="2" t="s">
        <v>24</v>
      </c>
      <c r="D1631" s="2" t="s">
        <v>2376</v>
      </c>
      <c r="E1631" s="2" t="s">
        <v>431</v>
      </c>
      <c r="F1631" s="11" t="s">
        <v>622</v>
      </c>
      <c r="G1631" t="s">
        <v>38</v>
      </c>
      <c r="H1631" t="s">
        <v>623</v>
      </c>
      <c r="I1631" t="s">
        <v>2695</v>
      </c>
      <c r="J1631" s="6" t="str">
        <f>HYPERLINK("https://www.biovista.com/db/link/%5B%5B%22Disease%7CMyotonic%20dystrophy%20type%201%22%5D,%20%5B%22Human%20Phenotype%7CMuscle%20weakness%22%5D%5D?strength-weight-map=%257B%2522MEDLINE_STRENGTH_AB%2522:1.0,%2522HPO%2522:100.0%257D", "Show Evidence...")</f>
        <v>Show Evidence...</v>
      </c>
    </row>
    <row r="1632" spans="1:10" ht="12.75">
      <c r="A1632" s="2" t="s">
        <v>2374</v>
      </c>
      <c r="B1632" s="2" t="s">
        <v>2375</v>
      </c>
      <c r="C1632" s="2" t="s">
        <v>24</v>
      </c>
      <c r="D1632" s="2" t="s">
        <v>2376</v>
      </c>
      <c r="E1632" s="2" t="s">
        <v>431</v>
      </c>
      <c r="F1632" s="11" t="s">
        <v>2696</v>
      </c>
      <c r="G1632" t="s">
        <v>38</v>
      </c>
      <c r="H1632" t="s">
        <v>2697</v>
      </c>
      <c r="I1632" t="s">
        <v>2698</v>
      </c>
      <c r="J1632" s="6" t="str">
        <f>HYPERLINK("https://www.biovista.com/db/link/%5B%5B%22Disease%7CMyotonic%20dystrophy%20type%201%22%5D,%20%5B%22Human%20Phenotype%7CExcessive%20daytime%20somnolence%22%5D%5D?strength-weight-map=%257B%2522MEDLINE_STRENGTH_AB%2522:1.0,%2522HPO%2522:100.0%257D", "Show Evidence...")</f>
        <v>Show Evidence...</v>
      </c>
    </row>
    <row r="1633" spans="1:10" ht="12.75">
      <c r="A1633" s="2" t="s">
        <v>2374</v>
      </c>
      <c r="B1633" s="2" t="s">
        <v>2375</v>
      </c>
      <c r="C1633" s="2" t="s">
        <v>24</v>
      </c>
      <c r="D1633" s="2" t="s">
        <v>2376</v>
      </c>
      <c r="E1633" s="2" t="s">
        <v>431</v>
      </c>
      <c r="F1633" s="11" t="s">
        <v>2699</v>
      </c>
      <c r="G1633" t="s">
        <v>38</v>
      </c>
      <c r="H1633" t="s">
        <v>2700</v>
      </c>
      <c r="I1633" t="s">
        <v>2701</v>
      </c>
      <c r="J1633" s="6" t="str">
        <f>HYPERLINK("https://www.biovista.com/db/link/%5B%5B%22Disease%7CMyotonic%20dystrophy%20type%201%22%5D,%20%5B%22Human%20Phenotype%7CAtrial%20fibrillation%22%5D%5D?strength-weight-map=%257B%2522MEDLINE_STRENGTH_AB%2522:1.0,%2522HPO%2522:100.0%257D", "Show Evidence...")</f>
        <v>Show Evidence...</v>
      </c>
    </row>
    <row r="1634" spans="1:10" ht="12.75">
      <c r="A1634" s="2" t="s">
        <v>2374</v>
      </c>
      <c r="B1634" s="2" t="s">
        <v>2375</v>
      </c>
      <c r="C1634" s="2" t="s">
        <v>24</v>
      </c>
      <c r="D1634" s="2" t="s">
        <v>2376</v>
      </c>
      <c r="E1634" s="2" t="s">
        <v>431</v>
      </c>
      <c r="F1634" s="11" t="s">
        <v>2702</v>
      </c>
      <c r="G1634" t="s">
        <v>38</v>
      </c>
      <c r="H1634" t="s">
        <v>2703</v>
      </c>
      <c r="I1634" t="s">
        <v>2704</v>
      </c>
      <c r="J1634" s="6" t="str">
        <f>HYPERLINK("https://www.biovista.com/db/link/%5B%5B%22Disease%7CMyotonic%20dystrophy%20type%201%22%5D,%20%5B%22Human%20Phenotype%7CAtrial%20flutter%22%5D%5D?strength-weight-map=%257B%2522MEDLINE_STRENGTH_AB%2522:1.0,%2522HPO%2522:100.0%257D", "Show Evidence...")</f>
        <v>Show Evidence...</v>
      </c>
    </row>
    <row r="1635" spans="1:10" ht="12.75">
      <c r="A1635" s="2" t="s">
        <v>2374</v>
      </c>
      <c r="B1635" s="2" t="s">
        <v>2375</v>
      </c>
      <c r="C1635" s="2" t="s">
        <v>24</v>
      </c>
      <c r="D1635" s="2" t="s">
        <v>2376</v>
      </c>
      <c r="E1635" s="2" t="s">
        <v>431</v>
      </c>
      <c r="F1635" s="11" t="s">
        <v>2190</v>
      </c>
      <c r="G1635" t="s">
        <v>38</v>
      </c>
      <c r="H1635" t="s">
        <v>2191</v>
      </c>
      <c r="I1635" t="s">
        <v>2705</v>
      </c>
      <c r="J1635" s="6" t="str">
        <f>HYPERLINK("https://www.biovista.com/db/link/%5B%5B%22Disease%7CMyotonic%20dystrophy%20type%201%22%5D,%20%5B%22Human%20Phenotype%7CSkeletal%20muscle%20atrophy%22%5D%5D?strength-weight-map=%257B%2522MEDLINE_STRENGTH_AB%2522:1.0,%2522HPO%2522:100.0%257D", "Show Evidence...")</f>
        <v>Show Evidence...</v>
      </c>
    </row>
    <row r="1636" spans="1:10" ht="12.75">
      <c r="A1636" s="2" t="s">
        <v>2374</v>
      </c>
      <c r="B1636" s="2" t="s">
        <v>2375</v>
      </c>
      <c r="C1636" s="2" t="s">
        <v>24</v>
      </c>
      <c r="D1636" s="2" t="s">
        <v>2376</v>
      </c>
      <c r="E1636" s="2" t="s">
        <v>431</v>
      </c>
      <c r="F1636" s="11" t="s">
        <v>2706</v>
      </c>
      <c r="G1636" t="s">
        <v>38</v>
      </c>
      <c r="H1636" t="s">
        <v>2707</v>
      </c>
      <c r="I1636" t="s">
        <v>2708</v>
      </c>
      <c r="J1636" s="6" t="str">
        <f>HYPERLINK("https://www.biovista.com/db/link/%5B%5B%22Disease%7CMyotonic%20dystrophy%20type%201%22%5D,%20%5B%22Human%20Phenotype%7CRespiratory%20insufficiency%22%5D%5D?strength-weight-map=%257B%2522MEDLINE_STRENGTH_AB%2522:1.0,%2522HPO%2522:100.0%257D", "Show Evidence...")</f>
        <v>Show Evidence...</v>
      </c>
    </row>
    <row r="1637" spans="1:10" ht="12.75">
      <c r="A1637" s="2" t="s">
        <v>2374</v>
      </c>
      <c r="B1637" s="2" t="s">
        <v>2375</v>
      </c>
      <c r="C1637" s="2" t="s">
        <v>24</v>
      </c>
      <c r="D1637" s="2" t="s">
        <v>2376</v>
      </c>
      <c r="E1637" s="2" t="s">
        <v>431</v>
      </c>
      <c r="F1637" s="11" t="s">
        <v>2709</v>
      </c>
      <c r="G1637" t="s">
        <v>38</v>
      </c>
      <c r="H1637" t="s">
        <v>2710</v>
      </c>
      <c r="I1637" t="s">
        <v>2711</v>
      </c>
      <c r="J1637" s="6" t="str">
        <f>HYPERLINK("https://www.biovista.com/db/link/%5B%5B%22Disease%7CMyotonic%20dystrophy%20type%201%22%5D,%20%5B%22Human%20Phenotype%7CInsulin%20resistance%22%5D%5D?strength-weight-map=%257B%2522MEDLINE_STRENGTH_AB%2522:1.0,%2522HPO%2522:100.0%257D", "Show Evidence...")</f>
        <v>Show Evidence...</v>
      </c>
    </row>
    <row r="1638" spans="1:10" ht="12.75">
      <c r="A1638" s="2" t="s">
        <v>2374</v>
      </c>
      <c r="B1638" s="2" t="s">
        <v>2375</v>
      </c>
      <c r="C1638" s="2" t="s">
        <v>24</v>
      </c>
      <c r="D1638" s="2" t="s">
        <v>2376</v>
      </c>
      <c r="E1638" s="2" t="s">
        <v>431</v>
      </c>
      <c r="F1638" s="11" t="s">
        <v>2171</v>
      </c>
      <c r="G1638" t="s">
        <v>38</v>
      </c>
      <c r="H1638" t="s">
        <v>2172</v>
      </c>
      <c r="I1638" t="s">
        <v>2712</v>
      </c>
      <c r="J1638" s="6" t="str">
        <f>HYPERLINK("https://www.biovista.com/db/link/%5B%5B%22Disease%7CMyotonic%20dystrophy%20type%201%22%5D,%20%5B%22Human%20Phenotype%7CRespiratory%20failure%22%5D%5D?strength-weight-map=%257B%2522MEDLINE_STRENGTH_AB%2522:1.0,%2522HPO%2522:100.0%257D", "Show Evidence...")</f>
        <v>Show Evidence...</v>
      </c>
    </row>
    <row r="1639" spans="1:10" ht="12.75">
      <c r="A1639" s="2" t="s">
        <v>2374</v>
      </c>
      <c r="B1639" s="2" t="s">
        <v>2375</v>
      </c>
      <c r="C1639" s="2" t="s">
        <v>24</v>
      </c>
      <c r="D1639" s="2" t="s">
        <v>2376</v>
      </c>
      <c r="E1639" s="2" t="s">
        <v>431</v>
      </c>
      <c r="F1639" s="11" t="s">
        <v>566</v>
      </c>
      <c r="G1639" t="s">
        <v>38</v>
      </c>
      <c r="H1639" t="s">
        <v>567</v>
      </c>
      <c r="I1639" t="s">
        <v>2713</v>
      </c>
      <c r="J1639" s="6" t="str">
        <f>HYPERLINK("https://www.biovista.com/db/link/%5B%5B%22Disease%7CMyotonic%20dystrophy%20type%201%22%5D,%20%5B%22Human%20Phenotype%7CDepression%22%5D%5D?strength-weight-map=%257B%2522MEDLINE_STRENGTH_AB%2522:1.0,%2522HPO%2522:100.0%257D", "Show Evidence...")</f>
        <v>Show Evidence...</v>
      </c>
    </row>
    <row r="1640" spans="1:10" ht="12.75">
      <c r="A1640" s="2" t="s">
        <v>2374</v>
      </c>
      <c r="B1640" s="2" t="s">
        <v>2375</v>
      </c>
      <c r="C1640" s="2" t="s">
        <v>24</v>
      </c>
      <c r="D1640" s="2" t="s">
        <v>2376</v>
      </c>
      <c r="E1640" s="2" t="s">
        <v>431</v>
      </c>
      <c r="F1640" s="11" t="s">
        <v>677</v>
      </c>
      <c r="G1640" t="s">
        <v>38</v>
      </c>
      <c r="H1640" t="s">
        <v>678</v>
      </c>
      <c r="I1640" t="s">
        <v>2714</v>
      </c>
      <c r="J1640" s="6" t="str">
        <f>HYPERLINK("https://www.biovista.com/db/link/%5B%5B%22Disease%7CMyotonic%20dystrophy%20type%201%22%5D,%20%5B%22Human%20Phenotype%7CDiabetes%20mellitus%22%5D%5D?strength-weight-map=%257B%2522MEDLINE_STRENGTH_AB%2522:1.0,%2522HPO%2522:100.0%257D", "Show Evidence...")</f>
        <v>Show Evidence...</v>
      </c>
    </row>
    <row r="1641" spans="1:10" ht="12.75">
      <c r="A1641" s="2" t="s">
        <v>2374</v>
      </c>
      <c r="B1641" s="2" t="s">
        <v>2375</v>
      </c>
      <c r="C1641" s="2" t="s">
        <v>24</v>
      </c>
      <c r="D1641" s="2" t="s">
        <v>2376</v>
      </c>
      <c r="E1641" s="2" t="s">
        <v>431</v>
      </c>
      <c r="F1641" s="11" t="s">
        <v>1359</v>
      </c>
      <c r="G1641" t="s">
        <v>38</v>
      </c>
      <c r="H1641" t="s">
        <v>1360</v>
      </c>
      <c r="I1641" t="s">
        <v>2715</v>
      </c>
      <c r="J1641" s="6" t="str">
        <f>HYPERLINK("https://www.biovista.com/db/link/%5B%5B%22Disease%7CMyotonic%20dystrophy%20type%201%22%5D,%20%5B%22Human%20Phenotype%7CPeripheral%20neuropathy%22%5D%5D?strength-weight-map=%257B%2522MEDLINE_STRENGTH_AB%2522:1.0,%2522HPO%2522:100.0%257D", "Show Evidence...")</f>
        <v>Show Evidence...</v>
      </c>
    </row>
    <row r="1642" spans="1:10" ht="12.75">
      <c r="A1642" s="2" t="s">
        <v>2374</v>
      </c>
      <c r="B1642" s="2" t="s">
        <v>2375</v>
      </c>
      <c r="C1642" s="2" t="s">
        <v>24</v>
      </c>
      <c r="D1642" s="2" t="s">
        <v>2376</v>
      </c>
      <c r="E1642" s="2" t="s">
        <v>431</v>
      </c>
      <c r="F1642" s="11" t="s">
        <v>467</v>
      </c>
      <c r="G1642" t="s">
        <v>38</v>
      </c>
      <c r="H1642" t="s">
        <v>468</v>
      </c>
      <c r="I1642" t="s">
        <v>2716</v>
      </c>
      <c r="J1642" s="6" t="str">
        <f>HYPERLINK("https://www.biovista.com/db/link/%5B%5B%22Disease%7CMyotonic%20dystrophy%20type%201%22%5D,%20%5B%22Human%20Phenotype%7COphthalmoplegia%22%5D%5D?strength-weight-map=%257B%2522MEDLINE_STRENGTH_AB%2522:1.0,%2522HPO%2522:100.0%257D", "Show Evidence...")</f>
        <v>Show Evidence...</v>
      </c>
    </row>
    <row r="1643" spans="1:10" ht="12.75">
      <c r="A1643" s="2" t="s">
        <v>2374</v>
      </c>
      <c r="B1643" s="2" t="s">
        <v>2375</v>
      </c>
      <c r="C1643" s="2" t="s">
        <v>24</v>
      </c>
      <c r="D1643" s="2" t="s">
        <v>2376</v>
      </c>
      <c r="E1643" s="2" t="s">
        <v>431</v>
      </c>
      <c r="F1643" s="11" t="s">
        <v>2717</v>
      </c>
      <c r="G1643" t="s">
        <v>38</v>
      </c>
      <c r="H1643" t="s">
        <v>2718</v>
      </c>
      <c r="I1643" t="s">
        <v>2719</v>
      </c>
      <c r="J1643" s="6" t="str">
        <f>HYPERLINK("https://www.biovista.com/db/link/%5B%5B%22Disease%7CMyotonic%20dystrophy%20type%201%22%5D,%20%5B%22Human%20Phenotype%7CHandgrip%20myotonia%22%5D%5D?strength-weight-map=%257B%2522MEDLINE_STRENGTH_AB%2522:1.0,%2522HPO%2522:100.0%257D", "Show Evidence...")</f>
        <v>Show Evidence...</v>
      </c>
    </row>
    <row r="1644" spans="1:10" ht="12.75">
      <c r="A1644" s="2" t="s">
        <v>2374</v>
      </c>
      <c r="B1644" s="2" t="s">
        <v>2375</v>
      </c>
      <c r="C1644" s="2" t="s">
        <v>24</v>
      </c>
      <c r="D1644" s="2" t="s">
        <v>2376</v>
      </c>
      <c r="E1644" s="2" t="s">
        <v>431</v>
      </c>
      <c r="F1644" s="11" t="s">
        <v>2720</v>
      </c>
      <c r="G1644" t="s">
        <v>38</v>
      </c>
      <c r="H1644" t="s">
        <v>2721</v>
      </c>
      <c r="I1644" t="s">
        <v>2722</v>
      </c>
      <c r="J1644" s="6" t="s">
        <v>2723</v>
      </c>
    </row>
    <row r="1645" spans="1:10" ht="12.75">
      <c r="A1645" s="2" t="s">
        <v>2374</v>
      </c>
      <c r="B1645" s="2" t="s">
        <v>2375</v>
      </c>
      <c r="C1645" s="2" t="s">
        <v>24</v>
      </c>
      <c r="D1645" s="2" t="s">
        <v>2376</v>
      </c>
      <c r="E1645" s="2" t="s">
        <v>431</v>
      </c>
      <c r="F1645" s="11" t="s">
        <v>2724</v>
      </c>
      <c r="G1645" t="s">
        <v>38</v>
      </c>
      <c r="H1645" t="s">
        <v>2725</v>
      </c>
      <c r="I1645" t="s">
        <v>2722</v>
      </c>
      <c r="J1645" s="6" t="str">
        <f>HYPERLINK("https://www.biovista.com/db/link/%5B%5B%22Disease%7CMyotonic%20dystrophy%20type%201%22%5D,%20%5B%22Human%20Phenotype%7CTalipes%20equinovarus%22%5D%5D?strength-weight-map=%257B%2522MEDLINE_STRENGTH_AB%2522:1.0,%2522HPO%2522:100.0%257D", "Show Evidence...")</f>
        <v>Show Evidence...</v>
      </c>
    </row>
    <row r="1646" spans="1:10" ht="12.75">
      <c r="A1646" s="2" t="s">
        <v>2374</v>
      </c>
      <c r="B1646" s="2" t="s">
        <v>2375</v>
      </c>
      <c r="C1646" s="2" t="s">
        <v>24</v>
      </c>
      <c r="D1646" s="2" t="s">
        <v>2376</v>
      </c>
      <c r="E1646" s="2" t="s">
        <v>431</v>
      </c>
      <c r="F1646" s="11" t="s">
        <v>634</v>
      </c>
      <c r="G1646" t="s">
        <v>38</v>
      </c>
      <c r="H1646" t="s">
        <v>635</v>
      </c>
      <c r="I1646" t="s">
        <v>2726</v>
      </c>
      <c r="J1646" s="6" t="str">
        <f>HYPERLINK("https://www.biovista.com/db/link/%5B%5B%22Disease%7CMyotonic%20dystrophy%20type%201%22%5D,%20%5B%22Human%20Phenotype%7CAnxiety%22%5D%5D?strength-weight-map=%257B%2522MEDLINE_STRENGTH_AB%2522:1.0,%2522HPO%2522:100.0%257D", "Show Evidence...")</f>
        <v>Show Evidence...</v>
      </c>
    </row>
    <row r="1647" spans="1:10" ht="12.75">
      <c r="A1647" s="2" t="s">
        <v>2374</v>
      </c>
      <c r="B1647" s="2" t="s">
        <v>2375</v>
      </c>
      <c r="C1647" s="2" t="s">
        <v>24</v>
      </c>
      <c r="D1647" s="2" t="s">
        <v>2376</v>
      </c>
      <c r="E1647" s="2" t="s">
        <v>431</v>
      </c>
      <c r="F1647" s="11" t="s">
        <v>1312</v>
      </c>
      <c r="G1647" t="s">
        <v>38</v>
      </c>
      <c r="H1647" t="s">
        <v>1313</v>
      </c>
      <c r="I1647" t="s">
        <v>2727</v>
      </c>
      <c r="J1647" t="s">
        <v>2728</v>
      </c>
    </row>
    <row r="1648" spans="1:10" ht="12.75">
      <c r="A1648" s="2" t="s">
        <v>2374</v>
      </c>
      <c r="B1648" s="2" t="s">
        <v>2375</v>
      </c>
      <c r="C1648" s="2" t="s">
        <v>24</v>
      </c>
      <c r="D1648" s="2" t="s">
        <v>2376</v>
      </c>
      <c r="E1648" s="2" t="s">
        <v>431</v>
      </c>
      <c r="F1648" s="11" t="s">
        <v>2729</v>
      </c>
      <c r="G1648" t="s">
        <v>38</v>
      </c>
      <c r="H1648" t="s">
        <v>2730</v>
      </c>
      <c r="I1648" t="s">
        <v>2727</v>
      </c>
      <c r="J1648" s="6" t="str">
        <f>HYPERLINK("https://www.biovista.com/db/link/%5B%5B%22Disease%7CMyotonic%20dystrophy%20type%201%22%5D,%20%5B%22Human%20Phenotype%7CHyperinsulinemia%22%5D%5D?strength-weight-map=%257B%2522MEDLINE_STRENGTH_AB%2522:1.0,%2522HPO%2522:100.0%257D", "Show Evidence...")</f>
        <v>Show Evidence...</v>
      </c>
    </row>
    <row r="1649" spans="1:10" ht="12.75">
      <c r="A1649" s="2" t="s">
        <v>2374</v>
      </c>
      <c r="B1649" s="2" t="s">
        <v>2375</v>
      </c>
      <c r="C1649" s="2" t="s">
        <v>24</v>
      </c>
      <c r="D1649" s="2" t="s">
        <v>2376</v>
      </c>
      <c r="E1649" s="2" t="s">
        <v>431</v>
      </c>
      <c r="F1649" s="11" t="s">
        <v>2731</v>
      </c>
      <c r="G1649" t="s">
        <v>38</v>
      </c>
      <c r="H1649" t="s">
        <v>2732</v>
      </c>
      <c r="I1649" t="s">
        <v>2733</v>
      </c>
      <c r="J1649" s="6" t="str">
        <f>HYPERLINK("https://www.biovista.com/db/link/%5B%5B%22Disease%7CMyotonic%20dystrophy%20type%201%22%5D,%20%5B%22Human%20Phenotype%7CConstipation%22%5D%5D?strength-weight-map=%257B%2522MEDLINE_STRENGTH_AB%2522:1.0,%2522HPO%2522:100.0%257D", "Show Evidence...")</f>
        <v>Show Evidence...</v>
      </c>
    </row>
    <row r="1650" spans="1:10" ht="12.75">
      <c r="A1650" s="2" t="s">
        <v>2374</v>
      </c>
      <c r="B1650" s="2" t="s">
        <v>2375</v>
      </c>
      <c r="C1650" s="2" t="s">
        <v>24</v>
      </c>
      <c r="D1650" s="2" t="s">
        <v>2376</v>
      </c>
      <c r="E1650" s="2" t="s">
        <v>431</v>
      </c>
      <c r="F1650" s="11" t="s">
        <v>438</v>
      </c>
      <c r="G1650" t="s">
        <v>38</v>
      </c>
      <c r="H1650" t="s">
        <v>439</v>
      </c>
      <c r="I1650" t="s">
        <v>2733</v>
      </c>
      <c r="J1650" s="6" t="str">
        <f>HYPERLINK("https://www.biovista.com/db/link/%5B%5B%22Disease%7CMyotonic%20dystrophy%20type%201%22%5D,%20%5B%22Human%20Phenotype%7CProximal%20muscle%20weakness%22%5D%5D?strength-weight-map=%257B%2522MEDLINE_STRENGTH_AB%2522:1.0,%2522HPO%2522:100.0%257D", "Show Evidence...")</f>
        <v>Show Evidence...</v>
      </c>
    </row>
    <row r="1651" spans="1:10" ht="12.75">
      <c r="A1651" s="2" t="s">
        <v>2374</v>
      </c>
      <c r="B1651" s="2" t="s">
        <v>2375</v>
      </c>
      <c r="C1651" s="2" t="s">
        <v>24</v>
      </c>
      <c r="D1651" s="2" t="s">
        <v>2376</v>
      </c>
      <c r="E1651" s="2" t="s">
        <v>431</v>
      </c>
      <c r="F1651" s="11" t="s">
        <v>1266</v>
      </c>
      <c r="G1651" t="s">
        <v>38</v>
      </c>
      <c r="H1651" t="s">
        <v>1267</v>
      </c>
      <c r="I1651" t="s">
        <v>2734</v>
      </c>
      <c r="J1651" s="6" t="str">
        <f>HYPERLINK("https://www.biovista.com/db/link/%5B%5B%22Disease%7CMyotonic%20dystrophy%20type%201%22%5D,%20%5B%22Human%20Phenotype%7CDysarthria%22%5D%5D?strength-weight-map=%257B%2522MEDLINE_STRENGTH_AB%2522:1.0,%2522HPO%2522:100.0%257D", "Show Evidence...")</f>
        <v>Show Evidence...</v>
      </c>
    </row>
    <row r="1652" spans="1:10" ht="12.75">
      <c r="A1652" s="2" t="s">
        <v>2374</v>
      </c>
      <c r="B1652" s="2" t="s">
        <v>2375</v>
      </c>
      <c r="C1652" s="2" t="s">
        <v>24</v>
      </c>
      <c r="D1652" s="2" t="s">
        <v>2376</v>
      </c>
      <c r="E1652" s="2" t="s">
        <v>431</v>
      </c>
      <c r="F1652" s="11" t="s">
        <v>2266</v>
      </c>
      <c r="G1652" t="s">
        <v>38</v>
      </c>
      <c r="H1652" t="s">
        <v>2267</v>
      </c>
      <c r="I1652" t="s">
        <v>2735</v>
      </c>
      <c r="J1652" s="6" t="str">
        <f>HYPERLINK("https://www.biovista.com/db/link/%5B%5B%22Disease%7CMyotonic%20dystrophy%20type%201%22%5D,%20%5B%22Human%20Phenotype%7CAlopecia%22%5D%5D?strength-weight-map=%257B%2522MEDLINE_STRENGTH_AB%2522:1.0,%2522HPO%2522:100.0%257D", "Show Evidence...")</f>
        <v>Show Evidence...</v>
      </c>
    </row>
    <row r="1653" spans="1:10" ht="12.75">
      <c r="A1653" s="2" t="s">
        <v>2374</v>
      </c>
      <c r="B1653" s="2" t="s">
        <v>2375</v>
      </c>
      <c r="C1653" s="2" t="s">
        <v>24</v>
      </c>
      <c r="D1653" s="2" t="s">
        <v>2376</v>
      </c>
      <c r="E1653" s="2" t="s">
        <v>431</v>
      </c>
      <c r="F1653" s="11" t="s">
        <v>2736</v>
      </c>
      <c r="G1653" t="s">
        <v>38</v>
      </c>
      <c r="H1653" t="s">
        <v>2737</v>
      </c>
      <c r="I1653" t="s">
        <v>2738</v>
      </c>
      <c r="J1653" s="6" t="str">
        <f>HYPERLINK("https://www.biovista.com/db/link/%5B%5B%22Disease%7CMyotonic%20dystrophy%20type%201%22%5D,%20%5B%22Human%20Phenotype%7CDiarrhea%22%5D%5D?strength-weight-map=%257B%2522MEDLINE_STRENGTH_AB%2522:1.0,%2522HPO%2522:100.0%257D", "Show Evidence...")</f>
        <v>Show Evidence...</v>
      </c>
    </row>
    <row r="1654" spans="1:10" ht="12.75">
      <c r="A1654" s="2" t="s">
        <v>2374</v>
      </c>
      <c r="B1654" s="2" t="s">
        <v>2375</v>
      </c>
      <c r="C1654" s="2" t="s">
        <v>24</v>
      </c>
      <c r="D1654" s="2" t="s">
        <v>2376</v>
      </c>
      <c r="E1654" s="2" t="s">
        <v>431</v>
      </c>
      <c r="F1654" s="11" t="s">
        <v>2739</v>
      </c>
      <c r="G1654" t="s">
        <v>38</v>
      </c>
      <c r="H1654" t="s">
        <v>2740</v>
      </c>
      <c r="I1654" t="s">
        <v>2738</v>
      </c>
      <c r="J1654" s="6" t="str">
        <f>HYPERLINK("https://www.biovista.com/db/link/%5B%5B%22Disease%7CMyotonic%20dystrophy%20type%201%22%5D,%20%5B%22Human%20Phenotype%7CIntestinal%20pseudo-obstruction%22%5D%5D?strength-weight-map=%257B%2522MEDLINE_STRENGTH_AB%2522:1.0,%2522HPO%2522:100.0%257D", "Show Evidence...")</f>
        <v>Show Evidence...</v>
      </c>
    </row>
    <row r="1655" spans="1:10" ht="12.75">
      <c r="A1655" s="2" t="s">
        <v>2374</v>
      </c>
      <c r="B1655" s="2" t="s">
        <v>2375</v>
      </c>
      <c r="C1655" s="2" t="s">
        <v>24</v>
      </c>
      <c r="D1655" s="2" t="s">
        <v>2376</v>
      </c>
      <c r="E1655" s="2" t="s">
        <v>431</v>
      </c>
      <c r="F1655" s="11" t="s">
        <v>2741</v>
      </c>
      <c r="G1655" t="s">
        <v>38</v>
      </c>
      <c r="H1655" t="s">
        <v>2742</v>
      </c>
      <c r="I1655" t="s">
        <v>2738</v>
      </c>
      <c r="J1655" s="6" t="str">
        <f>HYPERLINK("https://www.biovista.com/db/link/%5B%5B%22Disease%7CMyotonic%20dystrophy%20type%201%22%5D,%20%5B%22Human%20Phenotype%7CMental%20deterioration%22%5D%5D?strength-weight-map=%257B%2522MEDLINE_STRENGTH_AB%2522:1.0,%2522HPO%2522:100.0%257D", "Show Evidence...")</f>
        <v>Show Evidence...</v>
      </c>
    </row>
    <row r="1656" spans="1:10" ht="12.75">
      <c r="A1656" s="2" t="s">
        <v>2374</v>
      </c>
      <c r="B1656" s="2" t="s">
        <v>2375</v>
      </c>
      <c r="C1656" s="2" t="s">
        <v>24</v>
      </c>
      <c r="D1656" s="2" t="s">
        <v>2376</v>
      </c>
      <c r="E1656" s="2" t="s">
        <v>431</v>
      </c>
      <c r="F1656" s="11" t="s">
        <v>1372</v>
      </c>
      <c r="G1656" t="s">
        <v>38</v>
      </c>
      <c r="H1656" t="s">
        <v>1373</v>
      </c>
      <c r="I1656" t="s">
        <v>2743</v>
      </c>
      <c r="J1656" s="6" t="str">
        <f>HYPERLINK("https://www.biovista.com/db/link/%5B%5B%22Disease%7CMyotonic%20dystrophy%20type%201%22%5D,%20%5B%22Human%20Phenotype%7CGlobal%20developmental%20delay%22%5D%5D?strength-weight-map=%257B%2522MEDLINE_STRENGTH_AB%2522:1.0,%2522HPO%2522:100.0%257D", "Show Evidence...")</f>
        <v>Show Evidence...</v>
      </c>
    </row>
    <row r="1657" spans="1:10" ht="12.75">
      <c r="A1657" s="2" t="s">
        <v>2374</v>
      </c>
      <c r="B1657" s="2" t="s">
        <v>2375</v>
      </c>
      <c r="C1657" s="2" t="s">
        <v>24</v>
      </c>
      <c r="D1657" s="2" t="s">
        <v>2376</v>
      </c>
      <c r="E1657" s="2" t="s">
        <v>431</v>
      </c>
      <c r="F1657" s="11" t="s">
        <v>2744</v>
      </c>
      <c r="G1657" t="s">
        <v>38</v>
      </c>
      <c r="H1657" t="s">
        <v>2745</v>
      </c>
      <c r="I1657" t="s">
        <v>2746</v>
      </c>
      <c r="J1657" s="6" t="str">
        <f>HYPERLINK("https://www.biovista.com/db/link/%5B%5B%22Disease%7CMyotonic%20dystrophy%20type%201%22%5D,%20%5B%22Human%20Phenotype%7CLeft%20ventricular%20systolic%20dysfunction%22%5D%5D?strength-weight-map=%257B%2522MEDLINE_STRENGTH_AB%2522:1.0,%2522HPO%2522:100.0%257D", "Show Evidence...")</f>
        <v>Show Evidence...</v>
      </c>
    </row>
    <row r="1658" spans="1:10" ht="12.75">
      <c r="A1658" s="2" t="s">
        <v>2374</v>
      </c>
      <c r="B1658" s="2" t="s">
        <v>2375</v>
      </c>
      <c r="C1658" s="2" t="s">
        <v>24</v>
      </c>
      <c r="D1658" s="2" t="s">
        <v>2376</v>
      </c>
      <c r="E1658" s="2" t="s">
        <v>431</v>
      </c>
      <c r="F1658" s="11" t="s">
        <v>2747</v>
      </c>
      <c r="G1658" t="s">
        <v>38</v>
      </c>
      <c r="H1658" t="s">
        <v>2748</v>
      </c>
      <c r="I1658" t="s">
        <v>2746</v>
      </c>
      <c r="J1658" s="6" t="str">
        <f>HYPERLINK("https://www.biovista.com/db/link/%5B%5B%22Disease%7CMyotonic%20dystrophy%20type%201%22%5D,%20%5B%22Human%20Phenotype%7CNeonatal%20hypotonia%22%5D%5D?strength-weight-map=%257B%2522MEDLINE_STRENGTH_AB%2522:1.0,%2522HPO%2522:100.0%257D", "Show Evidence...")</f>
        <v>Show Evidence...</v>
      </c>
    </row>
    <row r="1659" spans="1:10" ht="12.75">
      <c r="A1659" s="2" t="s">
        <v>2374</v>
      </c>
      <c r="B1659" s="2" t="s">
        <v>2375</v>
      </c>
      <c r="C1659" s="2" t="s">
        <v>24</v>
      </c>
      <c r="D1659" s="2" t="s">
        <v>2376</v>
      </c>
      <c r="E1659" s="2" t="s">
        <v>431</v>
      </c>
      <c r="F1659" s="11" t="s">
        <v>2749</v>
      </c>
      <c r="G1659" t="s">
        <v>38</v>
      </c>
      <c r="H1659" t="s">
        <v>2750</v>
      </c>
      <c r="I1659" t="s">
        <v>2751</v>
      </c>
      <c r="J1659" s="6" t="str">
        <f>HYPERLINK("https://www.biovista.com/db/link/%5B%5B%22Disease%7CMyotonic%20dystrophy%20type%201%22%5D,%20%5B%22Human%20Phenotype%7CAutistic%20behavior%22%5D%5D?strength-weight-map=%257B%2522MEDLINE_STRENGTH_AB%2522:1.0,%2522HPO%2522:100.0%257D", "Show Evidence...")</f>
        <v>Show Evidence...</v>
      </c>
    </row>
    <row r="1660" spans="1:10" ht="12.75">
      <c r="A1660" s="2" t="s">
        <v>2374</v>
      </c>
      <c r="B1660" s="2" t="s">
        <v>2375</v>
      </c>
      <c r="C1660" s="2" t="s">
        <v>24</v>
      </c>
      <c r="D1660" s="2" t="s">
        <v>2376</v>
      </c>
      <c r="E1660" s="2" t="s">
        <v>431</v>
      </c>
      <c r="F1660" s="11" t="s">
        <v>2752</v>
      </c>
      <c r="G1660" t="s">
        <v>38</v>
      </c>
      <c r="H1660" t="s">
        <v>2753</v>
      </c>
      <c r="I1660" t="s">
        <v>2754</v>
      </c>
      <c r="J1660" s="6" t="str">
        <f>HYPERLINK("https://www.biovista.com/db/link/%5B%5B%22Disease%7CMyotonic%20dystrophy%20type%201%22%5D,%20%5B%22Human%20Phenotype%7CHypergonadotropic%20hypogonadism%22%5D%5D?strength-weight-map=%257B%2522MEDLINE_STRENGTH_AB%2522:1.0,%2522HPO%2522:100.0%257D", "Show Evidence...")</f>
        <v>Show Evidence...</v>
      </c>
    </row>
    <row r="1661" spans="1:10" ht="12.75">
      <c r="A1661" s="2" t="s">
        <v>2374</v>
      </c>
      <c r="B1661" s="2" t="s">
        <v>2375</v>
      </c>
      <c r="C1661" s="2" t="s">
        <v>24</v>
      </c>
      <c r="D1661" s="2" t="s">
        <v>2376</v>
      </c>
      <c r="E1661" s="2" t="s">
        <v>431</v>
      </c>
      <c r="F1661" s="11" t="s">
        <v>2755</v>
      </c>
      <c r="G1661" t="s">
        <v>38</v>
      </c>
      <c r="H1661" t="s">
        <v>2756</v>
      </c>
      <c r="I1661" t="s">
        <v>2757</v>
      </c>
      <c r="J1661" s="6" t="str">
        <f>HYPERLINK("https://www.biovista.com/db/link/%5B%5B%22Disease%7CMyotonic%20dystrophy%20type%201%22%5D,%20%5B%22Human%20Phenotype%7COral-pharyngeal%20dysphagia%22%5D%5D?strength-weight-map=%257B%2522MEDLINE_STRENGTH_AB%2522:1.0,%2522HPO%2522:100.0%257D", "Show Evidence...")</f>
        <v>Show Evidence...</v>
      </c>
    </row>
    <row r="1662" spans="1:10" ht="12.75">
      <c r="A1662" s="2" t="s">
        <v>2374</v>
      </c>
      <c r="B1662" s="2" t="s">
        <v>2375</v>
      </c>
      <c r="C1662" s="2" t="s">
        <v>24</v>
      </c>
      <c r="D1662" s="2" t="s">
        <v>2376</v>
      </c>
      <c r="E1662" s="2" t="s">
        <v>431</v>
      </c>
      <c r="F1662" s="11" t="s">
        <v>2758</v>
      </c>
      <c r="G1662" t="s">
        <v>38</v>
      </c>
      <c r="H1662" t="s">
        <v>2759</v>
      </c>
      <c r="I1662" t="s">
        <v>2760</v>
      </c>
      <c r="J1662" s="6" t="str">
        <f>HYPERLINK("https://www.biovista.com/db/link/%5B%5B%22Disease%7CMyotonic%20dystrophy%20type%201%22%5D,%20%5B%22Human%20Phenotype%7CBilateral%20ptosis%22%5D%5D?strength-weight-map=%257B%2522MEDLINE_STRENGTH_AB%2522:1.0,%2522HPO%2522:100.0%257D", "Show Evidence...")</f>
        <v>Show Evidence...</v>
      </c>
    </row>
    <row r="1663" spans="1:10" ht="12.75">
      <c r="A1663" s="2" t="s">
        <v>2374</v>
      </c>
      <c r="B1663" s="2" t="s">
        <v>2375</v>
      </c>
      <c r="C1663" s="2" t="s">
        <v>24</v>
      </c>
      <c r="D1663" s="2" t="s">
        <v>2376</v>
      </c>
      <c r="E1663" s="2" t="s">
        <v>431</v>
      </c>
      <c r="F1663" s="11" t="s">
        <v>2761</v>
      </c>
      <c r="G1663" t="s">
        <v>38</v>
      </c>
      <c r="H1663" t="s">
        <v>2762</v>
      </c>
      <c r="I1663" t="s">
        <v>2760</v>
      </c>
      <c r="J1663" s="6" t="str">
        <f>HYPERLINK("https://www.biovista.com/db/link/%5B%5B%22Disease%7CMyotonic%20dystrophy%20type%201%22%5D,%20%5B%22Human%20Phenotype%7CCerebral%20cortical%20atrophy%22%5D%5D?strength-weight-map=%257B%2522MEDLINE_STRENGTH_AB%2522:1.0,%2522HPO%2522:100.0%257D", "Show Evidence...")</f>
        <v>Show Evidence...</v>
      </c>
    </row>
    <row r="1664" spans="1:10" ht="12.75">
      <c r="A1664" s="2" t="s">
        <v>2374</v>
      </c>
      <c r="B1664" s="2" t="s">
        <v>2375</v>
      </c>
      <c r="C1664" s="2" t="s">
        <v>24</v>
      </c>
      <c r="D1664" s="2" t="s">
        <v>2376</v>
      </c>
      <c r="E1664" s="2" t="s">
        <v>431</v>
      </c>
      <c r="F1664" s="11" t="s">
        <v>2763</v>
      </c>
      <c r="G1664" t="s">
        <v>38</v>
      </c>
      <c r="H1664" t="s">
        <v>2764</v>
      </c>
      <c r="I1664" t="s">
        <v>2765</v>
      </c>
      <c r="J1664" s="6" t="str">
        <f>HYPERLINK("https://www.biovista.com/db/link/%5B%5B%22Disease%7CMyotonic%20dystrophy%20type%201%22%5D,%20%5B%22Human%20Phenotype%7CHypercholesterolemia%22%5D%5D?strength-weight-map=%257B%2522MEDLINE_STRENGTH_AB%2522:1.0,%2522HPO%2522:100.0%257D", "Show Evidence...")</f>
        <v>Show Evidence...</v>
      </c>
    </row>
    <row r="1665" spans="1:10" ht="12.75">
      <c r="A1665" s="2" t="s">
        <v>2374</v>
      </c>
      <c r="B1665" s="2" t="s">
        <v>2375</v>
      </c>
      <c r="C1665" s="2" t="s">
        <v>24</v>
      </c>
      <c r="D1665" s="2" t="s">
        <v>2376</v>
      </c>
      <c r="E1665" s="2" t="s">
        <v>431</v>
      </c>
      <c r="F1665" s="11" t="s">
        <v>2766</v>
      </c>
      <c r="G1665" t="s">
        <v>38</v>
      </c>
      <c r="H1665" t="s">
        <v>2767</v>
      </c>
      <c r="I1665" t="s">
        <v>2765</v>
      </c>
      <c r="J1665" s="6" t="str">
        <f>HYPERLINK("https://www.biovista.com/db/link/%5B%5B%22Disease%7CMyotonic%20dystrophy%20type%201%22%5D,%20%5B%22Human%20Phenotype%7CSupraventricular%20tachycardia%22%5D%5D?strength-weight-map=%257B%2522MEDLINE_STRENGTH_AB%2522:1.0,%2522HPO%2522:100.0%257D", "Show Evidence...")</f>
        <v>Show Evidence...</v>
      </c>
    </row>
    <row r="1666" spans="1:10" ht="12.75">
      <c r="A1666" s="2" t="s">
        <v>2374</v>
      </c>
      <c r="B1666" s="2" t="s">
        <v>2375</v>
      </c>
      <c r="C1666" s="2" t="s">
        <v>24</v>
      </c>
      <c r="D1666" s="2" t="s">
        <v>2376</v>
      </c>
      <c r="E1666" s="2" t="s">
        <v>431</v>
      </c>
      <c r="F1666" s="11" t="s">
        <v>2768</v>
      </c>
      <c r="G1666" t="s">
        <v>38</v>
      </c>
      <c r="H1666" t="s">
        <v>2769</v>
      </c>
      <c r="I1666" t="s">
        <v>2770</v>
      </c>
      <c r="J1666" s="6" t="str">
        <f>HYPERLINK("https://www.biovista.com/db/link/%5B%5B%22Disease%7CMyotonic%20dystrophy%20type%201%22%5D,%20%5B%22Human%20Phenotype%7CMale%20hypogonadism%22%5D%5D?strength-weight-map=%257B%2522MEDLINE_STRENGTH_AB%2522:1.0,%2522HPO%2522:100.0%257D", "Show Evidence...")</f>
        <v>Show Evidence...</v>
      </c>
    </row>
    <row r="1667" spans="1:10" ht="12.75">
      <c r="A1667" s="2" t="s">
        <v>2374</v>
      </c>
      <c r="B1667" s="2" t="s">
        <v>2375</v>
      </c>
      <c r="C1667" s="2" t="s">
        <v>24</v>
      </c>
      <c r="D1667" s="2" t="s">
        <v>2376</v>
      </c>
      <c r="E1667" s="2" t="s">
        <v>431</v>
      </c>
      <c r="F1667" s="11" t="s">
        <v>550</v>
      </c>
      <c r="G1667" t="s">
        <v>38</v>
      </c>
      <c r="H1667" t="s">
        <v>551</v>
      </c>
      <c r="I1667" t="s">
        <v>2771</v>
      </c>
      <c r="J1667" s="6" t="str">
        <f>HYPERLINK("https://www.biovista.com/db/link/%5B%5B%22Disease%7CMyotonic%20dystrophy%20type%201%22%5D,%20%5B%22Human%20Phenotype%7CDistal%20amyotrophy%22%5D%5D?strength-weight-map=%257B%2522MEDLINE_STRENGTH_AB%2522:1.0,%2522HPO%2522:100.0%257D", "Show Evidence...")</f>
        <v>Show Evidence...</v>
      </c>
    </row>
    <row r="1668" spans="1:10" ht="12.75">
      <c r="A1668" s="2" t="s">
        <v>2374</v>
      </c>
      <c r="B1668" s="2" t="s">
        <v>2375</v>
      </c>
      <c r="C1668" s="2" t="s">
        <v>24</v>
      </c>
      <c r="D1668" s="2" t="s">
        <v>2376</v>
      </c>
      <c r="E1668" s="2" t="s">
        <v>431</v>
      </c>
      <c r="F1668" s="11" t="s">
        <v>2772</v>
      </c>
      <c r="G1668" t="s">
        <v>38</v>
      </c>
      <c r="H1668" t="s">
        <v>2773</v>
      </c>
      <c r="I1668" t="s">
        <v>2771</v>
      </c>
      <c r="J1668" s="6" t="s">
        <v>2774</v>
      </c>
    </row>
    <row r="1669" spans="1:10" ht="12.75">
      <c r="A1669" s="2" t="s">
        <v>2374</v>
      </c>
      <c r="B1669" s="2" t="s">
        <v>2375</v>
      </c>
      <c r="C1669" s="2" t="s">
        <v>24</v>
      </c>
      <c r="D1669" s="2" t="s">
        <v>2376</v>
      </c>
      <c r="E1669" s="2" t="s">
        <v>431</v>
      </c>
      <c r="F1669" s="11" t="s">
        <v>2775</v>
      </c>
      <c r="G1669" t="s">
        <v>38</v>
      </c>
      <c r="H1669" t="s">
        <v>2776</v>
      </c>
      <c r="I1669" t="s">
        <v>2771</v>
      </c>
      <c r="J1669" s="6" t="str">
        <f>HYPERLINK("https://www.biovista.com/db/link/%5B%5B%22Disease%7CMyotonic%20dystrophy%20type%201%22%5D,%20%5B%22Human%20Phenotype%7CImpotence%22%5D%5D?strength-weight-map=%257B%2522MEDLINE_STRENGTH_AB%2522:1.0,%2522HPO%2522:100.0%257D", "Show Evidence...")</f>
        <v>Show Evidence...</v>
      </c>
    </row>
    <row r="1670" spans="1:10" ht="12.75">
      <c r="A1670" s="2" t="s">
        <v>2374</v>
      </c>
      <c r="B1670" s="2" t="s">
        <v>2375</v>
      </c>
      <c r="C1670" s="2" t="s">
        <v>24</v>
      </c>
      <c r="D1670" s="2" t="s">
        <v>2376</v>
      </c>
      <c r="E1670" s="2" t="s">
        <v>431</v>
      </c>
      <c r="F1670" s="11" t="s">
        <v>2777</v>
      </c>
      <c r="G1670" t="s">
        <v>38</v>
      </c>
      <c r="H1670" t="s">
        <v>2778</v>
      </c>
      <c r="I1670" t="s">
        <v>2779</v>
      </c>
      <c r="J1670" s="6" t="str">
        <f>HYPERLINK("https://www.biovista.com/db/link/%5B%5B%22Disease%7CMyotonic%20dystrophy%20type%201%22%5D,%20%5B%22Human%20Phenotype%7CHypermetropia%22%5D%5D?strength-weight-map=%257B%2522MEDLINE_STRENGTH_AB%2522:1.0,%2522HPO%2522:100.0%257D", "Show Evidence...")</f>
        <v>Show Evidence...</v>
      </c>
    </row>
    <row r="1671" spans="1:10" ht="12.75">
      <c r="A1671" s="2" t="s">
        <v>2374</v>
      </c>
      <c r="B1671" s="2" t="s">
        <v>2375</v>
      </c>
      <c r="C1671" s="2" t="s">
        <v>24</v>
      </c>
      <c r="D1671" s="2" t="s">
        <v>2376</v>
      </c>
      <c r="E1671" s="2" t="s">
        <v>431</v>
      </c>
      <c r="F1671" s="11" t="s">
        <v>2780</v>
      </c>
      <c r="G1671" t="s">
        <v>38</v>
      </c>
      <c r="H1671" t="s">
        <v>2781</v>
      </c>
      <c r="I1671" t="s">
        <v>2779</v>
      </c>
      <c r="J1671" s="6" t="str">
        <f>HYPERLINK("https://www.biovista.com/db/link/%5B%5B%22Disease%7CMyotonic%20dystrophy%20type%201%22%5D,%20%5B%22Human%20Phenotype%7CIntellectual%20disability,%20mild%22%5D%5D?strength-weight-map=%257B%2522MEDLINE_STRENGTH_AB%2522:1.0,%2522HPO%2522:100.0%257D", "Show Evidence...")</f>
        <v>Show Evidence...</v>
      </c>
    </row>
    <row r="1672" spans="1:10" ht="12.75">
      <c r="A1672" s="2" t="s">
        <v>2374</v>
      </c>
      <c r="B1672" s="2" t="s">
        <v>2375</v>
      </c>
      <c r="C1672" s="2" t="s">
        <v>24</v>
      </c>
      <c r="D1672" s="2" t="s">
        <v>2376</v>
      </c>
      <c r="E1672" s="2" t="s">
        <v>431</v>
      </c>
      <c r="F1672" s="11" t="s">
        <v>2782</v>
      </c>
      <c r="G1672" t="s">
        <v>38</v>
      </c>
      <c r="H1672" t="s">
        <v>2783</v>
      </c>
      <c r="I1672" t="s">
        <v>2779</v>
      </c>
      <c r="J1672" s="6" t="str">
        <f>HYPERLINK("https://www.biovista.com/db/link/%5B%5B%22Disease%7CMyotonic%20dystrophy%20type%201%22%5D,%20%5B%22Human%20Phenotype%7CTented%20upper%20lip%20vermilion%22%5D%5D?strength-weight-map=%257B%2522MEDLINE_STRENGTH_AB%2522:1.0,%2522HPO%2522:100.0%257D", "Show Evidence...")</f>
        <v>Show Evidence...</v>
      </c>
    </row>
    <row r="1673" spans="1:10" ht="12.75">
      <c r="A1673" s="2" t="s">
        <v>2374</v>
      </c>
      <c r="B1673" s="2" t="s">
        <v>2375</v>
      </c>
      <c r="C1673" s="2" t="s">
        <v>24</v>
      </c>
      <c r="D1673" s="2" t="s">
        <v>2376</v>
      </c>
      <c r="E1673" s="2" t="s">
        <v>431</v>
      </c>
      <c r="F1673" s="11" t="s">
        <v>2784</v>
      </c>
      <c r="G1673" t="s">
        <v>38</v>
      </c>
      <c r="H1673" t="s">
        <v>2785</v>
      </c>
      <c r="I1673" t="s">
        <v>2786</v>
      </c>
      <c r="J1673" s="6" t="str">
        <f>HYPERLINK("https://www.biovista.com/db/link/%5B%5B%22Disease%7CMyotonic%20dystrophy%20type%201%22%5D,%20%5B%22Human%20Phenotype%7CEmotional%20lability%22%5D%5D?strength-weight-map=%257B%2522MEDLINE_STRENGTH_AB%2522:1.0,%2522HPO%2522:100.0%257D", "Show Evidence...")</f>
        <v>Show Evidence...</v>
      </c>
    </row>
    <row r="1674" spans="1:10" ht="12.75">
      <c r="A1674" s="2" t="s">
        <v>2374</v>
      </c>
      <c r="B1674" s="2" t="s">
        <v>2375</v>
      </c>
      <c r="C1674" s="2" t="s">
        <v>24</v>
      </c>
      <c r="D1674" s="2" t="s">
        <v>2376</v>
      </c>
      <c r="E1674" s="2" t="s">
        <v>431</v>
      </c>
      <c r="F1674" s="11" t="s">
        <v>450</v>
      </c>
      <c r="G1674" t="s">
        <v>38</v>
      </c>
      <c r="H1674" t="s">
        <v>451</v>
      </c>
      <c r="I1674" t="s">
        <v>2786</v>
      </c>
      <c r="J1674" s="6" t="str">
        <f>HYPERLINK("https://www.biovista.com/db/link/%5B%5B%22Disease%7CMyotonic%20dystrophy%20type%201%22%5D,%20%5B%22Human%20Phenotype%7CNeck%20muscle%20weakness%22%5D%5D?strength-weight-map=%257B%2522MEDLINE_STRENGTH_AB%2522:1.0,%2522HPO%2522:100.0%257D", "Show Evidence...")</f>
        <v>Show Evidence...</v>
      </c>
    </row>
    <row r="1675" spans="1:10" ht="12.75">
      <c r="A1675" s="2" t="s">
        <v>2374</v>
      </c>
      <c r="B1675" s="2" t="s">
        <v>2375</v>
      </c>
      <c r="C1675" s="2" t="s">
        <v>24</v>
      </c>
      <c r="D1675" s="2" t="s">
        <v>2376</v>
      </c>
      <c r="E1675" s="2" t="s">
        <v>431</v>
      </c>
      <c r="F1675" s="11" t="s">
        <v>2787</v>
      </c>
      <c r="G1675" t="s">
        <v>38</v>
      </c>
      <c r="H1675" t="s">
        <v>2788</v>
      </c>
      <c r="I1675" t="s">
        <v>2786</v>
      </c>
      <c r="J1675" s="6" t="str">
        <f>HYPERLINK("https://www.biovista.com/db/link/%5B%5B%22Disease%7CMyotonic%20dystrophy%20type%201%22%5D,%20%5B%22Human%20Phenotype%7CReduced%20visual%20acuity%22%5D%5D?strength-weight-map=%257B%2522MEDLINE_STRENGTH_AB%2522:1.0,%2522HPO%2522:100.0%257D", "Show Evidence...")</f>
        <v>Show Evidence...</v>
      </c>
    </row>
    <row r="1676" spans="1:10" ht="12.75">
      <c r="A1676" s="2" t="s">
        <v>2374</v>
      </c>
      <c r="B1676" s="2" t="s">
        <v>2375</v>
      </c>
      <c r="C1676" s="2" t="s">
        <v>24</v>
      </c>
      <c r="D1676" s="2" t="s">
        <v>2376</v>
      </c>
      <c r="E1676" s="2" t="s">
        <v>431</v>
      </c>
      <c r="F1676" s="11" t="s">
        <v>2789</v>
      </c>
      <c r="G1676" t="s">
        <v>38</v>
      </c>
      <c r="H1676" t="s">
        <v>2790</v>
      </c>
      <c r="I1676" t="s">
        <v>2791</v>
      </c>
      <c r="J1676" s="6" t="str">
        <f>HYPERLINK("https://www.biovista.com/db/link/%5B%5B%22Disease%7CMyotonic%20dystrophy%20type%201%22%5D,%20%5B%22Human%20Phenotype%7CAbnormality%20of%20thyroid%20physiology%22%5D%5D?strength-weight-map=%257B%2522MEDLINE_STRENGTH_AB%2522:1.0,%2522HPO%2522:100.0%257D", "Show Evidence...")</f>
        <v>Show Evidence...</v>
      </c>
    </row>
    <row r="1677" spans="1:10" ht="12.75">
      <c r="A1677" s="2" t="s">
        <v>2374</v>
      </c>
      <c r="B1677" s="2" t="s">
        <v>2375</v>
      </c>
      <c r="C1677" s="2" t="s">
        <v>24</v>
      </c>
      <c r="D1677" s="2" t="s">
        <v>2376</v>
      </c>
      <c r="E1677" s="2" t="s">
        <v>431</v>
      </c>
      <c r="F1677" s="11" t="s">
        <v>2792</v>
      </c>
      <c r="G1677" t="s">
        <v>38</v>
      </c>
      <c r="H1677" t="s">
        <v>2793</v>
      </c>
      <c r="I1677" t="s">
        <v>2791</v>
      </c>
      <c r="J1677" s="6" t="str">
        <f>HYPERLINK("https://www.biovista.com/db/link/%5B%5B%22Disease%7CMyotonic%20dystrophy%20type%201%22%5D,%20%5B%22Human%20Phenotype%7CAstigmatism%22%5D%5D?strength-weight-map=%257B%2522MEDLINE_STRENGTH_AB%2522:1.0,%2522HPO%2522:100.0%257D", "Show Evidence...")</f>
        <v>Show Evidence...</v>
      </c>
    </row>
    <row r="1678" spans="1:10" ht="12.75">
      <c r="A1678" s="2" t="s">
        <v>2374</v>
      </c>
      <c r="B1678" s="2" t="s">
        <v>2375</v>
      </c>
      <c r="C1678" s="2" t="s">
        <v>24</v>
      </c>
      <c r="D1678" s="2" t="s">
        <v>2376</v>
      </c>
      <c r="E1678" s="2" t="s">
        <v>431</v>
      </c>
      <c r="F1678" s="11" t="s">
        <v>2794</v>
      </c>
      <c r="G1678" t="s">
        <v>38</v>
      </c>
      <c r="H1678" t="s">
        <v>2795</v>
      </c>
      <c r="I1678" t="s">
        <v>2791</v>
      </c>
      <c r="J1678" s="6" t="str">
        <f>HYPERLINK("https://www.biovista.com/db/link/%5B%5B%22Disease%7CMyotonic%20dystrophy%20type%201%22%5D,%20%5B%22Human%20Phenotype%7CDecreased%20fertility%22%5D%5D?strength-weight-map=%257B%2522MEDLINE_STRENGTH_AB%2522:1.0,%2522HPO%2522:100.0%257D", "Show Evidence...")</f>
        <v>Show Evidence...</v>
      </c>
    </row>
    <row r="1679" spans="1:10" ht="12.75">
      <c r="A1679" s="2" t="s">
        <v>2374</v>
      </c>
      <c r="B1679" s="2" t="s">
        <v>2375</v>
      </c>
      <c r="C1679" s="2" t="s">
        <v>24</v>
      </c>
      <c r="D1679" s="2" t="s">
        <v>2376</v>
      </c>
      <c r="E1679" s="2" t="s">
        <v>431</v>
      </c>
      <c r="F1679" s="11" t="s">
        <v>2796</v>
      </c>
      <c r="G1679" t="s">
        <v>38</v>
      </c>
      <c r="H1679" t="s">
        <v>2797</v>
      </c>
      <c r="I1679" t="s">
        <v>2791</v>
      </c>
      <c r="J1679" s="6" t="str">
        <f>HYPERLINK("https://www.biovista.com/db/link/%5B%5B%22Disease%7CMyotonic%20dystrophy%20type%201%22%5D,%20%5B%22Human%20Phenotype%7CDiaphragmatic%20weakness%22%5D%5D?strength-weight-map=%257B%2522MEDLINE_STRENGTH_AB%2522:1.0,%2522HPO%2522:100.0%257D", "Show Evidence...")</f>
        <v>Show Evidence...</v>
      </c>
    </row>
    <row r="1680" spans="1:10" ht="12.75">
      <c r="A1680" s="2" t="s">
        <v>2374</v>
      </c>
      <c r="B1680" s="2" t="s">
        <v>2375</v>
      </c>
      <c r="C1680" s="2" t="s">
        <v>24</v>
      </c>
      <c r="D1680" s="2" t="s">
        <v>2376</v>
      </c>
      <c r="E1680" s="2" t="s">
        <v>431</v>
      </c>
      <c r="F1680" s="11" t="s">
        <v>2798</v>
      </c>
      <c r="G1680" t="s">
        <v>38</v>
      </c>
      <c r="H1680" t="s">
        <v>2799</v>
      </c>
      <c r="I1680" t="s">
        <v>2791</v>
      </c>
      <c r="J1680" s="6" t="str">
        <f>HYPERLINK("https://www.biovista.com/db/link/%5B%5B%22Disease%7CMyotonic%20dystrophy%20type%201%22%5D,%20%5B%22Human%20Phenotype%7CNeck%20flexor%20weakness%22%5D%5D?strength-weight-map=%257B%2522MEDLINE_STRENGTH_AB%2522:1.0,%2522HPO%2522:100.0%257D", "Show Evidence...")</f>
        <v>Show Evidence...</v>
      </c>
    </row>
    <row r="1681" spans="1:10" ht="12.75">
      <c r="A1681" s="2" t="s">
        <v>2374</v>
      </c>
      <c r="B1681" s="2" t="s">
        <v>2375</v>
      </c>
      <c r="C1681" s="2" t="s">
        <v>24</v>
      </c>
      <c r="D1681" s="2" t="s">
        <v>2376</v>
      </c>
      <c r="E1681" s="2" t="s">
        <v>431</v>
      </c>
      <c r="F1681" s="11" t="s">
        <v>2800</v>
      </c>
      <c r="G1681" t="s">
        <v>38</v>
      </c>
      <c r="H1681" t="s">
        <v>2801</v>
      </c>
      <c r="I1681" t="s">
        <v>2791</v>
      </c>
      <c r="J1681" s="6" t="str">
        <f>HYPERLINK("https://www.biovista.com/db/link/%5B%5B%22Disease%7CMyotonic%20dystrophy%20type%201%22%5D,%20%5B%22Human%20Phenotype%7CSecondary%20hyperparathyroidism%22%5D%5D?strength-weight-map=%257B%2522MEDLINE_STRENGTH_AB%2522:1.0,%2522HPO%2522:100.0%257D", "Show Evidence...")</f>
        <v>Show Evidence...</v>
      </c>
    </row>
    <row r="1682" spans="1:10" ht="12.75">
      <c r="A1682" s="2" t="s">
        <v>2374</v>
      </c>
      <c r="B1682" s="2" t="s">
        <v>2375</v>
      </c>
      <c r="C1682" s="2" t="s">
        <v>24</v>
      </c>
      <c r="D1682" s="2" t="s">
        <v>2376</v>
      </c>
      <c r="E1682" s="2" t="s">
        <v>431</v>
      </c>
      <c r="F1682" s="11" t="s">
        <v>2802</v>
      </c>
      <c r="G1682" t="s">
        <v>38</v>
      </c>
      <c r="H1682" t="s">
        <v>2803</v>
      </c>
      <c r="I1682" t="s">
        <v>552</v>
      </c>
      <c r="J1682" s="6" t="str">
        <f>HYPERLINK("https://www.biovista.com/db/link/%5B%5B%22Disease%7CMyotonic%20dystrophy%20type%201%22%5D,%20%5B%22Human%20Phenotype%7CAbnormality%20of%20the%20tongue%20muscle%22%5D%5D?strength-weight-map=%257B%2522MEDLINE_STRENGTH_AB%2522:1.0,%2522HPO%2522:100.0%257D", "Show Evidence...")</f>
        <v>Show Evidence...</v>
      </c>
    </row>
    <row r="1683" spans="1:10" ht="12.75">
      <c r="A1683" s="2" t="s">
        <v>2374</v>
      </c>
      <c r="B1683" s="2" t="s">
        <v>2375</v>
      </c>
      <c r="C1683" s="2" t="s">
        <v>24</v>
      </c>
      <c r="D1683" s="2" t="s">
        <v>2376</v>
      </c>
      <c r="E1683" s="2" t="s">
        <v>431</v>
      </c>
      <c r="F1683" s="11" t="s">
        <v>2804</v>
      </c>
      <c r="G1683" t="s">
        <v>38</v>
      </c>
      <c r="H1683" t="s">
        <v>2805</v>
      </c>
      <c r="I1683" t="s">
        <v>552</v>
      </c>
      <c r="J1683" s="6" t="s">
        <v>2806</v>
      </c>
    </row>
    <row r="1684" spans="1:10" ht="12.75">
      <c r="A1684" s="2" t="s">
        <v>2374</v>
      </c>
      <c r="B1684" s="2" t="s">
        <v>2375</v>
      </c>
      <c r="C1684" s="2" t="s">
        <v>24</v>
      </c>
      <c r="D1684" s="2" t="s">
        <v>2376</v>
      </c>
      <c r="E1684" s="2" t="s">
        <v>431</v>
      </c>
      <c r="F1684" s="11" t="s">
        <v>2807</v>
      </c>
      <c r="G1684" t="s">
        <v>38</v>
      </c>
      <c r="H1684" t="s">
        <v>2808</v>
      </c>
      <c r="I1684" t="s">
        <v>552</v>
      </c>
      <c r="J1684" s="6" t="str">
        <f>HYPERLINK("https://www.biovista.com/db/link/%5B%5B%22Disease%7CMyotonic%20dystrophy%20type%201%22%5D,%20%5B%22Human%20Phenotype%7CEarly%20balding%22%5D%5D?strength-weight-map=%257B%2522MEDLINE_STRENGTH_AB%2522:1.0,%2522HPO%2522:100.0%257D", "Show Evidence...")</f>
        <v>Show Evidence...</v>
      </c>
    </row>
    <row r="1685" spans="1:10" ht="12.75">
      <c r="A1685" s="2" t="s">
        <v>2374</v>
      </c>
      <c r="B1685" s="2" t="s">
        <v>2375</v>
      </c>
      <c r="C1685" s="2" t="s">
        <v>24</v>
      </c>
      <c r="D1685" s="2" t="s">
        <v>2376</v>
      </c>
      <c r="E1685" s="2" t="s">
        <v>431</v>
      </c>
      <c r="F1685" s="11" t="s">
        <v>2809</v>
      </c>
      <c r="G1685" t="s">
        <v>38</v>
      </c>
      <c r="H1685" t="s">
        <v>2810</v>
      </c>
      <c r="I1685" t="s">
        <v>552</v>
      </c>
      <c r="J1685" s="6" t="str">
        <f>HYPERLINK("https://www.biovista.com/db/link/%5B%5B%22Disease%7CMyotonic%20dystrophy%20type%201%22%5D,%20%5B%22Human%20Phenotype%7CFalls%22%5D%5D?strength-weight-map=%257B%2522MEDLINE_STRENGTH_AB%2522:1.0,%2522HPO%2522:100.0%257D", "Show Evidence...")</f>
        <v>Show Evidence...</v>
      </c>
    </row>
    <row r="1686" spans="1:10" ht="12.75">
      <c r="A1686" s="2" t="s">
        <v>2374</v>
      </c>
      <c r="B1686" s="2" t="s">
        <v>2375</v>
      </c>
      <c r="C1686" s="2" t="s">
        <v>24</v>
      </c>
      <c r="D1686" s="2" t="s">
        <v>2376</v>
      </c>
      <c r="E1686" s="2" t="s">
        <v>431</v>
      </c>
      <c r="F1686" s="11" t="s">
        <v>2811</v>
      </c>
      <c r="G1686" t="s">
        <v>38</v>
      </c>
      <c r="H1686" t="s">
        <v>2812</v>
      </c>
      <c r="I1686" t="s">
        <v>552</v>
      </c>
      <c r="J1686" s="6" t="s">
        <v>2813</v>
      </c>
    </row>
    <row r="1687" spans="1:10" ht="12.75">
      <c r="A1687" s="2" t="s">
        <v>2374</v>
      </c>
      <c r="B1687" s="2" t="s">
        <v>2375</v>
      </c>
      <c r="C1687" s="2" t="s">
        <v>24</v>
      </c>
      <c r="D1687" s="2" t="s">
        <v>2376</v>
      </c>
      <c r="E1687" s="2" t="s">
        <v>431</v>
      </c>
      <c r="F1687" s="11" t="s">
        <v>2814</v>
      </c>
      <c r="G1687" t="s">
        <v>38</v>
      </c>
      <c r="H1687" t="s">
        <v>2815</v>
      </c>
      <c r="I1687" t="s">
        <v>552</v>
      </c>
      <c r="J1687" s="6" t="str">
        <f>HYPERLINK("https://www.biovista.com/db/link/%5B%5B%22Disease%7CMyotonic%20dystrophy%20type%201%22%5D,%20%5B%22Human%20Phenotype%7CIntellectual%20disability,%20borderline%22%5D%5D?strength-weight-map=%257B%2522MEDLINE_STRENGTH_AB%2522:1.0,%2522HPO%2522:100.0%257D", "Show Evidence...")</f>
        <v>Show Evidence...</v>
      </c>
    </row>
    <row r="1688" spans="1:10" ht="12.75">
      <c r="A1688" s="2" t="s">
        <v>2374</v>
      </c>
      <c r="B1688" s="2" t="s">
        <v>2375</v>
      </c>
      <c r="C1688" s="2" t="s">
        <v>24</v>
      </c>
      <c r="D1688" s="2" t="s">
        <v>2376</v>
      </c>
      <c r="E1688" s="2" t="s">
        <v>431</v>
      </c>
      <c r="F1688" s="11" t="s">
        <v>2816</v>
      </c>
      <c r="G1688" t="s">
        <v>38</v>
      </c>
      <c r="H1688" t="s">
        <v>2817</v>
      </c>
      <c r="I1688" t="s">
        <v>552</v>
      </c>
      <c r="J1688" s="6" t="str">
        <f>HYPERLINK("https://www.biovista.com/db/link/%5B%5B%22Disease%7CMyotonic%20dystrophy%20type%201%22%5D,%20%5B%22Human%20Phenotype%7CLimited%20extraocular%20movements%22%5D%5D?strength-weight-map=%257B%2522MEDLINE_STRENGTH_AB%2522:1.0,%2522HPO%2522:100.0%257D", "Show Evidence...")</f>
        <v>Show Evidence...</v>
      </c>
    </row>
    <row r="1689" spans="1:10" ht="12.75">
      <c r="A1689" s="2" t="s">
        <v>2374</v>
      </c>
      <c r="B1689" s="2" t="s">
        <v>2375</v>
      </c>
      <c r="C1689" s="2" t="s">
        <v>24</v>
      </c>
      <c r="D1689" s="2" t="s">
        <v>2376</v>
      </c>
      <c r="E1689" s="2" t="s">
        <v>431</v>
      </c>
      <c r="F1689" s="11" t="s">
        <v>2818</v>
      </c>
      <c r="G1689" t="s">
        <v>38</v>
      </c>
      <c r="H1689" t="s">
        <v>2819</v>
      </c>
      <c r="I1689" t="s">
        <v>552</v>
      </c>
      <c r="J1689" s="6" t="str">
        <f>HYPERLINK("https://www.biovista.com/db/link/%5B%5B%22Disease%7CMyotonic%20dystrophy%20type%201%22%5D,%20%5B%22Human%20Phenotype%7CMild%20fetal%20ventriculomegaly%22%5D%5D?strength-weight-map=%257B%2522MEDLINE_STRENGTH_AB%2522:1.0,%2522HPO%2522:100.0%257D", "Show Evidence...")</f>
        <v>Show Evidence...</v>
      </c>
    </row>
    <row r="1690" spans="1:10" ht="12.75">
      <c r="A1690" s="2" t="s">
        <v>2374</v>
      </c>
      <c r="B1690" s="2" t="s">
        <v>2375</v>
      </c>
      <c r="C1690" s="2" t="s">
        <v>24</v>
      </c>
      <c r="D1690" s="2" t="s">
        <v>2376</v>
      </c>
      <c r="E1690" s="2" t="s">
        <v>431</v>
      </c>
      <c r="F1690" s="11" t="s">
        <v>2820</v>
      </c>
      <c r="G1690" t="s">
        <v>38</v>
      </c>
      <c r="H1690" t="s">
        <v>2821</v>
      </c>
      <c r="I1690" t="s">
        <v>552</v>
      </c>
      <c r="J1690" s="6" t="str">
        <f>HYPERLINK("https://www.biovista.com/db/link/%5B%5B%22Disease%7CMyotonic%20dystrophy%20type%201%22%5D,%20%5B%22Human%20Phenotype%7CMyotonia%20of%20the%20jaw%22%5D%5D?strength-weight-map=%257B%2522MEDLINE_STRENGTH_AB%2522:1.0,%2522HPO%2522:100.0%257D", "Show Evidence...")</f>
        <v>Show Evidence...</v>
      </c>
    </row>
    <row r="1691" spans="1:10" ht="12.75">
      <c r="A1691" s="2" t="s">
        <v>2374</v>
      </c>
      <c r="B1691" s="2" t="s">
        <v>2375</v>
      </c>
      <c r="C1691" s="2" t="s">
        <v>24</v>
      </c>
      <c r="D1691" s="2" t="s">
        <v>2376</v>
      </c>
      <c r="E1691" s="2" t="s">
        <v>431</v>
      </c>
      <c r="F1691" s="11" t="s">
        <v>2822</v>
      </c>
      <c r="G1691" t="s">
        <v>38</v>
      </c>
      <c r="H1691" t="s">
        <v>2823</v>
      </c>
      <c r="I1691" t="s">
        <v>552</v>
      </c>
      <c r="J1691" s="6" t="str">
        <f>HYPERLINK("https://www.biovista.com/db/link/%5B%5B%22Disease%7CMyotonic%20dystrophy%20type%201%22%5D,%20%5B%22Human%20Phenotype%7CMyotonia%20of%20the%20upper%20limb%22%5D%5D?strength-weight-map=%257B%2522MEDLINE_STRENGTH_AB%2522:1.0,%2522HPO%2522:100.0%257D", "Show Evidence...")</f>
        <v>Show Evidence...</v>
      </c>
    </row>
    <row r="1692" spans="1:10" ht="12.75">
      <c r="A1692" s="2" t="s">
        <v>2374</v>
      </c>
      <c r="B1692" s="2" t="s">
        <v>2375</v>
      </c>
      <c r="C1692" s="2" t="s">
        <v>24</v>
      </c>
      <c r="D1692" s="2" t="s">
        <v>2376</v>
      </c>
      <c r="E1692" s="2" t="s">
        <v>431</v>
      </c>
      <c r="F1692" s="11" t="s">
        <v>2824</v>
      </c>
      <c r="G1692" t="s">
        <v>38</v>
      </c>
      <c r="H1692" t="s">
        <v>2825</v>
      </c>
      <c r="I1692" t="s">
        <v>552</v>
      </c>
      <c r="J1692" s="6" t="str">
        <f>HYPERLINK("https://www.biovista.com/db/link/%5B%5B%22Disease%7CMyotonic%20dystrophy%20type%201%22%5D,%20%5B%22Human%20Phenotype%7CNasogastric%20tube%20feeding%20in%20infancy%22%5D%5D?strength-weight-map=%257B%2522MEDLINE_STRENGTH_AB%2522:1.0,%2522HPO%2522:100.0%257D", "Show Evidence...")</f>
        <v>Show Evidence...</v>
      </c>
    </row>
    <row r="1693" spans="1:10" ht="12.75">
      <c r="A1693" s="2" t="s">
        <v>2374</v>
      </c>
      <c r="B1693" s="2" t="s">
        <v>2375</v>
      </c>
      <c r="C1693" s="2" t="s">
        <v>24</v>
      </c>
      <c r="D1693" s="2" t="s">
        <v>2376</v>
      </c>
      <c r="E1693" s="2" t="s">
        <v>431</v>
      </c>
      <c r="F1693" s="11" t="s">
        <v>2826</v>
      </c>
      <c r="G1693" t="s">
        <v>38</v>
      </c>
      <c r="H1693" t="s">
        <v>2827</v>
      </c>
      <c r="I1693" t="s">
        <v>552</v>
      </c>
      <c r="J1693" s="6" t="str">
        <f>HYPERLINK("https://www.biovista.com/db/link/%5B%5B%22Disease%7CMyotonic%20dystrophy%20type%201%22%5D,%20%5B%22Human%20Phenotype%7CParanoia%22%5D%5D?strength-weight-map=%257B%2522MEDLINE_STRENGTH_AB%2522:1.0,%2522HPO%2522:100.0%257D", "Show Evidence...")</f>
        <v>Show Evidence...</v>
      </c>
    </row>
    <row r="1694" spans="1:10" ht="12.75">
      <c r="A1694" s="2" t="s">
        <v>2374</v>
      </c>
      <c r="B1694" s="2" t="s">
        <v>2375</v>
      </c>
      <c r="C1694" s="2" t="s">
        <v>24</v>
      </c>
      <c r="D1694" s="2" t="s">
        <v>2376</v>
      </c>
      <c r="E1694" s="2" t="s">
        <v>431</v>
      </c>
      <c r="F1694" s="11" t="s">
        <v>2828</v>
      </c>
      <c r="G1694" t="s">
        <v>38</v>
      </c>
      <c r="H1694" t="s">
        <v>2829</v>
      </c>
      <c r="I1694" t="s">
        <v>552</v>
      </c>
      <c r="J1694" s="6" t="s">
        <v>2830</v>
      </c>
    </row>
    <row r="1695" spans="1:10" ht="12.75">
      <c r="A1695" s="2" t="s">
        <v>2374</v>
      </c>
      <c r="B1695" s="2" t="s">
        <v>2375</v>
      </c>
      <c r="C1695" s="2" t="s">
        <v>24</v>
      </c>
      <c r="D1695" s="2" t="s">
        <v>2376</v>
      </c>
      <c r="E1695" s="2" t="s">
        <v>431</v>
      </c>
      <c r="F1695" s="11" t="s">
        <v>2831</v>
      </c>
      <c r="G1695" t="s">
        <v>38</v>
      </c>
      <c r="H1695" t="s">
        <v>2832</v>
      </c>
      <c r="I1695" t="s">
        <v>552</v>
      </c>
      <c r="J1695" s="6" t="str">
        <f>HYPERLINK("https://www.biovista.com/db/link/%5B%5B%22Disease%7CMyotonic%20dystrophy%20type%201%22%5D,%20%5B%22Human%20Phenotype%7CShort%20attention%20span%22%5D%5D?strength-weight-map=%257B%2522MEDLINE_STRENGTH_AB%2522:1.0,%2522HPO%2522:100.0%257D", "Show Evidence...")</f>
        <v>Show Evidence...</v>
      </c>
    </row>
    <row r="1696" spans="1:10" ht="12.75">
      <c r="A1696" s="2" t="s">
        <v>2374</v>
      </c>
      <c r="B1696" s="2" t="s">
        <v>2375</v>
      </c>
      <c r="C1696" s="2" t="s">
        <v>24</v>
      </c>
      <c r="D1696" s="2" t="s">
        <v>2376</v>
      </c>
      <c r="E1696" s="2" t="s">
        <v>431</v>
      </c>
      <c r="F1696" s="11" t="s">
        <v>2833</v>
      </c>
      <c r="G1696" t="s">
        <v>38</v>
      </c>
      <c r="H1696" t="s">
        <v>2834</v>
      </c>
      <c r="I1696" t="s">
        <v>552</v>
      </c>
      <c r="J1696" s="6" t="str">
        <f>HYPERLINK("https://www.biovista.com/db/link/%5B%5B%22Disease%7CMyotonic%20dystrophy%20type%201%22%5D,%20%5B%22Human%20Phenotype%7CSpecific%20learning%20disability%22%5D%5D?strength-weight-map=%257B%2522MEDLINE_STRENGTH_AB%2522:1.0,%2522HPO%2522:100.0%257D", "Show Evidence...")</f>
        <v>Show Evidence...</v>
      </c>
    </row>
    <row r="1697" spans="1:10" ht="12.75">
      <c r="A1697" s="2" t="s">
        <v>2374</v>
      </c>
      <c r="B1697" s="2" t="s">
        <v>2375</v>
      </c>
      <c r="C1697" s="2" t="s">
        <v>24</v>
      </c>
      <c r="D1697" s="2" t="s">
        <v>2376</v>
      </c>
      <c r="E1697" s="2" t="s">
        <v>431</v>
      </c>
      <c r="F1697" s="11" t="s">
        <v>584</v>
      </c>
      <c r="G1697" t="s">
        <v>38</v>
      </c>
      <c r="H1697" t="s">
        <v>585</v>
      </c>
      <c r="I1697" t="s">
        <v>2835</v>
      </c>
      <c r="J1697" s="6" t="str">
        <f>HYPERLINK("https://www.biovista.com/db/link/%5B%5B%22Disease%7CMyotonic%20dystrophy%20type%201%22%5D,%20%5B%22Human%20Phenotype%7CPolyhydramnios%22%5D%5D?strength-weight-map=%257B%2522MEDLINE_STRENGTH_AB%2522:1.0,%2522HPO%2522:100.0%257D", "Show Evidence...")</f>
        <v>Show Evidence...</v>
      </c>
    </row>
    <row r="1698" spans="1:10" ht="12.75">
      <c r="A1698" s="2" t="s">
        <v>2374</v>
      </c>
      <c r="B1698" s="2" t="s">
        <v>2375</v>
      </c>
      <c r="C1698" s="2" t="s">
        <v>24</v>
      </c>
      <c r="D1698" s="2" t="s">
        <v>2376</v>
      </c>
      <c r="E1698" s="2" t="s">
        <v>431</v>
      </c>
      <c r="F1698" s="11" t="s">
        <v>2836</v>
      </c>
      <c r="G1698" t="s">
        <v>38</v>
      </c>
      <c r="H1698" t="s">
        <v>2837</v>
      </c>
      <c r="I1698" t="s">
        <v>2838</v>
      </c>
      <c r="J1698" s="6" t="str">
        <f>HYPERLINK("https://www.biovista.com/db/link/%5B%5B%22Disease%7CMyotonic%20dystrophy%20type%201%22%5D,%20%5B%22Human%20Phenotype%7CTesticular%20atrophy%22%5D%5D?strength-weight-map=%257B%2522MEDLINE_STRENGTH_AB%2522:1.0,%2522HPO%2522:100.0%257D", "Show Evidence...")</f>
        <v>Show Evidence...</v>
      </c>
    </row>
    <row r="1699" spans="1:10" ht="12.75">
      <c r="A1699" s="2" t="s">
        <v>2374</v>
      </c>
      <c r="B1699" s="2" t="s">
        <v>2375</v>
      </c>
      <c r="C1699" s="2" t="s">
        <v>24</v>
      </c>
      <c r="D1699" s="2" t="s">
        <v>2376</v>
      </c>
      <c r="E1699" s="2" t="s">
        <v>431</v>
      </c>
      <c r="F1699" s="11" t="s">
        <v>2839</v>
      </c>
      <c r="G1699" t="s">
        <v>38</v>
      </c>
      <c r="H1699" t="s">
        <v>2840</v>
      </c>
      <c r="I1699" t="s">
        <v>2841</v>
      </c>
      <c r="J1699" s="6" t="str">
        <f>HYPERLINK("https://www.biovista.com/db/link/%5B%5B%22Disease%7CMyotonic%20dystrophy%20type%201%22%5D,%20%5B%22Human%20Phenotype%7CFacial%20diplegia%22%5D%5D?strength-weight-map=%257B%2522MEDLINE_STRENGTH_AB%2522:1.0,%2522HPO%2522:100.0%257D", "Show Evidence...")</f>
        <v>Show Evidence...</v>
      </c>
    </row>
    <row r="1700" spans="1:10" ht="12.75">
      <c r="A1700" s="2" t="s">
        <v>2374</v>
      </c>
      <c r="B1700" s="2" t="s">
        <v>2375</v>
      </c>
      <c r="C1700" s="2" t="s">
        <v>24</v>
      </c>
      <c r="D1700" s="2" t="s">
        <v>2376</v>
      </c>
      <c r="E1700" s="2" t="s">
        <v>431</v>
      </c>
      <c r="F1700" s="11" t="s">
        <v>2842</v>
      </c>
      <c r="G1700" t="s">
        <v>38</v>
      </c>
      <c r="H1700" t="s">
        <v>2843</v>
      </c>
      <c r="I1700" t="s">
        <v>2844</v>
      </c>
      <c r="J1700" s="6" t="str">
        <f>HYPERLINK("https://www.biovista.com/db/link/%5B%5B%22Disease%7CMyotonic%20dystrophy%20type%201%22%5D,%20%5B%22Human%20Phenotype%7CCholelithiasis%22%5D%5D?strength-weight-map=%257B%2522MEDLINE_STRENGTH_AB%2522:1.0,%2522HPO%2522:100.0%257D", "Show Evidence...")</f>
        <v>Show Evidence...</v>
      </c>
    </row>
    <row r="1701" spans="1:10" ht="12.75">
      <c r="A1701" s="2" t="s">
        <v>2374</v>
      </c>
      <c r="B1701" s="2" t="s">
        <v>2375</v>
      </c>
      <c r="C1701" s="2" t="s">
        <v>24</v>
      </c>
      <c r="D1701" s="2" t="s">
        <v>2376</v>
      </c>
      <c r="E1701" s="2" t="s">
        <v>431</v>
      </c>
      <c r="F1701" s="11" t="s">
        <v>482</v>
      </c>
      <c r="G1701" t="s">
        <v>38</v>
      </c>
      <c r="H1701" t="s">
        <v>483</v>
      </c>
      <c r="I1701" t="s">
        <v>2845</v>
      </c>
      <c r="J1701" s="6" t="str">
        <f>HYPERLINK("https://www.biovista.com/db/link/%5B%5B%22Disease%7CMyotonic%20dystrophy%20type%201%22%5D,%20%5B%22Human%20Phenotype%7CDecreased%20fetal%20movement%22%5D%5D?strength-weight-map=%257B%2522MEDLINE_STRENGTH_AB%2522:1.0,%2522HPO%2522:100.0%257D", "Show Evidence...")</f>
        <v>Show Evidence...</v>
      </c>
    </row>
    <row r="1702" spans="1:10" ht="12.75">
      <c r="A1702" s="2" t="s">
        <v>2374</v>
      </c>
      <c r="B1702" s="2" t="s">
        <v>2375</v>
      </c>
      <c r="C1702" s="2" t="s">
        <v>24</v>
      </c>
      <c r="D1702" s="2" t="s">
        <v>2376</v>
      </c>
      <c r="E1702" s="2" t="s">
        <v>431</v>
      </c>
      <c r="F1702" s="11" t="s">
        <v>2846</v>
      </c>
      <c r="G1702" t="s">
        <v>38</v>
      </c>
      <c r="H1702" t="s">
        <v>2847</v>
      </c>
      <c r="I1702" t="s">
        <v>2848</v>
      </c>
      <c r="J1702" s="6" t="str">
        <f>HYPERLINK("https://www.biovista.com/db/link/%5B%5B%22Disease%7CMyotonic%20dystrophy%20type%201%22%5D,%20%5B%22Human%20Phenotype%7CFeeding%20difficulties%20in%20infancy%22%5D%5D?strength-weight-map=%257B%2522MEDLINE_STRENGTH_AB%2522:1.0,%2522HPO%2522:100.0%257D", "Show Evidence...")</f>
        <v>Show Evidence...</v>
      </c>
    </row>
    <row r="1703" spans="1:10" ht="12.75">
      <c r="A1703" s="2" t="s">
        <v>2374</v>
      </c>
      <c r="B1703" s="2" t="s">
        <v>2375</v>
      </c>
      <c r="C1703" s="2" t="s">
        <v>24</v>
      </c>
      <c r="D1703" s="2" t="s">
        <v>2376</v>
      </c>
      <c r="E1703" s="2" t="s">
        <v>431</v>
      </c>
      <c r="F1703" s="11" t="s">
        <v>2849</v>
      </c>
      <c r="G1703" t="s">
        <v>38</v>
      </c>
      <c r="H1703" t="s">
        <v>2850</v>
      </c>
      <c r="I1703" t="s">
        <v>2851</v>
      </c>
      <c r="J1703" s="6" t="str">
        <f>HYPERLINK("https://www.biovista.com/db/link/%5B%5B%22Disease%7CMyotonic%20dystrophy%20type%201%22%5D,%20%5B%22Human%20Phenotype%7CMyotonia%22%5D%5D?strength-weight-map=%257B%2522MEDLINE_STRENGTH_AB%2522:1.0,%2522HPO%2522:100.0%257D", "Show Evidence...")</f>
        <v>Show Evidence...</v>
      </c>
    </row>
    <row r="1704" spans="1:10" ht="12.75">
      <c r="A1704" s="2" t="s">
        <v>2374</v>
      </c>
      <c r="B1704" s="2" t="s">
        <v>2375</v>
      </c>
      <c r="C1704" s="2" t="s">
        <v>24</v>
      </c>
      <c r="D1704" s="2" t="s">
        <v>2376</v>
      </c>
      <c r="E1704" s="2" t="s">
        <v>431</v>
      </c>
      <c r="F1704" s="11" t="s">
        <v>2852</v>
      </c>
      <c r="G1704" t="s">
        <v>38</v>
      </c>
      <c r="H1704" t="s">
        <v>2853</v>
      </c>
      <c r="I1704" t="s">
        <v>2854</v>
      </c>
      <c r="J1704" s="6" t="str">
        <f>HYPERLINK("https://www.biovista.com/db/link/%5B%5B%22Disease%7CMyotonic%20dystrophy%20type%201%22%5D,%20%5B%22Human%20Phenotype%7CMuscular%20dystrophy%22%5D%5D?strength-weight-map=%257B%2522MEDLINE_STRENGTH_AB%2522:1.0,%2522HPO%2522:100.0%257D", "Show Evidence...")</f>
        <v>Show Evidence...</v>
      </c>
    </row>
    <row r="1705" spans="1:10" ht="12.75">
      <c r="A1705" s="2" t="s">
        <v>2374</v>
      </c>
      <c r="B1705" s="2" t="s">
        <v>2375</v>
      </c>
      <c r="C1705" s="2" t="s">
        <v>24</v>
      </c>
      <c r="D1705" s="2" t="s">
        <v>2376</v>
      </c>
      <c r="E1705" s="2" t="s">
        <v>431</v>
      </c>
      <c r="F1705" s="11" t="s">
        <v>617</v>
      </c>
      <c r="G1705" t="s">
        <v>38</v>
      </c>
      <c r="H1705" t="s">
        <v>618</v>
      </c>
      <c r="I1705" t="s">
        <v>2855</v>
      </c>
      <c r="J1705" s="6" t="str">
        <f>HYPERLINK("https://www.biovista.com/db/link/%5B%5B%22Disease%7CMyotonic%20dystrophy%20type%201%22%5D,%20%5B%22Human%20Phenotype%7CHealthy%22%5D%5D?strength-weight-map=%257B%2522MEDLINE_STRENGTH_AB%2522:1.0,%2522HPO%2522:100.0%257D", "Show Evidence...")</f>
        <v>Show Evidence...</v>
      </c>
    </row>
    <row r="1706" spans="1:10" ht="12.75">
      <c r="A1706" s="2" t="s">
        <v>2374</v>
      </c>
      <c r="B1706" s="2" t="s">
        <v>2375</v>
      </c>
      <c r="C1706" s="2" t="s">
        <v>24</v>
      </c>
      <c r="D1706" s="2" t="s">
        <v>2376</v>
      </c>
      <c r="E1706" s="2" t="s">
        <v>431</v>
      </c>
      <c r="F1706" s="11" t="s">
        <v>2856</v>
      </c>
      <c r="G1706" t="s">
        <v>38</v>
      </c>
      <c r="H1706" t="s">
        <v>2857</v>
      </c>
      <c r="I1706" t="s">
        <v>2858</v>
      </c>
      <c r="J1706" s="6" t="str">
        <f>HYPERLINK("https://www.biovista.com/db/link/%5B%5B%22Disease%7CMyotonic%20dystrophy%20type%201%22%5D,%20%5B%22Human%20Phenotype%7CDilated%20cardiomyopathy%22%5D%5D?strength-weight-map=%257B%2522MEDLINE_STRENGTH_AB%2522:1.0,%2522HPO%2522:100.0%257D", "Show Evidence...")</f>
        <v>Show Evidence...</v>
      </c>
    </row>
    <row r="1707" spans="1:10" ht="12.75">
      <c r="A1707" s="2" t="s">
        <v>2374</v>
      </c>
      <c r="B1707" s="2" t="s">
        <v>2375</v>
      </c>
      <c r="C1707" s="2" t="s">
        <v>24</v>
      </c>
      <c r="D1707" s="2" t="s">
        <v>2376</v>
      </c>
      <c r="E1707" s="2" t="s">
        <v>431</v>
      </c>
      <c r="F1707" s="11" t="s">
        <v>2859</v>
      </c>
      <c r="G1707" t="s">
        <v>38</v>
      </c>
      <c r="H1707" t="s">
        <v>2860</v>
      </c>
      <c r="I1707" t="s">
        <v>2861</v>
      </c>
      <c r="J1707" s="6" t="str">
        <f>HYPERLINK("https://www.biovista.com/db/link/%5B%5B%22Disease%7CMyotonic%20dystrophy%20type%201%22%5D,%20%5B%22Human%20Phenotype%7CAutism%22%5D%5D?strength-weight-map=%257B%2522MEDLINE_STRENGTH_AB%2522:1.0,%2522HPO%2522:100.0%257D", "Show Evidence...")</f>
        <v>Show Evidence...</v>
      </c>
    </row>
    <row r="1708" spans="1:10" ht="12.75">
      <c r="A1708" s="2" t="s">
        <v>2374</v>
      </c>
      <c r="B1708" s="2" t="s">
        <v>2375</v>
      </c>
      <c r="C1708" s="2" t="s">
        <v>24</v>
      </c>
      <c r="D1708" s="2" t="s">
        <v>2376</v>
      </c>
      <c r="E1708" s="2" t="s">
        <v>431</v>
      </c>
      <c r="F1708" s="11" t="s">
        <v>2862</v>
      </c>
      <c r="G1708" t="s">
        <v>38</v>
      </c>
      <c r="H1708" t="s">
        <v>2863</v>
      </c>
      <c r="I1708" t="s">
        <v>2864</v>
      </c>
      <c r="J1708" s="6" t="str">
        <f>HYPERLINK("https://www.biovista.com/db/link/%5B%5B%22Disease%7CMyotonic%20dystrophy%20type%201%22%5D,%20%5B%22Human%20Phenotype%7CPeripheral%20axonal%20neuropathy%22%5D%5D?strength-weight-map=%257B%2522MEDLINE_STRENGTH_AB%2522:1.0,%2522HPO%2522:100.0%257D", "Show Evidence...")</f>
        <v>Show Evidence...</v>
      </c>
    </row>
    <row r="1709" spans="1:10" ht="12.75">
      <c r="A1709" s="2" t="s">
        <v>2374</v>
      </c>
      <c r="B1709" s="2" t="s">
        <v>2375</v>
      </c>
      <c r="C1709" s="2" t="s">
        <v>24</v>
      </c>
      <c r="D1709" s="2" t="s">
        <v>2376</v>
      </c>
      <c r="E1709" s="2" t="s">
        <v>431</v>
      </c>
      <c r="F1709" s="11" t="s">
        <v>2865</v>
      </c>
      <c r="G1709" t="s">
        <v>38</v>
      </c>
      <c r="H1709" t="s">
        <v>2866</v>
      </c>
      <c r="I1709" t="s">
        <v>2867</v>
      </c>
      <c r="J1709" s="6" t="str">
        <f>HYPERLINK("https://www.biovista.com/db/link/%5B%5B%22Disease%7CMyotonic%20dystrophy%20type%201%22%5D,%20%5B%22Human%20Phenotype%7CNeoplasm%20of%20the%20skin%22%5D%5D?strength-weight-map=%257B%2522MEDLINE_STRENGTH_AB%2522:1.0,%2522HPO%2522:100.0%257D", "Show Evidence...")</f>
        <v>Show Evidence...</v>
      </c>
    </row>
    <row r="1710" spans="1:10" ht="12.75">
      <c r="A1710" s="2" t="s">
        <v>2374</v>
      </c>
      <c r="B1710" s="2" t="s">
        <v>2375</v>
      </c>
      <c r="C1710" s="2" t="s">
        <v>24</v>
      </c>
      <c r="D1710" s="2" t="s">
        <v>2376</v>
      </c>
      <c r="E1710" s="2" t="s">
        <v>704</v>
      </c>
      <c r="F1710" s="11" t="s">
        <v>737</v>
      </c>
      <c r="G1710" t="s">
        <v>37</v>
      </c>
      <c r="H1710" t="s">
        <v>738</v>
      </c>
      <c r="I1710" t="s">
        <v>2868</v>
      </c>
      <c r="J1710" s="6" t="str">
        <f>HYPERLINK("https://www.biovista.com/db/link/%5B%5B%22Disease%7CMyotonic%20dystrophy%20type%201%22%5D,%20%5B%22Pathway%7CmRNA%20cis%20splicing,%20via%20spliceosome%22%5D%5D?strength-weight-map=%257B%2522MEDLINE_STRENGTH_AB%2522:1.0,%2522HPO%2522:100.0%257D", "Show Evidence...")</f>
        <v>Show Evidence...</v>
      </c>
    </row>
    <row r="1711" spans="1:10" ht="12.75">
      <c r="A1711" s="2" t="s">
        <v>2374</v>
      </c>
      <c r="B1711" s="2" t="s">
        <v>2375</v>
      </c>
      <c r="C1711" s="2" t="s">
        <v>24</v>
      </c>
      <c r="D1711" s="2" t="s">
        <v>2376</v>
      </c>
      <c r="E1711" s="2" t="s">
        <v>704</v>
      </c>
      <c r="F1711" s="11" t="s">
        <v>795</v>
      </c>
      <c r="G1711" t="s">
        <v>37</v>
      </c>
      <c r="H1711" t="s">
        <v>796</v>
      </c>
      <c r="I1711" t="s">
        <v>2869</v>
      </c>
      <c r="J1711" s="6" t="str">
        <f>HYPERLINK("https://www.biovista.com/db/link/%5B%5B%22Disease%7CMyotonic%20dystrophy%20type%201%22%5D,%20%5B%22Pathway%7CRNA%20splicing%22%5D%5D?strength-weight-map=%257B%2522MEDLINE_STRENGTH_AB%2522:1.0,%2522HPO%2522:100.0%257D", "Show Evidence...")</f>
        <v>Show Evidence...</v>
      </c>
    </row>
    <row r="1712" spans="1:10" ht="12.75">
      <c r="A1712" s="2" t="s">
        <v>2374</v>
      </c>
      <c r="B1712" s="2" t="s">
        <v>2375</v>
      </c>
      <c r="C1712" s="2" t="s">
        <v>24</v>
      </c>
      <c r="D1712" s="2" t="s">
        <v>2376</v>
      </c>
      <c r="E1712" s="2" t="s">
        <v>704</v>
      </c>
      <c r="F1712" s="11" t="s">
        <v>723</v>
      </c>
      <c r="G1712" t="s">
        <v>37</v>
      </c>
      <c r="H1712" t="s">
        <v>724</v>
      </c>
      <c r="I1712" t="s">
        <v>2870</v>
      </c>
      <c r="J1712" s="6" t="str">
        <f>HYPERLINK("https://www.biovista.com/db/link/%5B%5B%22Disease%7CMyotonic%20dystrophy%20type%201%22%5D,%20%5B%22Pathway%7Ctranslation%22%5D%5D?strength-weight-map=%257B%2522MEDLINE_STRENGTH_AB%2522:1.0,%2522HPO%2522:100.0%257D", "Show Evidence...")</f>
        <v>Show Evidence...</v>
      </c>
    </row>
    <row r="1713" spans="1:10" ht="12.75">
      <c r="A1713" s="2" t="s">
        <v>2374</v>
      </c>
      <c r="B1713" s="2" t="s">
        <v>2375</v>
      </c>
      <c r="C1713" s="2" t="s">
        <v>24</v>
      </c>
      <c r="D1713" s="2" t="s">
        <v>2376</v>
      </c>
      <c r="E1713" s="2" t="s">
        <v>704</v>
      </c>
      <c r="F1713" s="11" t="s">
        <v>745</v>
      </c>
      <c r="G1713" t="s">
        <v>37</v>
      </c>
      <c r="H1713" t="s">
        <v>746</v>
      </c>
      <c r="I1713" t="s">
        <v>2871</v>
      </c>
      <c r="J1713" s="6" t="str">
        <f>HYPERLINK("https://www.biovista.com/db/link/%5B%5B%22Disease%7CMyotonic%20dystrophy%20type%201%22%5D,%20%5B%22Pathway%7Cmuscle%20contraction%22%5D%5D?strength-weight-map=%257B%2522MEDLINE_STRENGTH_AB%2522:1.0,%2522HPO%2522:100.0%257D", "Show Evidence...")</f>
        <v>Show Evidence...</v>
      </c>
    </row>
    <row r="1714" spans="1:10" ht="12.75">
      <c r="A1714" s="2" t="s">
        <v>2374</v>
      </c>
      <c r="B1714" s="2" t="s">
        <v>2375</v>
      </c>
      <c r="C1714" s="2" t="s">
        <v>24</v>
      </c>
      <c r="D1714" s="2" t="s">
        <v>2376</v>
      </c>
      <c r="E1714" s="2" t="s">
        <v>717</v>
      </c>
      <c r="F1714" s="11" t="s">
        <v>718</v>
      </c>
      <c r="G1714" t="s">
        <v>37</v>
      </c>
      <c r="H1714" t="s">
        <v>719</v>
      </c>
      <c r="I1714" t="s">
        <v>2872</v>
      </c>
      <c r="J1714" s="6" t="str">
        <f>HYPERLINK("https://www.biovista.com/db/link/%5B%5B%22Disease%7CMyotonic%20dystrophy%20type%201%22%5D,%20%5B%22Pathway%7Caging%22%5D%5D?strength-weight-map=%257B%2522MEDLINE_STRENGTH_AB%2522:1.0,%2522HPO%2522:100.0%257D", "Show Evidence...")</f>
        <v>Show Evidence...</v>
      </c>
    </row>
    <row r="1715" spans="1:10" ht="12.75">
      <c r="A1715" s="2" t="s">
        <v>2374</v>
      </c>
      <c r="B1715" s="2" t="s">
        <v>2375</v>
      </c>
      <c r="C1715" s="2" t="s">
        <v>24</v>
      </c>
      <c r="D1715" s="2" t="s">
        <v>2376</v>
      </c>
      <c r="E1715" s="2" t="s">
        <v>704</v>
      </c>
      <c r="F1715" s="11" t="s">
        <v>753</v>
      </c>
      <c r="G1715" t="s">
        <v>37</v>
      </c>
      <c r="H1715" t="s">
        <v>754</v>
      </c>
      <c r="I1715" t="s">
        <v>2873</v>
      </c>
      <c r="J1715" s="6" t="str">
        <f>HYPERLINK("https://www.biovista.com/db/link/%5B%5B%22Disease%7CMyotonic%20dystrophy%20type%201%22%5D,%20%5B%22Pathway%7Ccell%20differentiation%22%5D%5D?strength-weight-map=%257B%2522MEDLINE_STRENGTH_AB%2522:1.0,%2522HPO%2522:100.0%257D", "Show Evidence...")</f>
        <v>Show Evidence...</v>
      </c>
    </row>
    <row r="1716" spans="1:10" ht="12.75">
      <c r="A1716" s="2" t="s">
        <v>2374</v>
      </c>
      <c r="B1716" s="2" t="s">
        <v>2375</v>
      </c>
      <c r="C1716" s="2" t="s">
        <v>24</v>
      </c>
      <c r="D1716" s="2" t="s">
        <v>2376</v>
      </c>
      <c r="E1716" s="2" t="s">
        <v>704</v>
      </c>
      <c r="F1716" s="11" t="s">
        <v>733</v>
      </c>
      <c r="G1716" t="s">
        <v>37</v>
      </c>
      <c r="H1716" t="s">
        <v>734</v>
      </c>
      <c r="I1716" t="s">
        <v>2874</v>
      </c>
      <c r="J1716" s="6" t="str">
        <f>HYPERLINK("https://www.biovista.com/db/link/%5B%5B%22Disease%7CMyotonic%20dystrophy%20type%201%22%5D,%20%5B%22Pathway%7Ccellular%20respiration%22%5D%5D?strength-weight-map=%257B%2522MEDLINE_STRENGTH_AB%2522:1.0,%2522HPO%2522:100.0%257D", "Show Evidence...")</f>
        <v>Show Evidence...</v>
      </c>
    </row>
    <row r="1717" spans="1:10" ht="12.75">
      <c r="A1717" s="2" t="s">
        <v>2374</v>
      </c>
      <c r="B1717" s="2" t="s">
        <v>2375</v>
      </c>
      <c r="C1717" s="2" t="s">
        <v>24</v>
      </c>
      <c r="D1717" s="2" t="s">
        <v>2376</v>
      </c>
      <c r="E1717" s="2" t="s">
        <v>704</v>
      </c>
      <c r="F1717" s="11" t="s">
        <v>726</v>
      </c>
      <c r="G1717" t="s">
        <v>37</v>
      </c>
      <c r="H1717" t="s">
        <v>727</v>
      </c>
      <c r="I1717" t="s">
        <v>2875</v>
      </c>
      <c r="J1717" s="6" t="str">
        <f>HYPERLINK("https://www.biovista.com/db/link/%5B%5B%22Disease%7CMyotonic%20dystrophy%20type%201%22%5D,%20%5B%22Pathway%7Ccognition%22%5D%5D?strength-weight-map=%257B%2522MEDLINE_STRENGTH_AB%2522:1.0,%2522HPO%2522:100.0%257D", "Show Evidence...")</f>
        <v>Show Evidence...</v>
      </c>
    </row>
    <row r="1718" spans="1:10" ht="12.75">
      <c r="A1718" s="2" t="s">
        <v>2374</v>
      </c>
      <c r="B1718" s="2" t="s">
        <v>2375</v>
      </c>
      <c r="C1718" s="2" t="s">
        <v>24</v>
      </c>
      <c r="D1718" s="2" t="s">
        <v>2376</v>
      </c>
      <c r="E1718" s="2" t="s">
        <v>704</v>
      </c>
      <c r="F1718" s="11" t="s">
        <v>1556</v>
      </c>
      <c r="G1718" t="s">
        <v>37</v>
      </c>
      <c r="H1718" t="s">
        <v>1557</v>
      </c>
      <c r="I1718" t="s">
        <v>2549</v>
      </c>
      <c r="J1718" s="6" t="str">
        <f>HYPERLINK("https://www.biovista.com/db/link/%5B%5B%22Disease%7CMyotonic%20dystrophy%20type%201%22%5D,%20%5B%22Pathway%7Cmuscle%20atrophy%22%5D%5D?strength-weight-map=%257B%2522MEDLINE_STRENGTH_AB%2522:1.0,%2522HPO%2522:100.0%257D", "Show Evidence...")</f>
        <v>Show Evidence...</v>
      </c>
    </row>
    <row r="1719" spans="1:10" ht="12.75">
      <c r="A1719" s="2" t="s">
        <v>2374</v>
      </c>
      <c r="B1719" s="2" t="s">
        <v>2375</v>
      </c>
      <c r="C1719" s="2" t="s">
        <v>24</v>
      </c>
      <c r="D1719" s="2" t="s">
        <v>2376</v>
      </c>
      <c r="E1719" s="2" t="s">
        <v>704</v>
      </c>
      <c r="F1719" s="11" t="s">
        <v>2876</v>
      </c>
      <c r="G1719" t="s">
        <v>37</v>
      </c>
      <c r="H1719" t="s">
        <v>2877</v>
      </c>
      <c r="I1719" t="s">
        <v>2555</v>
      </c>
      <c r="J1719" s="6" t="str">
        <f>HYPERLINK("https://www.biovista.com/db/link/%5B%5B%22Disease%7CMyotonic%20dystrophy%20type%201%22%5D,%20%5B%22Pathway%7CDNA%20repair%22%5D%5D?strength-weight-map=%257B%2522MEDLINE_STRENGTH_AB%2522:1.0,%2522HPO%2522:100.0%257D", "Show Evidence...")</f>
        <v>Show Evidence...</v>
      </c>
    </row>
    <row r="1720" spans="1:10" ht="12.75">
      <c r="A1720" s="2" t="s">
        <v>2374</v>
      </c>
      <c r="B1720" s="2" t="s">
        <v>2375</v>
      </c>
      <c r="C1720" s="2" t="s">
        <v>24</v>
      </c>
      <c r="D1720" s="2" t="s">
        <v>2376</v>
      </c>
      <c r="E1720" s="2" t="s">
        <v>704</v>
      </c>
      <c r="F1720" s="11" t="s">
        <v>2366</v>
      </c>
      <c r="G1720" t="s">
        <v>37</v>
      </c>
      <c r="H1720" t="s">
        <v>2367</v>
      </c>
      <c r="I1720" t="s">
        <v>2557</v>
      </c>
      <c r="J1720" s="6" t="s">
        <v>2878</v>
      </c>
    </row>
    <row r="1721" spans="1:10" ht="12.75">
      <c r="A1721" s="2" t="s">
        <v>2374</v>
      </c>
      <c r="B1721" s="2" t="s">
        <v>2375</v>
      </c>
      <c r="C1721" s="2" t="s">
        <v>24</v>
      </c>
      <c r="D1721" s="2" t="s">
        <v>2376</v>
      </c>
      <c r="E1721" s="2" t="s">
        <v>704</v>
      </c>
      <c r="F1721" s="11" t="s">
        <v>848</v>
      </c>
      <c r="G1721" t="s">
        <v>37</v>
      </c>
      <c r="H1721" t="s">
        <v>849</v>
      </c>
      <c r="I1721" t="s">
        <v>2559</v>
      </c>
      <c r="J1721" s="6" t="str">
        <f>HYPERLINK("https://www.biovista.com/db/link/%5B%5B%22Disease%7CMyotonic%20dystrophy%20type%201%22%5D,%20%5B%22Pathway%7CRNA%20processing%22%5D%5D?strength-weight-map=%257B%2522MEDLINE_STRENGTH_AB%2522:1.0,%2522HPO%2522:100.0%257D", "Show Evidence...")</f>
        <v>Show Evidence...</v>
      </c>
    </row>
    <row r="1722" spans="1:10" ht="12.75">
      <c r="A1722" s="2" t="s">
        <v>2374</v>
      </c>
      <c r="B1722" s="2" t="s">
        <v>2375</v>
      </c>
      <c r="C1722" s="2" t="s">
        <v>24</v>
      </c>
      <c r="D1722" s="2" t="s">
        <v>2376</v>
      </c>
      <c r="E1722" s="2" t="s">
        <v>704</v>
      </c>
      <c r="F1722" s="11" t="s">
        <v>2879</v>
      </c>
      <c r="G1722" t="s">
        <v>37</v>
      </c>
      <c r="H1722" t="s">
        <v>2880</v>
      </c>
      <c r="I1722" t="s">
        <v>2559</v>
      </c>
      <c r="J1722" s="6" t="str">
        <f>HYPERLINK("https://www.biovista.com/db/link/%5B%5B%22Disease%7CMyotonic%20dystrophy%20type%201%22%5D,%20%5B%22Pathway%7Cskeletal%20muscle%20tissue%20development%22%5D%5D?strength-weight-map=%257B%2522MEDLINE_STRENGTH_AB%2522:1.0,%2522HPO%2522:100.0%257D", "Show Evidence...")</f>
        <v>Show Evidence...</v>
      </c>
    </row>
    <row r="1723" spans="1:10" ht="12.75">
      <c r="A1723" s="2" t="s">
        <v>2374</v>
      </c>
      <c r="B1723" s="2" t="s">
        <v>2375</v>
      </c>
      <c r="C1723" s="2" t="s">
        <v>24</v>
      </c>
      <c r="D1723" s="2" t="s">
        <v>2376</v>
      </c>
      <c r="E1723" s="2" t="s">
        <v>704</v>
      </c>
      <c r="F1723" s="11" t="s">
        <v>768</v>
      </c>
      <c r="G1723" t="s">
        <v>37</v>
      </c>
      <c r="H1723" t="s">
        <v>769</v>
      </c>
      <c r="I1723" t="s">
        <v>2564</v>
      </c>
      <c r="J1723" s="6" t="str">
        <f>HYPERLINK("https://www.biovista.com/db/link/%5B%5B%22Disease%7CMyotonic%20dystrophy%20type%201%22%5D,%20%5B%22Pathway%7Cregeneration%22%5D%5D?strength-weight-map=%257B%2522MEDLINE_STRENGTH_AB%2522:1.0,%2522HPO%2522:100.0%257D", "Show Evidence...")</f>
        <v>Show Evidence...</v>
      </c>
    </row>
    <row r="1724" spans="1:10" ht="12.75">
      <c r="A1724" s="2" t="s">
        <v>2374</v>
      </c>
      <c r="B1724" s="2" t="s">
        <v>2375</v>
      </c>
      <c r="C1724" s="2" t="s">
        <v>24</v>
      </c>
      <c r="D1724" s="2" t="s">
        <v>2376</v>
      </c>
      <c r="E1724" s="2" t="s">
        <v>704</v>
      </c>
      <c r="F1724" s="11" t="s">
        <v>760</v>
      </c>
      <c r="G1724" t="s">
        <v>37</v>
      </c>
      <c r="H1724" t="s">
        <v>761</v>
      </c>
      <c r="I1724" t="s">
        <v>2566</v>
      </c>
      <c r="J1724" s="6" t="str">
        <f>HYPERLINK("https://www.biovista.com/db/link/%5B%5B%22Disease%7CMyotonic%20dystrophy%20type%201%22%5D,%20%5B%22Pathway%7Chomeostatic%20process%22%5D%5D?strength-weight-map=%257B%2522MEDLINE_STRENGTH_AB%2522:1.0,%2522HPO%2522:100.0%257D", "Show Evidence...")</f>
        <v>Show Evidence...</v>
      </c>
    </row>
    <row r="1725" spans="1:10" ht="12.75">
      <c r="A1725" s="2" t="s">
        <v>2374</v>
      </c>
      <c r="B1725" s="2" t="s">
        <v>2375</v>
      </c>
      <c r="C1725" s="2" t="s">
        <v>24</v>
      </c>
      <c r="D1725" s="2" t="s">
        <v>2376</v>
      </c>
      <c r="E1725" s="2" t="s">
        <v>704</v>
      </c>
      <c r="F1725" s="11" t="s">
        <v>764</v>
      </c>
      <c r="G1725" t="s">
        <v>37</v>
      </c>
      <c r="H1725" t="s">
        <v>765</v>
      </c>
      <c r="I1725" t="s">
        <v>2377</v>
      </c>
      <c r="J1725" s="6" t="str">
        <f>HYPERLINK("https://www.biovista.com/db/link/%5B%5B%22Disease%7CMyotonic%20dystrophy%20type%201%22%5D,%20%5B%22Pathway%7Cmethylation%22%5D%5D?strength-weight-map=%257B%2522MEDLINE_STRENGTH_AB%2522:1.0,%2522HPO%2522:100.0%257D", "Show Evidence...")</f>
        <v>Show Evidence...</v>
      </c>
    </row>
    <row r="1726" spans="1:10" ht="12.75">
      <c r="A1726" s="2" t="s">
        <v>2374</v>
      </c>
      <c r="B1726" s="2" t="s">
        <v>2375</v>
      </c>
      <c r="C1726" s="2" t="s">
        <v>24</v>
      </c>
      <c r="D1726" s="2" t="s">
        <v>2376</v>
      </c>
      <c r="E1726" s="2" t="s">
        <v>704</v>
      </c>
      <c r="F1726" s="11" t="s">
        <v>2881</v>
      </c>
      <c r="G1726" t="s">
        <v>37</v>
      </c>
      <c r="H1726" t="s">
        <v>2882</v>
      </c>
      <c r="I1726" t="s">
        <v>2883</v>
      </c>
      <c r="J1726" s="6" t="str">
        <f>HYPERLINK("https://www.biovista.com/db/link/%5B%5B%22Disease%7CMyotonic%20dystrophy%20type%201%22%5D,%20%5B%22Pathway%7CDNA%20replication%22%5D%5D?strength-weight-map=%257B%2522MEDLINE_STRENGTH_AB%2522:1.0,%2522HPO%2522:100.0%257D", "Show Evidence...")</f>
        <v>Show Evidence...</v>
      </c>
    </row>
    <row r="1727" spans="1:10" ht="12.75">
      <c r="A1727" s="2" t="s">
        <v>2374</v>
      </c>
      <c r="B1727" s="2" t="s">
        <v>2375</v>
      </c>
      <c r="C1727" s="2" t="s">
        <v>24</v>
      </c>
      <c r="D1727" s="2" t="s">
        <v>2376</v>
      </c>
      <c r="E1727" s="2" t="s">
        <v>704</v>
      </c>
      <c r="F1727" s="11" t="s">
        <v>827</v>
      </c>
      <c r="G1727" t="s">
        <v>37</v>
      </c>
      <c r="H1727" t="s">
        <v>828</v>
      </c>
      <c r="I1727" t="s">
        <v>2883</v>
      </c>
      <c r="J1727" s="6" t="s">
        <v>2884</v>
      </c>
    </row>
    <row r="1728" spans="1:10" ht="12.75">
      <c r="A1728" s="2" t="s">
        <v>2374</v>
      </c>
      <c r="B1728" s="2" t="s">
        <v>2375</v>
      </c>
      <c r="C1728" s="2" t="s">
        <v>24</v>
      </c>
      <c r="D1728" s="2" t="s">
        <v>2376</v>
      </c>
      <c r="E1728" s="2" t="s">
        <v>704</v>
      </c>
      <c r="F1728" s="11" t="s">
        <v>2885</v>
      </c>
      <c r="G1728" t="s">
        <v>37</v>
      </c>
      <c r="H1728" t="s">
        <v>2886</v>
      </c>
      <c r="I1728" t="s">
        <v>2887</v>
      </c>
      <c r="J1728" s="6" t="str">
        <f>HYPERLINK("https://www.biovista.com/db/link/%5B%5B%22Disease%7CMyotonic%20dystrophy%20type%201%22%5D,%20%5B%22Pathway%7Ccardiac%20conduction%22%5D%5D?strength-weight-map=%257B%2522MEDLINE_STRENGTH_AB%2522:1.0,%2522HPO%2522:100.0%257D", "Show Evidence...")</f>
        <v>Show Evidence...</v>
      </c>
    </row>
    <row r="1729" spans="1:10" ht="12.75">
      <c r="A1729" s="2" t="s">
        <v>2374</v>
      </c>
      <c r="B1729" s="2" t="s">
        <v>2375</v>
      </c>
      <c r="C1729" s="2" t="s">
        <v>24</v>
      </c>
      <c r="D1729" s="2" t="s">
        <v>2376</v>
      </c>
      <c r="E1729" s="2" t="s">
        <v>704</v>
      </c>
      <c r="F1729" s="11" t="s">
        <v>755</v>
      </c>
      <c r="G1729" t="s">
        <v>37</v>
      </c>
      <c r="H1729" t="s">
        <v>756</v>
      </c>
      <c r="I1729" t="s">
        <v>2888</v>
      </c>
      <c r="J1729" s="6" t="s">
        <v>2889</v>
      </c>
    </row>
    <row r="1730" spans="1:10" ht="12.75">
      <c r="A1730" s="2" t="s">
        <v>2374</v>
      </c>
      <c r="B1730" s="2" t="s">
        <v>2375</v>
      </c>
      <c r="C1730" s="2" t="s">
        <v>24</v>
      </c>
      <c r="D1730" s="2" t="s">
        <v>2376</v>
      </c>
      <c r="E1730" s="2" t="s">
        <v>704</v>
      </c>
      <c r="F1730" s="11" t="s">
        <v>720</v>
      </c>
      <c r="G1730" t="s">
        <v>37</v>
      </c>
      <c r="H1730" t="s">
        <v>721</v>
      </c>
      <c r="I1730" t="s">
        <v>2382</v>
      </c>
      <c r="J1730" s="6" t="str">
        <f>HYPERLINK("https://www.biovista.com/db/link/%5B%5B%22Disease%7CMyotonic%20dystrophy%20type%201%22%5D,%20%5B%22Pathway%7Capoptotic%20process%22%5D%5D?strength-weight-map=%257B%2522MEDLINE_STRENGTH_AB%2522:1.0,%2522HPO%2522:100.0%257D", "Show Evidence...")</f>
        <v>Show Evidence...</v>
      </c>
    </row>
    <row r="1731" spans="1:10" ht="12.75">
      <c r="A1731" s="2" t="s">
        <v>2374</v>
      </c>
      <c r="B1731" s="2" t="s">
        <v>2375</v>
      </c>
      <c r="C1731" s="2" t="s">
        <v>24</v>
      </c>
      <c r="D1731" s="2" t="s">
        <v>2376</v>
      </c>
      <c r="E1731" s="2" t="s">
        <v>704</v>
      </c>
      <c r="F1731" s="11" t="s">
        <v>2364</v>
      </c>
      <c r="G1731" t="s">
        <v>37</v>
      </c>
      <c r="H1731" t="s">
        <v>2365</v>
      </c>
      <c r="I1731" t="s">
        <v>2890</v>
      </c>
      <c r="J1731" s="6" t="str">
        <f>HYPERLINK("https://www.biovista.com/db/link/%5B%5B%22Disease%7CMyotonic%20dystrophy%20type%201%22%5D,%20%5B%22Pathway%7CRNA%20metabolic%20process%22%5D%5D?strength-weight-map=%257B%2522MEDLINE_STRENGTH_AB%2522:1.0,%2522HPO%2522:100.0%257D", "Show Evidence...")</f>
        <v>Show Evidence...</v>
      </c>
    </row>
    <row r="1732" spans="1:10" ht="12.75">
      <c r="A1732" s="2" t="s">
        <v>2374</v>
      </c>
      <c r="B1732" s="2" t="s">
        <v>2375</v>
      </c>
      <c r="C1732" s="2" t="s">
        <v>24</v>
      </c>
      <c r="D1732" s="2" t="s">
        <v>2376</v>
      </c>
      <c r="E1732" s="2" t="s">
        <v>704</v>
      </c>
      <c r="F1732" s="11" t="s">
        <v>1454</v>
      </c>
      <c r="G1732" t="s">
        <v>37</v>
      </c>
      <c r="H1732" t="s">
        <v>1455</v>
      </c>
      <c r="I1732" t="s">
        <v>2587</v>
      </c>
      <c r="J1732" s="6" t="str">
        <f>HYPERLINK("https://www.biovista.com/db/link/%5B%5B%22Disease%7CMyotonic%20dystrophy%20type%201%22%5D,%20%5B%22Pathway%7Cexcretion%22%5D%5D?strength-weight-map=%257B%2522MEDLINE_STRENGTH_AB%2522:1.0,%2522HPO%2522:100.0%257D", "Show Evidence...")</f>
        <v>Show Evidence...</v>
      </c>
    </row>
    <row r="1733" spans="1:10" ht="12.75">
      <c r="A1733" s="2" t="s">
        <v>2374</v>
      </c>
      <c r="B1733" s="2" t="s">
        <v>2375</v>
      </c>
      <c r="C1733" s="2" t="s">
        <v>24</v>
      </c>
      <c r="D1733" s="2" t="s">
        <v>2376</v>
      </c>
      <c r="E1733" s="2" t="s">
        <v>704</v>
      </c>
      <c r="F1733" s="11" t="s">
        <v>896</v>
      </c>
      <c r="G1733" t="s">
        <v>37</v>
      </c>
      <c r="H1733" t="s">
        <v>897</v>
      </c>
      <c r="I1733" t="s">
        <v>2587</v>
      </c>
      <c r="J1733" s="6" t="str">
        <f>HYPERLINK("https://www.biovista.com/db/link/%5B%5B%22Disease%7CMyotonic%20dystrophy%20type%201%22%5D,%20%5B%22Pathway%7Cmismatch%20repair%22%5D%5D?strength-weight-map=%257B%2522MEDLINE_STRENGTH_AB%2522:1.0,%2522HPO%2522:100.0%257D", "Show Evidence...")</f>
        <v>Show Evidence...</v>
      </c>
    </row>
    <row r="1734" spans="1:10" ht="12.75">
      <c r="A1734" s="2" t="s">
        <v>2374</v>
      </c>
      <c r="B1734" s="2" t="s">
        <v>2375</v>
      </c>
      <c r="C1734" s="2" t="s">
        <v>24</v>
      </c>
      <c r="D1734" s="2" t="s">
        <v>2376</v>
      </c>
      <c r="E1734" s="2" t="s">
        <v>704</v>
      </c>
      <c r="F1734" s="11" t="s">
        <v>862</v>
      </c>
      <c r="G1734" t="s">
        <v>37</v>
      </c>
      <c r="H1734" t="s">
        <v>863</v>
      </c>
      <c r="I1734" t="s">
        <v>2587</v>
      </c>
      <c r="J1734" s="6" t="str">
        <f>HYPERLINK("https://www.biovista.com/db/link/%5B%5B%22Disease%7CMyotonic%20dystrophy%20type%201%22%5D,%20%5B%22Pathway%7Creflex%22%5D%5D?strength-weight-map=%257B%2522MEDLINE_STRENGTH_AB%2522:1.0,%2522HPO%2522:100.0%257D", "Show Evidence...")</f>
        <v>Show Evidence...</v>
      </c>
    </row>
    <row r="1735" spans="1:10" ht="12.75">
      <c r="A1735" s="2" t="s">
        <v>2374</v>
      </c>
      <c r="B1735" s="2" t="s">
        <v>2375</v>
      </c>
      <c r="C1735" s="2" t="s">
        <v>24</v>
      </c>
      <c r="D1735" s="2" t="s">
        <v>2376</v>
      </c>
      <c r="E1735" s="2" t="s">
        <v>704</v>
      </c>
      <c r="F1735" s="11" t="s">
        <v>801</v>
      </c>
      <c r="G1735" t="s">
        <v>37</v>
      </c>
      <c r="H1735" t="s">
        <v>802</v>
      </c>
      <c r="I1735" t="s">
        <v>2587</v>
      </c>
      <c r="J1735" s="6" t="str">
        <f>HYPERLINK("https://www.biovista.com/db/link/%5B%5B%22Disease%7CMyotonic%20dystrophy%20type%201%22%5D,%20%5B%22Pathway%7Csecretion%22%5D%5D?strength-weight-map=%257B%2522MEDLINE_STRENGTH_AB%2522:1.0,%2522HPO%2522:100.0%257D", "Show Evidence...")</f>
        <v>Show Evidence...</v>
      </c>
    </row>
    <row r="1736" spans="1:10" ht="12.75">
      <c r="A1736" s="2" t="s">
        <v>2374</v>
      </c>
      <c r="B1736" s="2" t="s">
        <v>2375</v>
      </c>
      <c r="C1736" s="2" t="s">
        <v>24</v>
      </c>
      <c r="D1736" s="2" t="s">
        <v>2376</v>
      </c>
      <c r="E1736" s="2" t="s">
        <v>704</v>
      </c>
      <c r="F1736" s="11" t="s">
        <v>821</v>
      </c>
      <c r="G1736" t="s">
        <v>37</v>
      </c>
      <c r="H1736" t="s">
        <v>822</v>
      </c>
      <c r="I1736" t="s">
        <v>2391</v>
      </c>
      <c r="J1736" s="6" t="str">
        <f>HYPERLINK("https://www.biovista.com/db/link/%5B%5B%22Disease%7CMyotonic%20dystrophy%20type%201%22%5D,%20%5B%22Pathway%7Cfemale%20pregnancy%22%5D%5D?strength-weight-map=%257B%2522MEDLINE_STRENGTH_AB%2522:1.0,%2522HPO%2522:100.0%257D", "Show Evidence...")</f>
        <v>Show Evidence...</v>
      </c>
    </row>
    <row r="1737" spans="1:10" ht="12.75">
      <c r="A1737" s="2" t="s">
        <v>2374</v>
      </c>
      <c r="B1737" s="2" t="s">
        <v>2375</v>
      </c>
      <c r="C1737" s="2" t="s">
        <v>24</v>
      </c>
      <c r="D1737" s="2" t="s">
        <v>2376</v>
      </c>
      <c r="E1737" s="2" t="s">
        <v>704</v>
      </c>
      <c r="F1737" s="11" t="s">
        <v>898</v>
      </c>
      <c r="G1737" t="s">
        <v>37</v>
      </c>
      <c r="H1737" t="s">
        <v>899</v>
      </c>
      <c r="I1737" t="s">
        <v>2391</v>
      </c>
      <c r="J1737" s="6" t="str">
        <f>HYPERLINK("https://www.biovista.com/db/link/%5B%5B%22Disease%7CMyotonic%20dystrophy%20type%201%22%5D,%20%5B%22Pathway%7Cnegative%20regulation%20of%20gene%20expression%22%5D%5D?strength-weight-map=%257B%2522MEDLINE_STRENGTH_AB%2522:1.0,%2522HPO%2522:100.0%257D", "Show Evidence...")</f>
        <v>Show Evidence...</v>
      </c>
    </row>
    <row r="1738" spans="1:10" ht="12.75">
      <c r="A1738" s="2" t="s">
        <v>2374</v>
      </c>
      <c r="B1738" s="2" t="s">
        <v>2375</v>
      </c>
      <c r="C1738" s="2" t="s">
        <v>24</v>
      </c>
      <c r="D1738" s="2" t="s">
        <v>2376</v>
      </c>
      <c r="E1738" s="2" t="s">
        <v>704</v>
      </c>
      <c r="F1738" s="11" t="s">
        <v>773</v>
      </c>
      <c r="G1738" t="s">
        <v>37</v>
      </c>
      <c r="H1738" t="s">
        <v>774</v>
      </c>
      <c r="I1738" t="s">
        <v>2394</v>
      </c>
      <c r="J1738" s="6" t="str">
        <f>HYPERLINK("https://www.biovista.com/db/link/%5B%5B%22Disease%7CMyotonic%20dystrophy%20type%201%22%5D,%20%5B%22Pathway%7Cmeiotic%20nuclear%20division%22%5D%5D?strength-weight-map=%257B%2522MEDLINE_STRENGTH_AB%2522:1.0,%2522HPO%2522:100.0%257D", "Show Evidence...")</f>
        <v>Show Evidence...</v>
      </c>
    </row>
    <row r="1739" spans="1:10" ht="12.75">
      <c r="A1739" s="2" t="s">
        <v>2374</v>
      </c>
      <c r="B1739" s="2" t="s">
        <v>2375</v>
      </c>
      <c r="C1739" s="2" t="s">
        <v>24</v>
      </c>
      <c r="D1739" s="2" t="s">
        <v>2376</v>
      </c>
      <c r="E1739" s="2" t="s">
        <v>704</v>
      </c>
      <c r="F1739" s="11" t="s">
        <v>882</v>
      </c>
      <c r="G1739" t="s">
        <v>37</v>
      </c>
      <c r="H1739" t="s">
        <v>883</v>
      </c>
      <c r="I1739" t="s">
        <v>2394</v>
      </c>
      <c r="J1739" s="6" t="str">
        <f>HYPERLINK("https://www.biovista.com/db/link/%5B%5B%22Disease%7CMyotonic%20dystrophy%20type%201%22%5D,%20%5B%22Pathway%7Cregulation%20of%20gene%20expression%22%5D%5D?strength-weight-map=%257B%2522MEDLINE_STRENGTH_AB%2522:1.0,%2522HPO%2522:100.0%257D", "Show Evidence...")</f>
        <v>Show Evidence...</v>
      </c>
    </row>
    <row r="1740" spans="1:10" ht="12.75">
      <c r="A1740" s="2" t="s">
        <v>2374</v>
      </c>
      <c r="B1740" s="2" t="s">
        <v>2375</v>
      </c>
      <c r="C1740" s="2" t="s">
        <v>24</v>
      </c>
      <c r="D1740" s="2" t="s">
        <v>2376</v>
      </c>
      <c r="E1740" s="2" t="s">
        <v>704</v>
      </c>
      <c r="F1740" s="11" t="s">
        <v>836</v>
      </c>
      <c r="G1740" t="s">
        <v>37</v>
      </c>
      <c r="H1740" t="s">
        <v>837</v>
      </c>
      <c r="I1740" t="s">
        <v>2395</v>
      </c>
      <c r="J1740" s="6" t="str">
        <f>HYPERLINK("https://www.biovista.com/db/link/%5B%5B%22Disease%7CMyotonic%20dystrophy%20type%201%22%5D,%20%5B%22Pathway%7Cautophagy%22%5D%5D?strength-weight-map=%257B%2522MEDLINE_STRENGTH_AB%2522:1.0,%2522HPO%2522:100.0%257D", "Show Evidence...")</f>
        <v>Show Evidence...</v>
      </c>
    </row>
    <row r="1741" spans="1:10" ht="12.75">
      <c r="A1741" s="2" t="s">
        <v>2374</v>
      </c>
      <c r="B1741" s="2" t="s">
        <v>2375</v>
      </c>
      <c r="C1741" s="2" t="s">
        <v>24</v>
      </c>
      <c r="D1741" s="2" t="s">
        <v>2376</v>
      </c>
      <c r="E1741" s="2" t="s">
        <v>704</v>
      </c>
      <c r="F1741" s="11" t="s">
        <v>799</v>
      </c>
      <c r="G1741" t="s">
        <v>37</v>
      </c>
      <c r="H1741" t="s">
        <v>800</v>
      </c>
      <c r="I1741" t="s">
        <v>2396</v>
      </c>
      <c r="J1741" s="6" t="str">
        <f>HYPERLINK("https://www.biovista.com/db/link/%5B%5B%22Disease%7CMyotonic%20dystrophy%20type%201%22%5D,%20%5B%22Pathway%7Clipid%20metabolic%20process%22%5D%5D?strength-weight-map=%257B%2522MEDLINE_STRENGTH_AB%2522:1.0,%2522HPO%2522:100.0%257D", "Show Evidence...")</f>
        <v>Show Evidence...</v>
      </c>
    </row>
    <row r="1742" spans="1:10" ht="12.75">
      <c r="A1742" s="2" t="s">
        <v>2374</v>
      </c>
      <c r="B1742" s="2" t="s">
        <v>2375</v>
      </c>
      <c r="C1742" s="2" t="s">
        <v>24</v>
      </c>
      <c r="D1742" s="2" t="s">
        <v>2376</v>
      </c>
      <c r="E1742" s="2" t="s">
        <v>704</v>
      </c>
      <c r="F1742" s="11" t="s">
        <v>876</v>
      </c>
      <c r="G1742" t="s">
        <v>37</v>
      </c>
      <c r="H1742" t="s">
        <v>877</v>
      </c>
      <c r="I1742" t="s">
        <v>2610</v>
      </c>
      <c r="J1742" s="6" t="str">
        <f>HYPERLINK("https://www.biovista.com/db/link/%5B%5B%22Disease%7CMyotonic%20dystrophy%20type%201%22%5D,%20%5B%22Pathway%7Caction%20potential%22%5D%5D?strength-weight-map=%257B%2522MEDLINE_STRENGTH_AB%2522:1.0,%2522HPO%2522:100.0%257D", "Show Evidence...")</f>
        <v>Show Evidence...</v>
      </c>
    </row>
    <row r="1743" spans="1:10" ht="12.75">
      <c r="A1743" s="2" t="s">
        <v>2374</v>
      </c>
      <c r="B1743" s="2" t="s">
        <v>2375</v>
      </c>
      <c r="C1743" s="2" t="s">
        <v>24</v>
      </c>
      <c r="D1743" s="2" t="s">
        <v>2376</v>
      </c>
      <c r="E1743" s="2" t="s">
        <v>704</v>
      </c>
      <c r="F1743" s="11" t="s">
        <v>803</v>
      </c>
      <c r="G1743" t="s">
        <v>37</v>
      </c>
      <c r="H1743" t="s">
        <v>804</v>
      </c>
      <c r="I1743" t="s">
        <v>2610</v>
      </c>
      <c r="J1743" s="6" t="str">
        <f>HYPERLINK("https://www.biovista.com/db/link/%5B%5B%22Disease%7CMyotonic%20dystrophy%20type%201%22%5D,%20%5B%22Pathway%7Ccell%20cycle%22%5D%5D?strength-weight-map=%257B%2522MEDLINE_STRENGTH_AB%2522:1.0,%2522HPO%2522:100.0%257D", "Show Evidence...")</f>
        <v>Show Evidence...</v>
      </c>
    </row>
    <row r="1744" spans="1:10" ht="12.75">
      <c r="A1744" s="2" t="s">
        <v>2374</v>
      </c>
      <c r="B1744" s="2" t="s">
        <v>2375</v>
      </c>
      <c r="C1744" s="2" t="s">
        <v>24</v>
      </c>
      <c r="D1744" s="2" t="s">
        <v>2376</v>
      </c>
      <c r="E1744" s="2" t="s">
        <v>704</v>
      </c>
      <c r="F1744" s="11" t="s">
        <v>815</v>
      </c>
      <c r="G1744" t="s">
        <v>37</v>
      </c>
      <c r="H1744" t="s">
        <v>816</v>
      </c>
      <c r="I1744" t="s">
        <v>2610</v>
      </c>
      <c r="J1744" s="6" t="str">
        <f>HYPERLINK("https://www.biovista.com/db/link/%5B%5B%22Disease%7CMyotonic%20dystrophy%20type%201%22%5D,%20%5B%22Pathway%7Ccircadian%20rhythm%22%5D%5D?strength-weight-map=%257B%2522MEDLINE_STRENGTH_AB%2522:1.0,%2522HPO%2522:100.0%257D", "Show Evidence...")</f>
        <v>Show Evidence...</v>
      </c>
    </row>
    <row r="1745" spans="1:10" ht="12.75">
      <c r="A1745" s="2" t="s">
        <v>2374</v>
      </c>
      <c r="B1745" s="2" t="s">
        <v>2375</v>
      </c>
      <c r="C1745" s="2" t="s">
        <v>24</v>
      </c>
      <c r="D1745" s="2" t="s">
        <v>2376</v>
      </c>
      <c r="E1745" s="2" t="s">
        <v>704</v>
      </c>
      <c r="F1745" s="11" t="s">
        <v>2352</v>
      </c>
      <c r="G1745" t="s">
        <v>37</v>
      </c>
      <c r="H1745" t="s">
        <v>2353</v>
      </c>
      <c r="I1745" t="s">
        <v>2610</v>
      </c>
      <c r="J1745" s="6" t="str">
        <f>HYPERLINK("https://www.biovista.com/db/link/%5B%5B%22Disease%7CMyotonic%20dystrophy%20type%201%22%5D,%20%5B%22Pathway%7Cglucose%20metabolic%20process%22%5D%5D?strength-weight-map=%257B%2522MEDLINE_STRENGTH_AB%2522:1.0,%2522HPO%2522:100.0%257D", "Show Evidence...")</f>
        <v>Show Evidence...</v>
      </c>
    </row>
    <row r="1746" spans="1:10" ht="12.75">
      <c r="A1746" s="2" t="s">
        <v>2374</v>
      </c>
      <c r="B1746" s="2" t="s">
        <v>2375</v>
      </c>
      <c r="C1746" s="2" t="s">
        <v>24</v>
      </c>
      <c r="D1746" s="2" t="s">
        <v>2376</v>
      </c>
      <c r="E1746" s="2" t="s">
        <v>704</v>
      </c>
      <c r="F1746" s="11" t="s">
        <v>708</v>
      </c>
      <c r="G1746" t="s">
        <v>37</v>
      </c>
      <c r="H1746" t="s">
        <v>709</v>
      </c>
      <c r="I1746" t="s">
        <v>2615</v>
      </c>
      <c r="J1746" s="6" t="str">
        <f>HYPERLINK("https://www.biovista.com/db/link/%5B%5B%22Disease%7CMyotonic%20dystrophy%20type%201%22%5D,%20%5B%22Pathway%7Cchemical%20synaptic%20transmission%22%5D%5D?strength-weight-map=%257B%2522MEDLINE_STRENGTH_AB%2522:1.0,%2522HPO%2522:100.0%257D", "Show Evidence...")</f>
        <v>Show Evidence...</v>
      </c>
    </row>
    <row r="1747" spans="1:10" ht="12.75">
      <c r="A1747" s="2" t="s">
        <v>2374</v>
      </c>
      <c r="B1747" s="2" t="s">
        <v>2375</v>
      </c>
      <c r="C1747" s="2" t="s">
        <v>24</v>
      </c>
      <c r="D1747" s="2" t="s">
        <v>2376</v>
      </c>
      <c r="E1747" s="2" t="s">
        <v>704</v>
      </c>
      <c r="F1747" s="11" t="s">
        <v>890</v>
      </c>
      <c r="G1747" t="s">
        <v>37</v>
      </c>
      <c r="H1747" t="s">
        <v>891</v>
      </c>
      <c r="I1747" t="s">
        <v>2615</v>
      </c>
      <c r="J1747" s="6" t="str">
        <f>HYPERLINK("https://www.biovista.com/db/link/%5B%5B%22Disease%7CMyotonic%20dystrophy%20type%201%22%5D,%20%5B%22Pathway%7Cembryo%20development%22%5D%5D?strength-weight-map=%257B%2522MEDLINE_STRENGTH_AB%2522:1.0,%2522HPO%2522:100.0%257D", "Show Evidence...")</f>
        <v>Show Evidence...</v>
      </c>
    </row>
    <row r="1748" spans="1:10" ht="12.75">
      <c r="A1748" s="2" t="s">
        <v>2374</v>
      </c>
      <c r="B1748" s="2" t="s">
        <v>2375</v>
      </c>
      <c r="C1748" s="2" t="s">
        <v>24</v>
      </c>
      <c r="D1748" s="2" t="s">
        <v>2376</v>
      </c>
      <c r="E1748" s="2" t="s">
        <v>704</v>
      </c>
      <c r="F1748" s="11" t="s">
        <v>711</v>
      </c>
      <c r="G1748" t="s">
        <v>37</v>
      </c>
      <c r="H1748" t="s">
        <v>712</v>
      </c>
      <c r="I1748" t="s">
        <v>2399</v>
      </c>
      <c r="J1748" s="6" t="str">
        <f>HYPERLINK("https://www.biovista.com/db/link/%5B%5B%22Disease%7CMyotonic%20dystrophy%20type%201%22%5D,%20%5B%22Pathway%7Cinflammatory%20response%22%5D%5D?strength-weight-map=%257B%2522MEDLINE_STRENGTH_AB%2522:1.0,%2522HPO%2522:100.0%257D", "Show Evidence...")</f>
        <v>Show Evidence...</v>
      </c>
    </row>
    <row r="1749" spans="1:10" ht="12.75">
      <c r="A1749" s="2" t="s">
        <v>2374</v>
      </c>
      <c r="B1749" s="2" t="s">
        <v>2375</v>
      </c>
      <c r="C1749" s="2" t="s">
        <v>24</v>
      </c>
      <c r="D1749" s="2" t="s">
        <v>2376</v>
      </c>
      <c r="E1749" s="2" t="s">
        <v>704</v>
      </c>
      <c r="F1749" s="11" t="s">
        <v>2891</v>
      </c>
      <c r="G1749" t="s">
        <v>37</v>
      </c>
      <c r="H1749" t="s">
        <v>2892</v>
      </c>
      <c r="I1749" t="s">
        <v>2399</v>
      </c>
      <c r="J1749" s="6" t="str">
        <f>HYPERLINK("https://www.biovista.com/db/link/%5B%5B%22Disease%7CMyotonic%20dystrophy%20type%201%22%5D,%20%5B%22Pathway%7Cmaintenance%20of%20location%22%5D%5D?strength-weight-map=%257B%2522MEDLINE_STRENGTH_AB%2522:1.0,%2522HPO%2522:100.0%257D", "Show Evidence...")</f>
        <v>Show Evidence...</v>
      </c>
    </row>
    <row r="1750" spans="1:10" ht="12.75">
      <c r="A1750" s="2" t="s">
        <v>2374</v>
      </c>
      <c r="B1750" s="2" t="s">
        <v>2375</v>
      </c>
      <c r="C1750" s="2" t="s">
        <v>24</v>
      </c>
      <c r="D1750" s="2" t="s">
        <v>2376</v>
      </c>
      <c r="E1750" s="2" t="s">
        <v>704</v>
      </c>
      <c r="F1750" s="11" t="s">
        <v>813</v>
      </c>
      <c r="G1750" t="s">
        <v>37</v>
      </c>
      <c r="H1750" t="s">
        <v>814</v>
      </c>
      <c r="I1750" t="s">
        <v>2404</v>
      </c>
      <c r="J1750" s="6" t="str">
        <f>HYPERLINK("https://www.biovista.com/db/link/%5B%5B%22Disease%7CMyotonic%20dystrophy%20type%201%22%5D,%20%5B%22Pathway%7Ccell%20division%22%5D%5D?strength-weight-map=%257B%2522MEDLINE_STRENGTH_AB%2522:1.0,%2522HPO%2522:100.0%257D", "Show Evidence...")</f>
        <v>Show Evidence...</v>
      </c>
    </row>
    <row r="1751" spans="1:10" ht="12.75">
      <c r="A1751" s="2" t="s">
        <v>2374</v>
      </c>
      <c r="B1751" s="2" t="s">
        <v>2375</v>
      </c>
      <c r="C1751" s="2" t="s">
        <v>24</v>
      </c>
      <c r="D1751" s="2" t="s">
        <v>2376</v>
      </c>
      <c r="E1751" s="2" t="s">
        <v>704</v>
      </c>
      <c r="F1751" s="11" t="s">
        <v>2893</v>
      </c>
      <c r="G1751" t="s">
        <v>37</v>
      </c>
      <c r="H1751" t="s">
        <v>2894</v>
      </c>
      <c r="I1751" t="s">
        <v>2404</v>
      </c>
      <c r="J1751" s="6" t="str">
        <f>HYPERLINK("https://www.biovista.com/db/link/%5B%5B%22Disease%7CMyotonic%20dystrophy%20type%201%22%5D,%20%5B%22Pathway%7Cinsulin%20secretion%22%5D%5D?strength-weight-map=%257B%2522MEDLINE_STRENGTH_AB%2522:1.0,%2522HPO%2522:100.0%257D", "Show Evidence...")</f>
        <v>Show Evidence...</v>
      </c>
    </row>
    <row r="1752" spans="1:10" ht="12.75">
      <c r="A1752" s="2" t="s">
        <v>2374</v>
      </c>
      <c r="B1752" s="2" t="s">
        <v>2375</v>
      </c>
      <c r="C1752" s="2" t="s">
        <v>24</v>
      </c>
      <c r="D1752" s="2" t="s">
        <v>2376</v>
      </c>
      <c r="E1752" s="2" t="s">
        <v>704</v>
      </c>
      <c r="F1752" s="11" t="s">
        <v>2895</v>
      </c>
      <c r="G1752" t="s">
        <v>37</v>
      </c>
      <c r="H1752" t="s">
        <v>2896</v>
      </c>
      <c r="I1752" t="s">
        <v>2409</v>
      </c>
      <c r="J1752" s="6" t="str">
        <f>HYPERLINK("https://www.biovista.com/db/link/%5B%5B%22Disease%7CMyotonic%20dystrophy%20type%201%22%5D,%20%5B%22Pathway%7Cgenomic%20imprinting%22%5D%5D?strength-weight-map=%257B%2522MEDLINE_STRENGTH_AB%2522:1.0,%2522HPO%2522:100.0%257D", "Show Evidence...")</f>
        <v>Show Evidence...</v>
      </c>
    </row>
    <row r="1753" spans="1:10" ht="12.75">
      <c r="A1753" s="2" t="s">
        <v>2374</v>
      </c>
      <c r="B1753" s="2" t="s">
        <v>2375</v>
      </c>
      <c r="C1753" s="2" t="s">
        <v>24</v>
      </c>
      <c r="D1753" s="2" t="s">
        <v>2376</v>
      </c>
      <c r="E1753" s="2" t="s">
        <v>704</v>
      </c>
      <c r="F1753" s="11" t="s">
        <v>2897</v>
      </c>
      <c r="G1753" t="s">
        <v>37</v>
      </c>
      <c r="H1753" t="s">
        <v>2898</v>
      </c>
      <c r="I1753" t="s">
        <v>2409</v>
      </c>
      <c r="J1753" s="6" t="str">
        <f>HYPERLINK("https://www.biovista.com/db/link/%5B%5B%22Disease%7CMyotonic%20dystrophy%20type%201%22%5D,%20%5B%22Pathway%7Cmastication%22%5D%5D?strength-weight-map=%257B%2522MEDLINE_STRENGTH_AB%2522:1.0,%2522HPO%2522:100.0%257D", "Show Evidence...")</f>
        <v>Show Evidence...</v>
      </c>
    </row>
    <row r="1754" spans="1:10" ht="12.75">
      <c r="A1754" s="2" t="s">
        <v>2374</v>
      </c>
      <c r="B1754" s="2" t="s">
        <v>2375</v>
      </c>
      <c r="C1754" s="2" t="s">
        <v>24</v>
      </c>
      <c r="D1754" s="2" t="s">
        <v>2376</v>
      </c>
      <c r="E1754" s="2" t="s">
        <v>704</v>
      </c>
      <c r="F1754" s="11" t="s">
        <v>825</v>
      </c>
      <c r="G1754" t="s">
        <v>37</v>
      </c>
      <c r="H1754" t="s">
        <v>826</v>
      </c>
      <c r="I1754" t="s">
        <v>2409</v>
      </c>
      <c r="J1754" s="6" t="str">
        <f>HYPERLINK("https://www.biovista.com/db/link/%5B%5B%22Disease%7CMyotonic%20dystrophy%20type%201%22%5D,%20%5B%22Pathway%7Cprotein%20transport%22%5D%5D?strength-weight-map=%257B%2522MEDLINE_STRENGTH_AB%2522:1.0,%2522HPO%2522:100.0%257D", "Show Evidence...")</f>
        <v>Show Evidence...</v>
      </c>
    </row>
    <row r="1755" spans="1:10" ht="12.75">
      <c r="A1755" s="2" t="s">
        <v>2374</v>
      </c>
      <c r="B1755" s="2" t="s">
        <v>2375</v>
      </c>
      <c r="C1755" s="2" t="s">
        <v>24</v>
      </c>
      <c r="D1755" s="2" t="s">
        <v>2376</v>
      </c>
      <c r="E1755" s="2" t="s">
        <v>704</v>
      </c>
      <c r="F1755" s="11" t="s">
        <v>839</v>
      </c>
      <c r="G1755" t="s">
        <v>37</v>
      </c>
      <c r="H1755" t="s">
        <v>840</v>
      </c>
      <c r="I1755" t="s">
        <v>2416</v>
      </c>
      <c r="J1755" s="6" t="str">
        <f>HYPERLINK("https://www.biovista.com/db/link/%5B%5B%22Disease%7CMyotonic%20dystrophy%20type%201%22%5D,%20%5B%22Pathway%7Ccell%20motility%22%5D%5D?strength-weight-map=%257B%2522MEDLINE_STRENGTH_AB%2522:1.0,%2522HPO%2522:100.0%257D", "Show Evidence...")</f>
        <v>Show Evidence...</v>
      </c>
    </row>
    <row r="1756" spans="1:10" ht="12.75">
      <c r="A1756" s="2" t="s">
        <v>2374</v>
      </c>
      <c r="B1756" s="2" t="s">
        <v>2375</v>
      </c>
      <c r="C1756" s="2" t="s">
        <v>24</v>
      </c>
      <c r="D1756" s="2" t="s">
        <v>2376</v>
      </c>
      <c r="E1756" s="2" t="s">
        <v>704</v>
      </c>
      <c r="F1756" s="11" t="s">
        <v>2899</v>
      </c>
      <c r="G1756" t="s">
        <v>37</v>
      </c>
      <c r="H1756" t="s">
        <v>2900</v>
      </c>
      <c r="I1756" t="s">
        <v>2416</v>
      </c>
      <c r="J1756" s="6" t="str">
        <f>HYPERLINK("https://www.biovista.com/db/link/%5B%5B%22Disease%7CMyotonic%20dystrophy%20type%201%22%5D,%20%5B%22Pathway%7Cmyoblast%20differentiation%22%5D%5D?strength-weight-map=%257B%2522MEDLINE_STRENGTH_AB%2522:1.0,%2522HPO%2522:100.0%257D", "Show Evidence...")</f>
        <v>Show Evidence...</v>
      </c>
    </row>
    <row r="1757" spans="1:10" ht="12.75">
      <c r="A1757" s="2" t="s">
        <v>2374</v>
      </c>
      <c r="B1757" s="2" t="s">
        <v>2375</v>
      </c>
      <c r="C1757" s="2" t="s">
        <v>24</v>
      </c>
      <c r="D1757" s="2" t="s">
        <v>2376</v>
      </c>
      <c r="E1757" s="2" t="s">
        <v>704</v>
      </c>
      <c r="F1757" s="11" t="s">
        <v>750</v>
      </c>
      <c r="G1757" t="s">
        <v>37</v>
      </c>
      <c r="H1757" t="s">
        <v>751</v>
      </c>
      <c r="I1757" t="s">
        <v>2419</v>
      </c>
      <c r="J1757" s="6" t="str">
        <f>HYPERLINK("https://www.biovista.com/db/link/%5B%5B%22Disease%7CMyotonic%20dystrophy%20type%201%22%5D,%20%5B%22Pathway%7Ccell%20death%22%5D%5D?strength-weight-map=%257B%2522MEDLINE_STRENGTH_AB%2522:1.0,%2522HPO%2522:100.0%257D", "Show Evidence...")</f>
        <v>Show Evidence...</v>
      </c>
    </row>
    <row r="1758" spans="1:10" ht="12.75">
      <c r="A1758" s="2" t="s">
        <v>2374</v>
      </c>
      <c r="B1758" s="2" t="s">
        <v>2375</v>
      </c>
      <c r="C1758" s="2" t="s">
        <v>24</v>
      </c>
      <c r="D1758" s="2" t="s">
        <v>2376</v>
      </c>
      <c r="E1758" s="2" t="s">
        <v>704</v>
      </c>
      <c r="F1758" s="11" t="s">
        <v>735</v>
      </c>
      <c r="G1758" t="s">
        <v>37</v>
      </c>
      <c r="H1758" t="s">
        <v>736</v>
      </c>
      <c r="I1758" t="s">
        <v>2419</v>
      </c>
      <c r="J1758" s="6" t="str">
        <f>HYPERLINK("https://www.biovista.com/db/link/%5B%5B%22Disease%7CMyotonic%20dystrophy%20type%201%22%5D,%20%5B%22Pathway%7Csignal%20transduction%22%5D%5D?strength-weight-map=%257B%2522MEDLINE_STRENGTH_AB%2522:1.0,%2522HPO%2522:100.0%257D", "Show Evidence...")</f>
        <v>Show Evidence...</v>
      </c>
    </row>
    <row r="1759" spans="1:10" ht="12.75">
      <c r="A1759" s="2" t="s">
        <v>2374</v>
      </c>
      <c r="B1759" s="2" t="s">
        <v>2375</v>
      </c>
      <c r="C1759" s="2" t="s">
        <v>24</v>
      </c>
      <c r="D1759" s="2" t="s">
        <v>2376</v>
      </c>
      <c r="E1759" s="2" t="s">
        <v>704</v>
      </c>
      <c r="F1759" s="11" t="s">
        <v>743</v>
      </c>
      <c r="G1759" t="s">
        <v>37</v>
      </c>
      <c r="H1759" t="s">
        <v>744</v>
      </c>
      <c r="I1759" t="s">
        <v>2419</v>
      </c>
      <c r="J1759" s="6" t="str">
        <f>HYPERLINK("https://www.biovista.com/db/link/%5B%5B%22Disease%7CMyotonic%20dystrophy%20type%201%22%5D,%20%5B%22Pathway%7Csocial%20behavior%22%5D%5D?strength-weight-map=%257B%2522MEDLINE_STRENGTH_AB%2522:1.0,%2522HPO%2522:100.0%257D", "Show Evidence...")</f>
        <v>Show Evidence...</v>
      </c>
    </row>
    <row r="1760" spans="1:10" ht="12.75">
      <c r="A1760" s="2" t="s">
        <v>2374</v>
      </c>
      <c r="B1760" s="2" t="s">
        <v>2375</v>
      </c>
      <c r="C1760" s="2" t="s">
        <v>24</v>
      </c>
      <c r="D1760" s="2" t="s">
        <v>2376</v>
      </c>
      <c r="E1760" s="2" t="s">
        <v>704</v>
      </c>
      <c r="F1760" s="11" t="s">
        <v>783</v>
      </c>
      <c r="G1760" t="s">
        <v>37</v>
      </c>
      <c r="H1760" t="s">
        <v>784</v>
      </c>
      <c r="I1760" t="s">
        <v>2419</v>
      </c>
      <c r="J1760" s="6" t="str">
        <f>HYPERLINK("https://www.biovista.com/db/link/%5B%5B%22Disease%7CMyotonic%20dystrophy%20type%201%22%5D,%20%5B%22Pathway%7Cvisual%20perception%22%5D%5D?strength-weight-map=%257B%2522MEDLINE_STRENGTH_AB%2522:1.0,%2522HPO%2522:100.0%257D", "Show Evidence...")</f>
        <v>Show Evidence...</v>
      </c>
    </row>
    <row r="1761" spans="1:10" ht="12.75">
      <c r="A1761" s="2" t="s">
        <v>2374</v>
      </c>
      <c r="B1761" s="2" t="s">
        <v>2375</v>
      </c>
      <c r="C1761" s="2" t="s">
        <v>24</v>
      </c>
      <c r="D1761" s="2" t="s">
        <v>2376</v>
      </c>
      <c r="E1761" s="2" t="s">
        <v>704</v>
      </c>
      <c r="F1761" s="11" t="s">
        <v>2901</v>
      </c>
      <c r="G1761" t="s">
        <v>37</v>
      </c>
      <c r="H1761" t="s">
        <v>2902</v>
      </c>
      <c r="I1761" t="s">
        <v>2420</v>
      </c>
      <c r="J1761" s="6" t="str">
        <f>HYPERLINK("https://www.biovista.com/db/link/%5B%5B%22Disease%7CMyotonic%20dystrophy%20type%201%22%5D,%20%5B%22Pathway%7Cmitotic%20nuclear%20division%22%5D%5D?strength-weight-map=%257B%2522MEDLINE_STRENGTH_AB%2522:1.0,%2522HPO%2522:100.0%257D", "Show Evidence...")</f>
        <v>Show Evidence...</v>
      </c>
    </row>
    <row r="1762" spans="1:10" ht="12.75">
      <c r="A1762" s="2" t="s">
        <v>2374</v>
      </c>
      <c r="B1762" s="2" t="s">
        <v>2375</v>
      </c>
      <c r="C1762" s="2" t="s">
        <v>24</v>
      </c>
      <c r="D1762" s="2" t="s">
        <v>2376</v>
      </c>
      <c r="E1762" s="2" t="s">
        <v>704</v>
      </c>
      <c r="F1762" s="11" t="s">
        <v>2903</v>
      </c>
      <c r="G1762" t="s">
        <v>37</v>
      </c>
      <c r="H1762" t="s">
        <v>2904</v>
      </c>
      <c r="I1762" t="s">
        <v>2420</v>
      </c>
      <c r="J1762" s="6" t="str">
        <f>HYPERLINK("https://www.biovista.com/db/link/%5B%5B%22Disease%7CMyotonic%20dystrophy%20type%201%22%5D,%20%5B%22Pathway%7CmRNA%20processing%22%5D%5D?strength-weight-map=%257B%2522MEDLINE_STRENGTH_AB%2522:1.0,%2522HPO%2522:100.0%257D", "Show Evidence...")</f>
        <v>Show Evidence...</v>
      </c>
    </row>
    <row r="1763" spans="1:10" ht="12.75">
      <c r="A1763" s="2" t="s">
        <v>2374</v>
      </c>
      <c r="B1763" s="2" t="s">
        <v>2375</v>
      </c>
      <c r="C1763" s="2" t="s">
        <v>24</v>
      </c>
      <c r="D1763" s="2" t="s">
        <v>2376</v>
      </c>
      <c r="E1763" s="2" t="s">
        <v>704</v>
      </c>
      <c r="F1763" s="11" t="s">
        <v>886</v>
      </c>
      <c r="G1763" t="s">
        <v>37</v>
      </c>
      <c r="H1763" t="s">
        <v>887</v>
      </c>
      <c r="I1763" t="s">
        <v>2421</v>
      </c>
      <c r="J1763" s="6" t="str">
        <f>HYPERLINK("https://www.biovista.com/db/link/%5B%5B%22Disease%7CMyotonic%20dystrophy%20type%201%22%5D,%20%5B%22Pathway%7Ccalcium-mediated%20signaling%22%5D%5D?strength-weight-map=%257B%2522MEDLINE_STRENGTH_AB%2522:1.0,%2522HPO%2522:100.0%257D", "Show Evidence...")</f>
        <v>Show Evidence...</v>
      </c>
    </row>
    <row r="1764" spans="1:10" ht="12.75">
      <c r="A1764" s="2" t="s">
        <v>2374</v>
      </c>
      <c r="B1764" s="2" t="s">
        <v>2375</v>
      </c>
      <c r="C1764" s="2" t="s">
        <v>24</v>
      </c>
      <c r="D1764" s="2" t="s">
        <v>2376</v>
      </c>
      <c r="E1764" s="2" t="s">
        <v>704</v>
      </c>
      <c r="F1764" s="11" t="s">
        <v>2905</v>
      </c>
      <c r="G1764" t="s">
        <v>37</v>
      </c>
      <c r="H1764" t="s">
        <v>2906</v>
      </c>
      <c r="I1764" t="s">
        <v>2421</v>
      </c>
      <c r="J1764" s="6" t="str">
        <f>HYPERLINK("https://www.biovista.com/db/link/%5B%5B%22Disease%7CMyotonic%20dystrophy%20type%201%22%5D,%20%5B%22Pathway%7Cinnervation%22%5D%5D?strength-weight-map=%257B%2522MEDLINE_STRENGTH_AB%2522:1.0,%2522HPO%2522:100.0%257D", "Show Evidence...")</f>
        <v>Show Evidence...</v>
      </c>
    </row>
    <row r="1765" spans="1:10" ht="12.75">
      <c r="A1765" s="2" t="s">
        <v>2374</v>
      </c>
      <c r="B1765" s="2" t="s">
        <v>2375</v>
      </c>
      <c r="C1765" s="2" t="s">
        <v>24</v>
      </c>
      <c r="D1765" s="2" t="s">
        <v>2376</v>
      </c>
      <c r="E1765" s="2" t="s">
        <v>704</v>
      </c>
      <c r="F1765" s="11" t="s">
        <v>1460</v>
      </c>
      <c r="G1765" t="s">
        <v>37</v>
      </c>
      <c r="H1765" t="s">
        <v>1461</v>
      </c>
      <c r="I1765" t="s">
        <v>2430</v>
      </c>
      <c r="J1765" s="6" t="str">
        <f>HYPERLINK("https://www.biovista.com/db/link/%5B%5B%22Disease%7CMyotonic%20dystrophy%20type%201%22%5D,%20%5B%22Pathway%7Ccatabolic%20process%22%5D%5D?strength-weight-map=%257B%2522MEDLINE_STRENGTH_AB%2522:1.0,%2522HPO%2522:100.0%257D", "Show Evidence...")</f>
        <v>Show Evidence...</v>
      </c>
    </row>
    <row r="1766" spans="1:10" ht="12.75">
      <c r="A1766" s="2" t="s">
        <v>2374</v>
      </c>
      <c r="B1766" s="2" t="s">
        <v>2375</v>
      </c>
      <c r="C1766" s="2" t="s">
        <v>24</v>
      </c>
      <c r="D1766" s="2" t="s">
        <v>2376</v>
      </c>
      <c r="E1766" s="2" t="s">
        <v>704</v>
      </c>
      <c r="F1766" s="11" t="s">
        <v>2907</v>
      </c>
      <c r="G1766" t="s">
        <v>37</v>
      </c>
      <c r="H1766" t="s">
        <v>2908</v>
      </c>
      <c r="I1766" t="s">
        <v>2430</v>
      </c>
      <c r="J1766" s="6" t="str">
        <f>HYPERLINK("https://www.biovista.com/db/link/%5B%5B%22Disease%7CMyotonic%20dystrophy%20type%201%22%5D,%20%5B%22Pathway%7Ccellular%20localization%22%5D%5D?strength-weight-map=%257B%2522MEDLINE_STRENGTH_AB%2522:1.0,%2522HPO%2522:100.0%257D", "Show Evidence...")</f>
        <v>Show Evidence...</v>
      </c>
    </row>
    <row r="1767" spans="1:10" ht="12.75">
      <c r="A1767" s="2" t="s">
        <v>2374</v>
      </c>
      <c r="B1767" s="2" t="s">
        <v>2375</v>
      </c>
      <c r="C1767" s="2" t="s">
        <v>24</v>
      </c>
      <c r="D1767" s="2" t="s">
        <v>2376</v>
      </c>
      <c r="E1767" s="2" t="s">
        <v>704</v>
      </c>
      <c r="F1767" s="11" t="s">
        <v>2909</v>
      </c>
      <c r="G1767" t="s">
        <v>37</v>
      </c>
      <c r="H1767" t="s">
        <v>2910</v>
      </c>
      <c r="I1767" t="s">
        <v>2430</v>
      </c>
      <c r="J1767" s="6" t="str">
        <f>HYPERLINK("https://www.biovista.com/db/link/%5B%5B%22Disease%7CMyotonic%20dystrophy%20type%201%22%5D,%20%5B%22Pathway%7Ccellular%20senescence%22%5D%5D?strength-weight-map=%257B%2522MEDLINE_STRENGTH_AB%2522:1.0,%2522HPO%2522:100.0%257D", "Show Evidence...")</f>
        <v>Show Evidence...</v>
      </c>
    </row>
    <row r="1768" spans="1:10" ht="12.75">
      <c r="A1768" s="2" t="s">
        <v>2374</v>
      </c>
      <c r="B1768" s="2" t="s">
        <v>2375</v>
      </c>
      <c r="C1768" s="2" t="s">
        <v>24</v>
      </c>
      <c r="D1768" s="2" t="s">
        <v>2376</v>
      </c>
      <c r="E1768" s="2" t="s">
        <v>704</v>
      </c>
      <c r="F1768" s="11" t="s">
        <v>775</v>
      </c>
      <c r="G1768" t="s">
        <v>37</v>
      </c>
      <c r="H1768" t="s">
        <v>776</v>
      </c>
      <c r="I1768" t="s">
        <v>2430</v>
      </c>
      <c r="J1768" s="6" t="str">
        <f>HYPERLINK("https://www.biovista.com/db/link/%5B%5B%22Disease%7CMyotonic%20dystrophy%20type%201%22%5D,%20%5B%22Pathway%7Coxidative%20phosphorylation%22%5D%5D?strength-weight-map=%257B%2522MEDLINE_STRENGTH_AB%2522:1.0,%2522HPO%2522:100.0%257D", "Show Evidence...")</f>
        <v>Show Evidence...</v>
      </c>
    </row>
    <row r="1769" spans="1:10" ht="12.75">
      <c r="A1769" s="2" t="s">
        <v>2374</v>
      </c>
      <c r="B1769" s="2" t="s">
        <v>2375</v>
      </c>
      <c r="C1769" s="2" t="s">
        <v>24</v>
      </c>
      <c r="D1769" s="2" t="s">
        <v>2376</v>
      </c>
      <c r="E1769" s="2" t="s">
        <v>704</v>
      </c>
      <c r="F1769" s="11" t="s">
        <v>2911</v>
      </c>
      <c r="G1769" t="s">
        <v>37</v>
      </c>
      <c r="H1769" t="s">
        <v>2912</v>
      </c>
      <c r="I1769" t="s">
        <v>2430</v>
      </c>
      <c r="J1769" s="6" t="str">
        <f>HYPERLINK("https://www.biovista.com/db/link/%5B%5B%22Disease%7CMyotonic%20dystrophy%20type%201%22%5D,%20%5B%22Pathway%7Cphosphorylation%22%5D%5D?strength-weight-map=%257B%2522MEDLINE_STRENGTH_AB%2522:1.0,%2522HPO%2522:100.0%257D", "Show Evidence...")</f>
        <v>Show Evidence...</v>
      </c>
    </row>
    <row r="1770" spans="1:10" ht="12.75">
      <c r="A1770" s="2" t="s">
        <v>2374</v>
      </c>
      <c r="B1770" s="2" t="s">
        <v>2375</v>
      </c>
      <c r="C1770" s="2" t="s">
        <v>24</v>
      </c>
      <c r="D1770" s="2" t="s">
        <v>2376</v>
      </c>
      <c r="E1770" s="2" t="s">
        <v>704</v>
      </c>
      <c r="F1770" s="11" t="s">
        <v>841</v>
      </c>
      <c r="G1770" t="s">
        <v>37</v>
      </c>
      <c r="H1770" t="s">
        <v>842</v>
      </c>
      <c r="I1770" t="s">
        <v>2439</v>
      </c>
      <c r="J1770" s="6" t="str">
        <f>HYPERLINK("https://www.biovista.com/db/link/%5B%5B%22Disease%7CMyotonic%20dystrophy%20type%201%22%5D,%20%5B%22Pathway%7Ccarbohydrate%20metabolic%20process%22%5D%5D?strength-weight-map=%257B%2522MEDLINE_STRENGTH_AB%2522:1.0,%2522HPO%2522:100.0%257D", "Show Evidence...")</f>
        <v>Show Evidence...</v>
      </c>
    </row>
    <row r="1771" spans="1:10" ht="12.75">
      <c r="A1771" s="2" t="s">
        <v>2374</v>
      </c>
      <c r="B1771" s="2" t="s">
        <v>2375</v>
      </c>
      <c r="C1771" s="2" t="s">
        <v>24</v>
      </c>
      <c r="D1771" s="2" t="s">
        <v>2376</v>
      </c>
      <c r="E1771" s="2" t="s">
        <v>704</v>
      </c>
      <c r="F1771" s="11" t="s">
        <v>1520</v>
      </c>
      <c r="G1771" t="s">
        <v>37</v>
      </c>
      <c r="H1771" t="s">
        <v>1521</v>
      </c>
      <c r="I1771" t="s">
        <v>2439</v>
      </c>
      <c r="J1771" s="6" t="str">
        <f>HYPERLINK("https://www.biovista.com/db/link/%5B%5B%22Disease%7CMyotonic%20dystrophy%20type%201%22%5D,%20%5B%22Pathway%7Cexport%20across%20plasma%20membrane%22%5D%5D?strength-weight-map=%257B%2522MEDLINE_STRENGTH_AB%2522:1.0,%2522HPO%2522:100.0%257D", "Show Evidence...")</f>
        <v>Show Evidence...</v>
      </c>
    </row>
    <row r="1772" spans="1:10" ht="12.75">
      <c r="A1772" s="2" t="s">
        <v>2374</v>
      </c>
      <c r="B1772" s="2" t="s">
        <v>2375</v>
      </c>
      <c r="C1772" s="2" t="s">
        <v>24</v>
      </c>
      <c r="D1772" s="2" t="s">
        <v>2376</v>
      </c>
      <c r="E1772" s="2" t="s">
        <v>704</v>
      </c>
      <c r="F1772" s="11" t="s">
        <v>1552</v>
      </c>
      <c r="G1772" t="s">
        <v>37</v>
      </c>
      <c r="H1772" t="s">
        <v>1553</v>
      </c>
      <c r="I1772" t="s">
        <v>2439</v>
      </c>
      <c r="J1772" s="6" t="str">
        <f>HYPERLINK("https://www.biovista.com/db/link/%5B%5B%22Disease%7CMyotonic%20dystrophy%20type%201%22%5D,%20%5B%22Pathway%7Cglucose%20import%22%5D%5D?strength-weight-map=%257B%2522MEDLINE_STRENGTH_AB%2522:1.0,%2522HPO%2522:100.0%257D", "Show Evidence...")</f>
        <v>Show Evidence...</v>
      </c>
    </row>
    <row r="1773" spans="1:10" ht="12.75">
      <c r="A1773" s="2" t="s">
        <v>2374</v>
      </c>
      <c r="B1773" s="2" t="s">
        <v>2375</v>
      </c>
      <c r="C1773" s="2" t="s">
        <v>24</v>
      </c>
      <c r="D1773" s="2" t="s">
        <v>2376</v>
      </c>
      <c r="E1773" s="2" t="s">
        <v>717</v>
      </c>
      <c r="F1773" s="11" t="s">
        <v>1516</v>
      </c>
      <c r="G1773" t="s">
        <v>37</v>
      </c>
      <c r="H1773" t="s">
        <v>1517</v>
      </c>
      <c r="I1773" t="s">
        <v>2439</v>
      </c>
      <c r="J1773" s="6" t="str">
        <f>HYPERLINK("https://www.biovista.com/db/link/%5B%5B%22Disease%7CMyotonic%20dystrophy%20type%201%22%5D,%20%5B%22Pathway%7Csenescence%22%5D%5D?strength-weight-map=%257B%2522MEDLINE_STRENGTH_AB%2522:1.0,%2522HPO%2522:100.0%257D", "Show Evidence...")</f>
        <v>Show Evidence...</v>
      </c>
    </row>
    <row r="1774" spans="1:10" ht="12.75">
      <c r="A1774" s="2" t="s">
        <v>2374</v>
      </c>
      <c r="B1774" s="2" t="s">
        <v>2375</v>
      </c>
      <c r="C1774" s="2" t="s">
        <v>24</v>
      </c>
      <c r="D1774" s="2" t="s">
        <v>2376</v>
      </c>
      <c r="E1774" s="2" t="s">
        <v>704</v>
      </c>
      <c r="F1774" s="11" t="s">
        <v>2342</v>
      </c>
      <c r="G1774" t="s">
        <v>37</v>
      </c>
      <c r="H1774" t="s">
        <v>2343</v>
      </c>
      <c r="I1774" t="s">
        <v>2439</v>
      </c>
      <c r="J1774" s="6" t="str">
        <f>HYPERLINK("https://www.biovista.com/db/link/%5B%5B%22Disease%7CMyotonic%20dystrophy%20type%201%22%5D,%20%5B%22Pathway%7Ctranslational%20initiation%22%5D%5D?strength-weight-map=%257B%2522MEDLINE_STRENGTH_AB%2522:1.0,%2522HPO%2522:100.0%257D", "Show Evidence...")</f>
        <v>Show Evidence...</v>
      </c>
    </row>
    <row r="1775" spans="1:10" ht="12.75">
      <c r="A1775" s="2" t="s">
        <v>2374</v>
      </c>
      <c r="B1775" s="2" t="s">
        <v>2375</v>
      </c>
      <c r="C1775" s="2" t="s">
        <v>24</v>
      </c>
      <c r="D1775" s="2" t="s">
        <v>2376</v>
      </c>
      <c r="E1775" s="2" t="s">
        <v>704</v>
      </c>
      <c r="F1775" s="11" t="s">
        <v>805</v>
      </c>
      <c r="G1775" t="s">
        <v>37</v>
      </c>
      <c r="H1775" t="s">
        <v>806</v>
      </c>
      <c r="I1775" t="s">
        <v>2446</v>
      </c>
      <c r="J1775" s="6" t="str">
        <f>HYPERLINK("https://www.biovista.com/db/link/%5B%5B%22Disease%7CMyotonic%20dystrophy%20type%201%22%5D,%20%5B%22Pathway%7Chomologous%20recombination%22%5D%5D?strength-weight-map=%257B%2522MEDLINE_STRENGTH_AB%2522:1.0,%2522HPO%2522:100.0%257D", "Show Evidence...")</f>
        <v>Show Evidence...</v>
      </c>
    </row>
    <row r="1776" spans="1:10" ht="12.75">
      <c r="A1776" s="2" t="s">
        <v>2374</v>
      </c>
      <c r="B1776" s="2" t="s">
        <v>2375</v>
      </c>
      <c r="C1776" s="2" t="s">
        <v>24</v>
      </c>
      <c r="D1776" s="2" t="s">
        <v>2376</v>
      </c>
      <c r="E1776" s="2" t="s">
        <v>704</v>
      </c>
      <c r="F1776" s="11" t="s">
        <v>2913</v>
      </c>
      <c r="G1776" t="s">
        <v>37</v>
      </c>
      <c r="H1776" t="s">
        <v>2914</v>
      </c>
      <c r="I1776" t="s">
        <v>2449</v>
      </c>
      <c r="J1776" s="6" t="str">
        <f>HYPERLINK("https://www.biovista.com/db/link/%5B%5B%22Disease%7CMyotonic%20dystrophy%20type%201%22%5D,%20%5B%22Pathway%7Ccell%20development%22%5D%5D?strength-weight-map=%257B%2522MEDLINE_STRENGTH_AB%2522:1.0,%2522HPO%2522:100.0%257D", "Show Evidence...")</f>
        <v>Show Evidence...</v>
      </c>
    </row>
    <row r="1777" spans="1:10" ht="12.75">
      <c r="A1777" s="2" t="s">
        <v>2374</v>
      </c>
      <c r="B1777" s="2" t="s">
        <v>2375</v>
      </c>
      <c r="C1777" s="2" t="s">
        <v>24</v>
      </c>
      <c r="D1777" s="2" t="s">
        <v>2376</v>
      </c>
      <c r="E1777" s="2" t="s">
        <v>704</v>
      </c>
      <c r="F1777" s="11" t="s">
        <v>2915</v>
      </c>
      <c r="G1777" t="s">
        <v>37</v>
      </c>
      <c r="H1777" t="s">
        <v>2916</v>
      </c>
      <c r="I1777" t="s">
        <v>2449</v>
      </c>
      <c r="J1777" s="6" t="str">
        <f>HYPERLINK("https://www.biovista.com/db/link/%5B%5B%22Disease%7CMyotonic%20dystrophy%20type%201%22%5D,%20%5B%22Pathway%7Cconjugation%20with%20cellular%20fusion%22%5D%5D?strength-weight-map=%257B%2522MEDLINE_STRENGTH_AB%2522:1.0,%2522HPO%2522:100.0%257D", "Show Evidence...")</f>
        <v>Show Evidence...</v>
      </c>
    </row>
    <row r="1778" spans="1:10" ht="12.75">
      <c r="A1778" s="2" t="s">
        <v>2374</v>
      </c>
      <c r="B1778" s="2" t="s">
        <v>2375</v>
      </c>
      <c r="C1778" s="2" t="s">
        <v>24</v>
      </c>
      <c r="D1778" s="2" t="s">
        <v>2376</v>
      </c>
      <c r="E1778" s="2" t="s">
        <v>704</v>
      </c>
      <c r="F1778" s="11" t="s">
        <v>2917</v>
      </c>
      <c r="G1778" t="s">
        <v>37</v>
      </c>
      <c r="H1778" t="s">
        <v>2918</v>
      </c>
      <c r="I1778" t="s">
        <v>2449</v>
      </c>
      <c r="J1778" s="6" t="str">
        <f>HYPERLINK("https://www.biovista.com/db/link/%5B%5B%22Disease%7CMyotonic%20dystrophy%20type%201%22%5D,%20%5B%22Pathway%7Cgastric%20emptying%22%5D%5D?strength-weight-map=%257B%2522MEDLINE_STRENGTH_AB%2522:1.0,%2522HPO%2522:100.0%257D", "Show Evidence...")</f>
        <v>Show Evidence...</v>
      </c>
    </row>
    <row r="1779" spans="1:10" ht="12.75">
      <c r="A1779" s="2" t="s">
        <v>2374</v>
      </c>
      <c r="B1779" s="2" t="s">
        <v>2375</v>
      </c>
      <c r="C1779" s="2" t="s">
        <v>24</v>
      </c>
      <c r="D1779" s="2" t="s">
        <v>2376</v>
      </c>
      <c r="E1779" s="2" t="s">
        <v>704</v>
      </c>
      <c r="F1779" s="11" t="s">
        <v>1818</v>
      </c>
      <c r="G1779" t="s">
        <v>37</v>
      </c>
      <c r="H1779" t="s">
        <v>1819</v>
      </c>
      <c r="I1779" t="s">
        <v>2449</v>
      </c>
      <c r="J1779" s="6" t="str">
        <f>HYPERLINK("https://www.biovista.com/db/link/%5B%5B%22Disease%7CMyotonic%20dystrophy%20type%201%22%5D,%20%5B%22Pathway%7Clocalization%22%5D%5D?strength-weight-map=%257B%2522MEDLINE_STRENGTH_AB%2522:1.0,%2522HPO%2522:100.0%257D", "Show Evidence...")</f>
        <v>Show Evidence...</v>
      </c>
    </row>
    <row r="1780" spans="1:10" ht="12.75">
      <c r="A1780" s="2" t="s">
        <v>2374</v>
      </c>
      <c r="B1780" s="2" t="s">
        <v>2375</v>
      </c>
      <c r="C1780" s="2" t="s">
        <v>24</v>
      </c>
      <c r="D1780" s="2" t="s">
        <v>2376</v>
      </c>
      <c r="E1780" s="2" t="s">
        <v>704</v>
      </c>
      <c r="F1780" s="11" t="s">
        <v>2919</v>
      </c>
      <c r="G1780" t="s">
        <v>37</v>
      </c>
      <c r="H1780" t="s">
        <v>2920</v>
      </c>
      <c r="I1780" t="s">
        <v>2449</v>
      </c>
      <c r="J1780" s="6" t="str">
        <f>HYPERLINK("https://www.biovista.com/db/link/%5B%5B%22Disease%7CMyotonic%20dystrophy%20type%201%22%5D,%20%5B%22Pathway%7Cnuclear%20export%22%5D%5D?strength-weight-map=%257B%2522MEDLINE_STRENGTH_AB%2522:1.0,%2522HPO%2522:100.0%257D", "Show Evidence...")</f>
        <v>Show Evidence...</v>
      </c>
    </row>
    <row r="1781" spans="1:10" ht="12.75">
      <c r="A1781" s="2" t="s">
        <v>2374</v>
      </c>
      <c r="B1781" s="2" t="s">
        <v>2375</v>
      </c>
      <c r="C1781" s="2" t="s">
        <v>24</v>
      </c>
      <c r="D1781" s="2" t="s">
        <v>2376</v>
      </c>
      <c r="E1781" s="2" t="s">
        <v>704</v>
      </c>
      <c r="F1781" s="11" t="s">
        <v>2921</v>
      </c>
      <c r="G1781" t="s">
        <v>37</v>
      </c>
      <c r="H1781" t="s">
        <v>2922</v>
      </c>
      <c r="I1781" t="s">
        <v>2449</v>
      </c>
      <c r="J1781" s="6" t="str">
        <f>HYPERLINK("https://www.biovista.com/db/link/%5B%5B%22Disease%7CMyotonic%20dystrophy%20type%201%22%5D,%20%5B%22Pathway%7Cperistalsis%22%5D%5D?strength-weight-map=%257B%2522MEDLINE_STRENGTH_AB%2522:1.0,%2522HPO%2522:100.0%257D", "Show Evidence...")</f>
        <v>Show Evidence...</v>
      </c>
    </row>
    <row r="1782" spans="1:10" ht="12.75">
      <c r="A1782" s="2" t="s">
        <v>2374</v>
      </c>
      <c r="B1782" s="2" t="s">
        <v>2375</v>
      </c>
      <c r="C1782" s="2" t="s">
        <v>24</v>
      </c>
      <c r="D1782" s="2" t="s">
        <v>2376</v>
      </c>
      <c r="E1782" s="2" t="s">
        <v>704</v>
      </c>
      <c r="F1782" s="11" t="s">
        <v>819</v>
      </c>
      <c r="G1782" t="s">
        <v>37</v>
      </c>
      <c r="H1782" t="s">
        <v>820</v>
      </c>
      <c r="I1782" t="s">
        <v>2458</v>
      </c>
      <c r="J1782" s="6" t="str">
        <f>HYPERLINK("https://www.biovista.com/db/link/%5B%5B%22Disease%7CMyotonic%20dystrophy%20type%201%22%5D,%20%5B%22Pathway%7Ccell%20adhesion%22%5D%5D?strength-weight-map=%257B%2522MEDLINE_STRENGTH_AB%2522:1.0,%2522HPO%2522:100.0%257D", "Show Evidence...")</f>
        <v>Show Evidence...</v>
      </c>
    </row>
    <row r="1783" spans="1:10" ht="12.75">
      <c r="A1783" s="2" t="s">
        <v>2374</v>
      </c>
      <c r="B1783" s="2" t="s">
        <v>2375</v>
      </c>
      <c r="C1783" s="2" t="s">
        <v>24</v>
      </c>
      <c r="D1783" s="2" t="s">
        <v>2376</v>
      </c>
      <c r="E1783" s="2" t="s">
        <v>704</v>
      </c>
      <c r="F1783" s="11" t="s">
        <v>823</v>
      </c>
      <c r="G1783" t="s">
        <v>37</v>
      </c>
      <c r="H1783" t="s">
        <v>824</v>
      </c>
      <c r="I1783" t="s">
        <v>2458</v>
      </c>
      <c r="J1783" s="6" t="str">
        <f>HYPERLINK("https://www.biovista.com/db/link/%5B%5B%22Disease%7CMyotonic%20dystrophy%20type%201%22%5D,%20%5B%22Pathway%7Cglycolytic%20process%22%5D%5D?strength-weight-map=%257B%2522MEDLINE_STRENGTH_AB%2522:1.0,%2522HPO%2522:100.0%257D", "Show Evidence...")</f>
        <v>Show Evidence...</v>
      </c>
    </row>
    <row r="1784" spans="1:10" ht="12.75">
      <c r="A1784" s="2" t="s">
        <v>2374</v>
      </c>
      <c r="B1784" s="2" t="s">
        <v>2375</v>
      </c>
      <c r="C1784" s="2" t="s">
        <v>24</v>
      </c>
      <c r="D1784" s="2" t="s">
        <v>2376</v>
      </c>
      <c r="E1784" s="2" t="s">
        <v>704</v>
      </c>
      <c r="F1784" s="11" t="s">
        <v>2923</v>
      </c>
      <c r="G1784" t="s">
        <v>37</v>
      </c>
      <c r="H1784" t="s">
        <v>2924</v>
      </c>
      <c r="I1784" t="s">
        <v>2458</v>
      </c>
      <c r="J1784" s="6" t="str">
        <f>HYPERLINK("https://www.biovista.com/db/link/%5B%5B%22Disease%7CMyotonic%20dystrophy%20type%201%22%5D,%20%5B%22Pathway%7Chypersensitivity%22%5D%5D?strength-weight-map=%257B%2522MEDLINE_STRENGTH_AB%2522:1.0,%2522HPO%2522:100.0%257D", "Show Evidence...")</f>
        <v>Show Evidence...</v>
      </c>
    </row>
    <row r="1785" spans="1:10" ht="12.75">
      <c r="A1785" s="2" t="s">
        <v>2374</v>
      </c>
      <c r="B1785" s="2" t="s">
        <v>2375</v>
      </c>
      <c r="C1785" s="2" t="s">
        <v>24</v>
      </c>
      <c r="D1785" s="2" t="s">
        <v>2376</v>
      </c>
      <c r="E1785" s="2" t="s">
        <v>704</v>
      </c>
      <c r="F1785" s="11" t="s">
        <v>2925</v>
      </c>
      <c r="G1785" t="s">
        <v>37</v>
      </c>
      <c r="H1785" t="s">
        <v>2926</v>
      </c>
      <c r="I1785" t="s">
        <v>2458</v>
      </c>
      <c r="J1785" s="6" t="str">
        <f>HYPERLINK("https://www.biovista.com/db/link/%5B%5B%22Disease%7CMyotonic%20dystrophy%20type%201%22%5D,%20%5B%22Pathway%7Cintestinal%20absorption%22%5D%5D?strength-weight-map=%257B%2522MEDLINE_STRENGTH_AB%2522:1.0,%2522HPO%2522:100.0%257D", "Show Evidence...")</f>
        <v>Show Evidence...</v>
      </c>
    </row>
    <row r="1786" spans="1:10" ht="12.75">
      <c r="A1786" s="2" t="s">
        <v>2374</v>
      </c>
      <c r="B1786" s="2" t="s">
        <v>2375</v>
      </c>
      <c r="C1786" s="2" t="s">
        <v>24</v>
      </c>
      <c r="D1786" s="2" t="s">
        <v>2376</v>
      </c>
      <c r="E1786" s="2" t="s">
        <v>704</v>
      </c>
      <c r="F1786" s="11" t="s">
        <v>2927</v>
      </c>
      <c r="G1786" t="s">
        <v>37</v>
      </c>
      <c r="H1786" t="s">
        <v>2928</v>
      </c>
      <c r="I1786" t="s">
        <v>2458</v>
      </c>
      <c r="J1786" s="6" t="str">
        <f>HYPERLINK("https://www.biovista.com/db/link/%5B%5B%22Disease%7CMyotonic%20dystrophy%20type%201%22%5D,%20%5B%22Pathway%7Cmeiotic%20drive%22%5D%5D?strength-weight-map=%257B%2522MEDLINE_STRENGTH_AB%2522:1.0,%2522HPO%2522:100.0%257D", "Show Evidence...")</f>
        <v>Show Evidence...</v>
      </c>
    </row>
    <row r="1787" spans="1:10" ht="12.75">
      <c r="A1787" s="2" t="s">
        <v>2374</v>
      </c>
      <c r="B1787" s="2" t="s">
        <v>2375</v>
      </c>
      <c r="C1787" s="2" t="s">
        <v>24</v>
      </c>
      <c r="D1787" s="2" t="s">
        <v>2376</v>
      </c>
      <c r="E1787" s="2" t="s">
        <v>704</v>
      </c>
      <c r="F1787" s="11" t="s">
        <v>2929</v>
      </c>
      <c r="G1787" t="s">
        <v>37</v>
      </c>
      <c r="H1787" t="s">
        <v>2930</v>
      </c>
      <c r="I1787" t="s">
        <v>2458</v>
      </c>
      <c r="J1787" s="6" t="str">
        <f>HYPERLINK("https://www.biovista.com/db/link/%5B%5B%22Disease%7CMyotonic%20dystrophy%20type%201%22%5D,%20%5B%22Pathway%7Cmonoatomic%20ion%20transport%22%5D%5D?strength-weight-map=%257B%2522MEDLINE_STRENGTH_AB%2522:1.0,%2522HPO%2522:100.0%257D", "Show Evidence...")</f>
        <v>Show Evidence...</v>
      </c>
    </row>
    <row r="1788" spans="1:10" ht="12.75">
      <c r="A1788" s="2" t="s">
        <v>2374</v>
      </c>
      <c r="B1788" s="2" t="s">
        <v>2375</v>
      </c>
      <c r="C1788" s="2" t="s">
        <v>24</v>
      </c>
      <c r="D1788" s="2" t="s">
        <v>2376</v>
      </c>
      <c r="E1788" s="2" t="s">
        <v>704</v>
      </c>
      <c r="F1788" s="11" t="s">
        <v>2931</v>
      </c>
      <c r="G1788" t="s">
        <v>37</v>
      </c>
      <c r="H1788" t="s">
        <v>2932</v>
      </c>
      <c r="I1788" t="s">
        <v>2458</v>
      </c>
      <c r="J1788" s="6" t="str">
        <f>HYPERLINK("https://www.biovista.com/db/link/%5B%5B%22Disease%7CMyotonic%20dystrophy%20type%201%22%5D,%20%5B%22Pathway%7Cmuscle%20hypertrophy%22%5D%5D?strength-weight-map=%257B%2522MEDLINE_STRENGTH_AB%2522:1.0,%2522HPO%2522:100.0%257D", "Show Evidence...")</f>
        <v>Show Evidence...</v>
      </c>
    </row>
    <row r="1789" spans="1:10" ht="12.75">
      <c r="A1789" s="2" t="s">
        <v>2374</v>
      </c>
      <c r="B1789" s="2" t="s">
        <v>2375</v>
      </c>
      <c r="C1789" s="2" t="s">
        <v>24</v>
      </c>
      <c r="D1789" s="2" t="s">
        <v>2376</v>
      </c>
      <c r="E1789" s="2" t="s">
        <v>704</v>
      </c>
      <c r="F1789" s="11" t="s">
        <v>2933</v>
      </c>
      <c r="G1789" t="s">
        <v>37</v>
      </c>
      <c r="H1789" t="s">
        <v>2934</v>
      </c>
      <c r="I1789" t="s">
        <v>2458</v>
      </c>
      <c r="J1789" s="6" t="str">
        <f>HYPERLINK("https://www.biovista.com/db/link/%5B%5B%22Disease%7CMyotonic%20dystrophy%20type%201%22%5D,%20%5B%22Pathway%7Cplatelet%20aggregation%22%5D%5D?strength-weight-map=%257B%2522MEDLINE_STRENGTH_AB%2522:1.0,%2522HPO%2522:100.0%257D", "Show Evidence...")</f>
        <v>Show Evidence...</v>
      </c>
    </row>
    <row r="1790" spans="1:10" ht="12.75">
      <c r="A1790" s="2" t="s">
        <v>2374</v>
      </c>
      <c r="B1790" s="2" t="s">
        <v>2375</v>
      </c>
      <c r="C1790" s="2" t="s">
        <v>24</v>
      </c>
      <c r="D1790" s="2" t="s">
        <v>2376</v>
      </c>
      <c r="E1790" s="2" t="s">
        <v>704</v>
      </c>
      <c r="F1790" s="11" t="s">
        <v>2935</v>
      </c>
      <c r="G1790" t="s">
        <v>37</v>
      </c>
      <c r="H1790" t="s">
        <v>2936</v>
      </c>
      <c r="I1790" t="s">
        <v>2458</v>
      </c>
      <c r="J1790" s="6" t="str">
        <f>HYPERLINK("https://www.biovista.com/db/link/%5B%5B%22Disease%7CMyotonic%20dystrophy%20type%201%22%5D,%20%5B%22Pathway%7Cprotein%20catabolic%20process%22%5D%5D?strength-weight-map=%257B%2522MEDLINE_STRENGTH_AB%2522:1.0,%2522HPO%2522:100.0%257D", "Show Evidence...")</f>
        <v>Show Evidence...</v>
      </c>
    </row>
    <row r="1791" spans="1:10" ht="12.75">
      <c r="A1791" s="2" t="s">
        <v>2374</v>
      </c>
      <c r="B1791" s="2" t="s">
        <v>2375</v>
      </c>
      <c r="C1791" s="2" t="s">
        <v>24</v>
      </c>
      <c r="D1791" s="2" t="s">
        <v>2376</v>
      </c>
      <c r="E1791" s="2" t="s">
        <v>704</v>
      </c>
      <c r="F1791" s="11" t="s">
        <v>2937</v>
      </c>
      <c r="G1791" t="s">
        <v>37</v>
      </c>
      <c r="H1791" t="s">
        <v>2938</v>
      </c>
      <c r="I1791" t="s">
        <v>2458</v>
      </c>
      <c r="J1791" s="6" t="str">
        <f>HYPERLINK("https://www.biovista.com/db/link/%5B%5B%22Disease%7CMyotonic%20dystrophy%20type%201%22%5D,%20%5B%22Pathway%7Cskeletal%20muscle%20atrophy%22%5D%5D?strength-weight-map=%257B%2522MEDLINE_STRENGTH_AB%2522:1.0,%2522HPO%2522:100.0%257D", "Show Evidence...")</f>
        <v>Show Evidence...</v>
      </c>
    </row>
    <row r="1792" spans="1:10" ht="12.75">
      <c r="A1792" s="2" t="s">
        <v>2374</v>
      </c>
      <c r="B1792" s="2" t="s">
        <v>2375</v>
      </c>
      <c r="C1792" s="2" t="s">
        <v>24</v>
      </c>
      <c r="D1792" s="2" t="s">
        <v>2376</v>
      </c>
      <c r="E1792" s="2" t="s">
        <v>704</v>
      </c>
      <c r="F1792" s="11" t="s">
        <v>1470</v>
      </c>
      <c r="G1792" t="s">
        <v>37</v>
      </c>
      <c r="H1792" t="s">
        <v>1471</v>
      </c>
      <c r="I1792" t="s">
        <v>2471</v>
      </c>
      <c r="J1792" s="6" t="str">
        <f>HYPERLINK("https://www.biovista.com/db/link/%5B%5B%22Disease%7CMyotonic%20dystrophy%20type%201%22%5D,%20%5B%22Pathway%7Cbrain%20development%22%5D%5D?strength-weight-map=%257B%2522MEDLINE_STRENGTH_AB%2522:1.0,%2522HPO%2522:100.0%257D", "Show Evidence...")</f>
        <v>Show Evidence...</v>
      </c>
    </row>
    <row r="1793" spans="1:10" ht="12.75">
      <c r="A1793" s="2" t="s">
        <v>2374</v>
      </c>
      <c r="B1793" s="2" t="s">
        <v>2375</v>
      </c>
      <c r="C1793" s="2" t="s">
        <v>24</v>
      </c>
      <c r="D1793" s="2" t="s">
        <v>2376</v>
      </c>
      <c r="E1793" s="2" t="s">
        <v>704</v>
      </c>
      <c r="F1793" s="11" t="s">
        <v>1562</v>
      </c>
      <c r="G1793" t="s">
        <v>37</v>
      </c>
      <c r="H1793" t="s">
        <v>1563</v>
      </c>
      <c r="I1793" t="s">
        <v>2471</v>
      </c>
      <c r="J1793" s="6" t="str">
        <f>HYPERLINK("https://www.biovista.com/db/link/%5B%5B%22Disease%7CMyotonic%20dystrophy%20type%201%22%5D,%20%5B%22Pathway%7Ccell%20migration%22%5D%5D?strength-weight-map=%257B%2522MEDLINE_STRENGTH_AB%2522:1.0,%2522HPO%2522:100.0%257D", "Show Evidence...")</f>
        <v>Show Evidence...</v>
      </c>
    </row>
    <row r="1794" spans="1:10" ht="12.75">
      <c r="A1794" s="2" t="s">
        <v>2374</v>
      </c>
      <c r="B1794" s="2" t="s">
        <v>2375</v>
      </c>
      <c r="C1794" s="2" t="s">
        <v>24</v>
      </c>
      <c r="D1794" s="2" t="s">
        <v>2376</v>
      </c>
      <c r="E1794" s="2" t="s">
        <v>704</v>
      </c>
      <c r="F1794" s="11" t="s">
        <v>2939</v>
      </c>
      <c r="G1794" t="s">
        <v>37</v>
      </c>
      <c r="H1794" t="s">
        <v>2940</v>
      </c>
      <c r="I1794" t="s">
        <v>2471</v>
      </c>
      <c r="J1794" t="s">
        <v>2941</v>
      </c>
    </row>
    <row r="1795" spans="1:10" ht="12.75">
      <c r="A1795" s="2" t="s">
        <v>2374</v>
      </c>
      <c r="B1795" s="2" t="s">
        <v>2375</v>
      </c>
      <c r="C1795" s="2" t="s">
        <v>24</v>
      </c>
      <c r="D1795" s="2" t="s">
        <v>2376</v>
      </c>
      <c r="E1795" s="2" t="s">
        <v>704</v>
      </c>
      <c r="F1795" s="11" t="s">
        <v>2942</v>
      </c>
      <c r="G1795" t="s">
        <v>37</v>
      </c>
      <c r="H1795" t="s">
        <v>2943</v>
      </c>
      <c r="I1795" t="s">
        <v>2471</v>
      </c>
      <c r="J1795" s="6" t="str">
        <f>HYPERLINK("https://www.biovista.com/db/link/%5B%5B%22Disease%7CMyotonic%20dystrophy%20type%201%22%5D,%20%5B%22Pathway%7CDNA%20biosynthetic%20process%22%5D%5D?strength-weight-map=%257B%2522MEDLINE_STRENGTH_AB%2522:1.0,%2522HPO%2522:100.0%257D", "Show Evidence...")</f>
        <v>Show Evidence...</v>
      </c>
    </row>
    <row r="1796" spans="1:10" ht="12.75">
      <c r="A1796" s="2" t="s">
        <v>2374</v>
      </c>
      <c r="B1796" s="2" t="s">
        <v>2375</v>
      </c>
      <c r="C1796" s="2" t="s">
        <v>24</v>
      </c>
      <c r="D1796" s="2" t="s">
        <v>2376</v>
      </c>
      <c r="E1796" s="2" t="s">
        <v>704</v>
      </c>
      <c r="F1796" s="11" t="s">
        <v>2944</v>
      </c>
      <c r="G1796" t="s">
        <v>37</v>
      </c>
      <c r="H1796" t="s">
        <v>2945</v>
      </c>
      <c r="I1796" t="s">
        <v>2471</v>
      </c>
      <c r="J1796" s="6" t="s">
        <v>2946</v>
      </c>
    </row>
    <row r="1797" spans="1:10" ht="12.75">
      <c r="A1797" s="2" t="s">
        <v>2374</v>
      </c>
      <c r="B1797" s="2" t="s">
        <v>2375</v>
      </c>
      <c r="C1797" s="2" t="s">
        <v>24</v>
      </c>
      <c r="D1797" s="2" t="s">
        <v>2376</v>
      </c>
      <c r="E1797" s="2" t="s">
        <v>704</v>
      </c>
      <c r="F1797" s="11" t="s">
        <v>892</v>
      </c>
      <c r="G1797" t="s">
        <v>37</v>
      </c>
      <c r="H1797" t="s">
        <v>893</v>
      </c>
      <c r="I1797" t="s">
        <v>2471</v>
      </c>
      <c r="J1797" s="6" t="str">
        <f>HYPERLINK("https://www.biovista.com/db/link/%5B%5B%22Disease%7CMyotonic%20dystrophy%20type%201%22%5D,%20%5B%22Pathway%7Cfertilization%22%5D%5D?strength-weight-map=%257B%2522MEDLINE_STRENGTH_AB%2522:1.0,%2522HPO%2522:100.0%257D", "Show Evidence...")</f>
        <v>Show Evidence...</v>
      </c>
    </row>
    <row r="1798" spans="1:10" ht="12.75">
      <c r="A1798" s="2" t="s">
        <v>2374</v>
      </c>
      <c r="B1798" s="2" t="s">
        <v>2375</v>
      </c>
      <c r="C1798" s="2" t="s">
        <v>24</v>
      </c>
      <c r="D1798" s="2" t="s">
        <v>2376</v>
      </c>
      <c r="E1798" s="2" t="s">
        <v>704</v>
      </c>
      <c r="F1798" s="11" t="s">
        <v>2947</v>
      </c>
      <c r="G1798" t="s">
        <v>37</v>
      </c>
      <c r="H1798" t="s">
        <v>2948</v>
      </c>
      <c r="I1798" t="s">
        <v>2471</v>
      </c>
      <c r="J1798" s="6" t="str">
        <f>HYPERLINK("https://www.biovista.com/db/link/%5B%5B%22Disease%7CMyotonic%20dystrophy%20type%201%22%5D,%20%5B%22Pathway%7Cgene%20conversion%22%5D%5D?strength-weight-map=%257B%2522MEDLINE_STRENGTH_AB%2522:1.0,%2522HPO%2522:100.0%257D", "Show Evidence...")</f>
        <v>Show Evidence...</v>
      </c>
    </row>
    <row r="1799" spans="1:10" ht="12.75">
      <c r="A1799" s="2" t="s">
        <v>2374</v>
      </c>
      <c r="B1799" s="2" t="s">
        <v>2375</v>
      </c>
      <c r="C1799" s="2" t="s">
        <v>24</v>
      </c>
      <c r="D1799" s="2" t="s">
        <v>2376</v>
      </c>
      <c r="E1799" s="2" t="s">
        <v>704</v>
      </c>
      <c r="F1799" s="11" t="s">
        <v>789</v>
      </c>
      <c r="G1799" t="s">
        <v>37</v>
      </c>
      <c r="H1799" t="s">
        <v>790</v>
      </c>
      <c r="I1799" t="s">
        <v>2471</v>
      </c>
      <c r="J1799" s="6" t="str">
        <f>HYPERLINK("https://www.biovista.com/db/link/%5B%5B%22Disease%7CMyotonic%20dystrophy%20type%201%22%5D,%20%5B%22Pathway%7Clocomotion%22%5D%5D?strength-weight-map=%257B%2522MEDLINE_STRENGTH_AB%2522:1.0,%2522HPO%2522:100.0%257D", "Show Evidence...")</f>
        <v>Show Evidence...</v>
      </c>
    </row>
    <row r="1800" spans="1:10" ht="12.75">
      <c r="A1800" s="2" t="s">
        <v>2374</v>
      </c>
      <c r="B1800" s="2" t="s">
        <v>2375</v>
      </c>
      <c r="C1800" s="2" t="s">
        <v>24</v>
      </c>
      <c r="D1800" s="2" t="s">
        <v>2376</v>
      </c>
      <c r="E1800" s="2" t="s">
        <v>704</v>
      </c>
      <c r="F1800" s="11" t="s">
        <v>2949</v>
      </c>
      <c r="G1800" t="s">
        <v>37</v>
      </c>
      <c r="H1800" t="s">
        <v>2950</v>
      </c>
      <c r="I1800" t="s">
        <v>2471</v>
      </c>
      <c r="J1800" s="6" t="str">
        <f>HYPERLINK("https://www.biovista.com/db/link/%5B%5B%22Disease%7CMyotonic%20dystrophy%20type%201%22%5D,%20%5B%22Pathway%7Cmonoatomic%20ion%20homeostasis%22%5D%5D?strength-weight-map=%257B%2522MEDLINE_STRENGTH_AB%2522:1.0,%2522HPO%2522:100.0%257D", "Show Evidence...")</f>
        <v>Show Evidence...</v>
      </c>
    </row>
    <row r="1801" spans="1:10" ht="12.75">
      <c r="A1801" s="2" t="s">
        <v>2374</v>
      </c>
      <c r="B1801" s="2" t="s">
        <v>2375</v>
      </c>
      <c r="C1801" s="2" t="s">
        <v>24</v>
      </c>
      <c r="D1801" s="2" t="s">
        <v>2376</v>
      </c>
      <c r="E1801" s="2" t="s">
        <v>704</v>
      </c>
      <c r="F1801" s="11" t="s">
        <v>2951</v>
      </c>
      <c r="G1801" t="s">
        <v>37</v>
      </c>
      <c r="H1801" t="s">
        <v>2952</v>
      </c>
      <c r="I1801" t="s">
        <v>2471</v>
      </c>
      <c r="J1801" s="6" t="str">
        <f>HYPERLINK("https://www.biovista.com/db/link/%5B%5B%22Disease%7CMyotonic%20dystrophy%20type%201%22%5D,%20%5B%22Pathway%7Cmyoblast%20fusion%22%5D%5D?strength-weight-map=%257B%2522MEDLINE_STRENGTH_AB%2522:1.0,%2522HPO%2522:100.0%257D", "Show Evidence...")</f>
        <v>Show Evidence...</v>
      </c>
    </row>
    <row r="1802" spans="1:10" ht="12.75">
      <c r="A1802" s="2" t="s">
        <v>2374</v>
      </c>
      <c r="B1802" s="2" t="s">
        <v>2375</v>
      </c>
      <c r="C1802" s="2" t="s">
        <v>24</v>
      </c>
      <c r="D1802" s="2" t="s">
        <v>2376</v>
      </c>
      <c r="E1802" s="2" t="s">
        <v>704</v>
      </c>
      <c r="F1802" s="11" t="s">
        <v>2953</v>
      </c>
      <c r="G1802" t="s">
        <v>37</v>
      </c>
      <c r="H1802" t="s">
        <v>2954</v>
      </c>
      <c r="I1802" t="s">
        <v>2471</v>
      </c>
      <c r="J1802" s="6" t="str">
        <f>HYPERLINK("https://www.biovista.com/db/link/%5B%5B%22Disease%7CMyotonic%20dystrophy%20type%201%22%5D,%20%5B%22Pathway%7Cneuron%20projection%20development%22%5D%5D?strength-weight-map=%257B%2522MEDLINE_STRENGTH_AB%2522:1.0,%2522HPO%2522:100.0%257D", "Show Evidence...")</f>
        <v>Show Evidence...</v>
      </c>
    </row>
    <row r="1803" spans="1:10" ht="12.75">
      <c r="A1803" s="2" t="s">
        <v>2374</v>
      </c>
      <c r="B1803" s="2" t="s">
        <v>2375</v>
      </c>
      <c r="C1803" s="2" t="s">
        <v>24</v>
      </c>
      <c r="D1803" s="2" t="s">
        <v>2376</v>
      </c>
      <c r="E1803" s="2" t="s">
        <v>704</v>
      </c>
      <c r="F1803" s="11" t="s">
        <v>832</v>
      </c>
      <c r="G1803" t="s">
        <v>37</v>
      </c>
      <c r="H1803" t="s">
        <v>833</v>
      </c>
      <c r="I1803" t="s">
        <v>2471</v>
      </c>
      <c r="J1803" s="6" t="str">
        <f>HYPERLINK("https://www.biovista.com/db/link/%5B%5B%22Disease%7CMyotonic%20dystrophy%20type%201%22%5D,%20%5B%22Pathway%7Cplasma%20membrane%20invagination%22%5D%5D?strength-weight-map=%257B%2522MEDLINE_STRENGTH_AB%2522:1.0,%2522HPO%2522:100.0%257D", "Show Evidence...")</f>
        <v>Show Evidence...</v>
      </c>
    </row>
    <row r="1804" spans="1:10" ht="12.75">
      <c r="A1804" s="2" t="s">
        <v>2374</v>
      </c>
      <c r="B1804" s="2" t="s">
        <v>2375</v>
      </c>
      <c r="C1804" s="2" t="s">
        <v>24</v>
      </c>
      <c r="D1804" s="2" t="s">
        <v>2376</v>
      </c>
      <c r="E1804" s="2" t="s">
        <v>704</v>
      </c>
      <c r="F1804" s="11" t="s">
        <v>1491</v>
      </c>
      <c r="G1804" t="s">
        <v>37</v>
      </c>
      <c r="H1804" t="s">
        <v>1492</v>
      </c>
      <c r="I1804" t="s">
        <v>2471</v>
      </c>
      <c r="J1804" s="6" t="str">
        <f>HYPERLINK("https://www.biovista.com/db/link/%5B%5B%22Disease%7CMyotonic%20dystrophy%20type%201%22%5D,%20%5B%22Pathway%7Creactive%20gliosis%22%5D%5D?strength-weight-map=%257B%2522MEDLINE_STRENGTH_AB%2522:1.0,%2522HPO%2522:100.0%257D", "Show Evidence...")</f>
        <v>Show Evidence...</v>
      </c>
    </row>
    <row r="1805" spans="1:10" ht="12.75">
      <c r="A1805" s="2" t="s">
        <v>2374</v>
      </c>
      <c r="B1805" s="2" t="s">
        <v>2375</v>
      </c>
      <c r="C1805" s="2" t="s">
        <v>24</v>
      </c>
      <c r="D1805" s="2" t="s">
        <v>2376</v>
      </c>
      <c r="E1805" s="2" t="s">
        <v>704</v>
      </c>
      <c r="F1805" s="11" t="s">
        <v>834</v>
      </c>
      <c r="G1805" t="s">
        <v>37</v>
      </c>
      <c r="H1805" t="s">
        <v>835</v>
      </c>
      <c r="I1805" t="s">
        <v>2471</v>
      </c>
      <c r="J1805" s="6" t="str">
        <f>HYPERLINK("https://www.biovista.com/db/link/%5B%5B%22Disease%7CMyotonic%20dystrophy%20type%201%22%5D,%20%5B%22Pathway%7Csensory%20perception%20of%20sound%22%5D%5D?strength-weight-map=%257B%2522MEDLINE_STRENGTH_AB%2522:1.0,%2522HPO%2522:100.0%257D", "Show Evidence...")</f>
        <v>Show Evidence...</v>
      </c>
    </row>
    <row r="1806" spans="1:10" ht="12.75">
      <c r="A1806" s="2" t="s">
        <v>2374</v>
      </c>
      <c r="B1806" s="2" t="s">
        <v>2375</v>
      </c>
      <c r="C1806" s="2" t="s">
        <v>24</v>
      </c>
      <c r="D1806" s="2" t="s">
        <v>2376</v>
      </c>
      <c r="E1806" s="2" t="s">
        <v>704</v>
      </c>
      <c r="F1806" s="11" t="s">
        <v>2955</v>
      </c>
      <c r="G1806" t="s">
        <v>37</v>
      </c>
      <c r="H1806" t="s">
        <v>2956</v>
      </c>
      <c r="I1806" t="s">
        <v>2471</v>
      </c>
      <c r="J1806" s="6" t="str">
        <f>HYPERLINK("https://www.biovista.com/db/link/%5B%5B%22Disease%7CMyotonic%20dystrophy%20type%201%22%5D,%20%5B%22Pathway%7Cspermatogenesis%22%5D%5D?strength-weight-map=%257B%2522MEDLINE_STRENGTH_AB%2522:1.0,%2522HPO%2522:100.0%257D", "Show Evidence...")</f>
        <v>Show Evidence...</v>
      </c>
    </row>
    <row r="1807" spans="1:10" ht="12.75">
      <c r="A1807" s="2" t="s">
        <v>2374</v>
      </c>
      <c r="B1807" s="2" t="s">
        <v>2375</v>
      </c>
      <c r="C1807" s="2" t="s">
        <v>24</v>
      </c>
      <c r="D1807" s="2" t="s">
        <v>2376</v>
      </c>
      <c r="E1807" s="2" t="s">
        <v>704</v>
      </c>
      <c r="F1807" s="11" t="s">
        <v>2372</v>
      </c>
      <c r="G1807" t="s">
        <v>37</v>
      </c>
      <c r="H1807" t="s">
        <v>2373</v>
      </c>
      <c r="I1807" t="s">
        <v>2482</v>
      </c>
      <c r="J1807" s="6" t="str">
        <f>HYPERLINK("https://www.biovista.com/db/link/%5B%5B%22Disease%7CMyotonic%20dystrophy%20type%201%22%5D,%20%5B%22Pathway%7Capoptotic%20DNA%20fragmentation%22%5D%5D?strength-weight-map=%257B%2522MEDLINE_STRENGTH_AB%2522:1.0,%2522HPO%2522:100.0%257D", "Show Evidence...")</f>
        <v>Show Evidence...</v>
      </c>
    </row>
    <row r="1808" spans="1:10" ht="12.75">
      <c r="A1808" s="2" t="s">
        <v>2374</v>
      </c>
      <c r="B1808" s="2" t="s">
        <v>2375</v>
      </c>
      <c r="C1808" s="2" t="s">
        <v>24</v>
      </c>
      <c r="D1808" s="2" t="s">
        <v>2376</v>
      </c>
      <c r="E1808" s="2" t="s">
        <v>704</v>
      </c>
      <c r="F1808" s="11" t="s">
        <v>2957</v>
      </c>
      <c r="G1808" t="s">
        <v>37</v>
      </c>
      <c r="H1808" t="s">
        <v>2958</v>
      </c>
      <c r="I1808" t="s">
        <v>2482</v>
      </c>
      <c r="J1808" s="6" t="str">
        <f>HYPERLINK("https://www.biovista.com/db/link/%5B%5B%22Disease%7CMyotonic%20dystrophy%20type%201%22%5D,%20%5B%22Pathway%7Cchromatin%20remodeling%22%5D%5D?strength-weight-map=%257B%2522MEDLINE_STRENGTH_AB%2522:1.0,%2522HPO%2522:100.0%257D", "Show Evidence...")</f>
        <v>Show Evidence...</v>
      </c>
    </row>
    <row r="1809" spans="1:10" ht="12.75">
      <c r="A1809" s="2" t="s">
        <v>2374</v>
      </c>
      <c r="B1809" s="2" t="s">
        <v>2375</v>
      </c>
      <c r="C1809" s="2" t="s">
        <v>24</v>
      </c>
      <c r="D1809" s="2" t="s">
        <v>2376</v>
      </c>
      <c r="E1809" s="2" t="s">
        <v>704</v>
      </c>
      <c r="F1809" s="11" t="s">
        <v>2959</v>
      </c>
      <c r="G1809" t="s">
        <v>37</v>
      </c>
      <c r="H1809" t="s">
        <v>2960</v>
      </c>
      <c r="I1809" t="s">
        <v>2482</v>
      </c>
      <c r="J1809" s="6" t="str">
        <f>HYPERLINK("https://www.biovista.com/db/link/%5B%5B%22Disease%7CMyotonic%20dystrophy%20type%201%22%5D,%20%5B%22Pathway%7CmRNA%20catabolic%20process%22%5D%5D?strength-weight-map=%257B%2522MEDLINE_STRENGTH_AB%2522:1.0,%2522HPO%2522:100.0%257D", "Show Evidence...")</f>
        <v>Show Evidence...</v>
      </c>
    </row>
    <row r="1810" spans="1:10" ht="12.75">
      <c r="A1810" s="2" t="s">
        <v>50</v>
      </c>
      <c r="B1810" s="2" t="s">
        <v>2961</v>
      </c>
      <c r="C1810" s="2" t="s">
        <v>24</v>
      </c>
      <c r="D1810" s="2" t="s">
        <v>2962</v>
      </c>
      <c r="E1810" s="2" t="s">
        <v>53</v>
      </c>
      <c r="F1810" s="11" t="s">
        <v>2963</v>
      </c>
      <c r="G1810" t="s">
        <v>39</v>
      </c>
      <c r="H1810" t="s">
        <v>2964</v>
      </c>
      <c r="I1810" t="s">
        <v>2965</v>
      </c>
      <c r="J1810" s="6" t="str">
        <f>HYPERLINK("https://www.biovista.com/db/link/%5B%5B%22Disease%7CPMM2%20deficiency%22%5D,%20%5B%22Drug%7CProtein%20C%22%5D%5D?strength-weight-map=%257B%2522MEDLINE_STRENGTH_AB%2522:1.0,%2522HPO%2522:100.0%257D", "Show Evidence...")</f>
        <v>Show Evidence...</v>
      </c>
    </row>
    <row r="1811" spans="1:10" ht="12.75">
      <c r="A1811" s="2" t="s">
        <v>50</v>
      </c>
      <c r="B1811" s="2" t="s">
        <v>2961</v>
      </c>
      <c r="C1811" s="2" t="s">
        <v>24</v>
      </c>
      <c r="D1811" s="2" t="s">
        <v>2962</v>
      </c>
      <c r="E1811" s="2" t="s">
        <v>53</v>
      </c>
      <c r="F1811" s="11" t="s">
        <v>2966</v>
      </c>
      <c r="G1811" t="s">
        <v>39</v>
      </c>
      <c r="H1811" t="s">
        <v>2967</v>
      </c>
      <c r="I1811" t="s">
        <v>2968</v>
      </c>
      <c r="J1811" s="6" t="str">
        <f>HYPERLINK("https://www.biovista.com/db/link/%5B%5B%22Disease%7CPMM2%20deficiency%22%5D,%20%5B%22Drug%7CProtein%20S%22%5D%5D?strength-weight-map=%257B%2522MEDLINE_STRENGTH_AB%2522:1.0,%2522HPO%2522:100.0%257D", "Show Evidence...")</f>
        <v>Show Evidence...</v>
      </c>
    </row>
    <row r="1812" spans="1:10" ht="12.75">
      <c r="A1812" s="2" t="s">
        <v>50</v>
      </c>
      <c r="B1812" s="2" t="s">
        <v>2961</v>
      </c>
      <c r="C1812" s="2" t="s">
        <v>24</v>
      </c>
      <c r="D1812" s="2" t="s">
        <v>2962</v>
      </c>
      <c r="E1812" s="2" t="s">
        <v>53</v>
      </c>
      <c r="F1812" s="11" t="s">
        <v>2969</v>
      </c>
      <c r="G1812" t="s">
        <v>39</v>
      </c>
      <c r="H1812" t="s">
        <v>2970</v>
      </c>
      <c r="I1812" t="s">
        <v>2971</v>
      </c>
      <c r="J1812" s="6" t="str">
        <f>HYPERLINK("https://www.biovista.com/db/link/%5B%5B%22Disease%7CPMM2%20deficiency%22%5D,%20%5B%22Drug%7CAntithrombin%20III%22%5D%5D?strength-weight-map=%257B%2522MEDLINE_STRENGTH_AB%2522:1.0,%2522HPO%2522:100.0%257D", "Show Evidence...")</f>
        <v>Show Evidence...</v>
      </c>
    </row>
    <row r="1813" spans="1:10" ht="12.75">
      <c r="A1813" s="2" t="s">
        <v>50</v>
      </c>
      <c r="B1813" s="2" t="s">
        <v>2961</v>
      </c>
      <c r="C1813" s="2" t="s">
        <v>24</v>
      </c>
      <c r="D1813" s="2" t="s">
        <v>2962</v>
      </c>
      <c r="E1813" s="2" t="s">
        <v>53</v>
      </c>
      <c r="F1813" s="11" t="s">
        <v>970</v>
      </c>
      <c r="G1813" t="s">
        <v>39</v>
      </c>
      <c r="H1813" t="s">
        <v>971</v>
      </c>
      <c r="I1813" t="s">
        <v>2971</v>
      </c>
      <c r="J1813" s="6" t="str">
        <f>HYPERLINK("https://www.biovista.com/db/link/%5B%5B%22Disease%7CPMM2%20deficiency%22%5D,%20%5B%22Drug%7CLectins%22%5D%5D?strength-weight-map=%257B%2522MEDLINE_STRENGTH_AB%2522:1.0,%2522HPO%2522:100.0%257D", "Show Evidence...")</f>
        <v>Show Evidence...</v>
      </c>
    </row>
    <row r="1814" spans="1:10" ht="12.75">
      <c r="A1814" s="2" t="s">
        <v>50</v>
      </c>
      <c r="B1814" s="2" t="s">
        <v>2961</v>
      </c>
      <c r="C1814" s="2" t="s">
        <v>24</v>
      </c>
      <c r="D1814" s="2" t="s">
        <v>2962</v>
      </c>
      <c r="E1814" s="2" t="s">
        <v>53</v>
      </c>
      <c r="F1814" s="11" t="s">
        <v>2972</v>
      </c>
      <c r="G1814" t="s">
        <v>39</v>
      </c>
      <c r="H1814" t="s">
        <v>2973</v>
      </c>
      <c r="I1814" t="s">
        <v>2974</v>
      </c>
      <c r="J1814" s="6" t="str">
        <f>HYPERLINK("https://www.biovista.com/db/link/%5B%5B%22Disease%7CPMM2%20deficiency%22%5D,%20%5B%22Drug%7Calpha%201-Antitrypsin%22%5D%5D?strength-weight-map=%257B%2522MEDLINE_STRENGTH_AB%2522:1.0,%2522HPO%2522:100.0%257D", "Show Evidence...")</f>
        <v>Show Evidence...</v>
      </c>
    </row>
    <row r="1815" spans="1:10" ht="12.75">
      <c r="A1815" s="2" t="s">
        <v>50</v>
      </c>
      <c r="B1815" s="2" t="s">
        <v>2961</v>
      </c>
      <c r="C1815" s="2" t="s">
        <v>24</v>
      </c>
      <c r="D1815" s="2" t="s">
        <v>2962</v>
      </c>
      <c r="E1815" s="2" t="s">
        <v>53</v>
      </c>
      <c r="F1815" s="11" t="s">
        <v>2975</v>
      </c>
      <c r="G1815" t="s">
        <v>39</v>
      </c>
      <c r="H1815" t="s">
        <v>2976</v>
      </c>
      <c r="I1815" t="s">
        <v>2974</v>
      </c>
      <c r="J1815" s="6" t="str">
        <f>HYPERLINK("https://www.biovista.com/db/link/%5B%5B%22Disease%7CPMM2%20deficiency%22%5D,%20%5B%22Drug%7Cepalrestat%22%5D%5D?strength-weight-map=%257B%2522MEDLINE_STRENGTH_AB%2522:1.0,%2522HPO%2522:100.0%257D", "Show Evidence...")</f>
        <v>Show Evidence...</v>
      </c>
    </row>
    <row r="1816" spans="1:10" ht="12.75">
      <c r="A1816" s="2" t="s">
        <v>50</v>
      </c>
      <c r="B1816" s="2" t="s">
        <v>2961</v>
      </c>
      <c r="C1816" s="2" t="s">
        <v>24</v>
      </c>
      <c r="D1816" s="2" t="s">
        <v>2962</v>
      </c>
      <c r="E1816" s="2" t="s">
        <v>53</v>
      </c>
      <c r="F1816" s="11" t="s">
        <v>2977</v>
      </c>
      <c r="G1816" t="s">
        <v>39</v>
      </c>
      <c r="H1816" t="s">
        <v>2978</v>
      </c>
      <c r="I1816" t="s">
        <v>2979</v>
      </c>
      <c r="J1816" s="6" t="str">
        <f>HYPERLINK("https://www.biovista.com/db/link/%5B%5B%22Disease%7CPMM2%20deficiency%22%5D,%20%5B%22Drug%7CDiazoxide%22%5D%5D?strength-weight-map=%257B%2522MEDLINE_STRENGTH_AB%2522:1.0,%2522HPO%2522:100.0%257D", "Show Evidence...")</f>
        <v>Show Evidence...</v>
      </c>
    </row>
    <row r="1817" spans="1:10" ht="12.75">
      <c r="A1817" s="2" t="s">
        <v>50</v>
      </c>
      <c r="B1817" s="2" t="s">
        <v>2961</v>
      </c>
      <c r="C1817" s="2" t="s">
        <v>24</v>
      </c>
      <c r="D1817" s="2" t="s">
        <v>2962</v>
      </c>
      <c r="E1817" s="2" t="s">
        <v>53</v>
      </c>
      <c r="F1817" s="11" t="s">
        <v>2980</v>
      </c>
      <c r="G1817" t="s">
        <v>39</v>
      </c>
      <c r="H1817" t="s">
        <v>2981</v>
      </c>
      <c r="I1817" t="s">
        <v>2979</v>
      </c>
      <c r="J1817" s="6" t="str">
        <f>HYPERLINK("https://www.biovista.com/db/link/%5B%5B%22Disease%7CPMM2%20deficiency%22%5D,%20%5B%22Drug%7CSorbitol%22%5D%5D?strength-weight-map=%257B%2522MEDLINE_STRENGTH_AB%2522:1.0,%2522HPO%2522:100.0%257D", "Show Evidence...")</f>
        <v>Show Evidence...</v>
      </c>
    </row>
    <row r="1818" spans="1:10" ht="12.75">
      <c r="A1818" s="2" t="s">
        <v>50</v>
      </c>
      <c r="B1818" s="2" t="s">
        <v>2961</v>
      </c>
      <c r="C1818" s="2" t="s">
        <v>24</v>
      </c>
      <c r="D1818" s="2" t="s">
        <v>2962</v>
      </c>
      <c r="E1818" s="2" t="s">
        <v>53</v>
      </c>
      <c r="F1818" s="11" t="s">
        <v>2982</v>
      </c>
      <c r="G1818" t="s">
        <v>39</v>
      </c>
      <c r="H1818" t="s">
        <v>2983</v>
      </c>
      <c r="I1818" t="s">
        <v>2979</v>
      </c>
      <c r="J1818" s="6" t="str">
        <f>HYPERLINK("https://www.biovista.com/db/link/%5B%5B%22Disease%7CPMM2%20deficiency%22%5D,%20%5B%22Drug%7CTunicamycin%22%5D%5D?strength-weight-map=%257B%2522MEDLINE_STRENGTH_AB%2522:1.0,%2522HPO%2522:100.0%257D", "Show Evidence...")</f>
        <v>Show Evidence...</v>
      </c>
    </row>
    <row r="1819" spans="1:10" ht="12.75">
      <c r="A1819" s="2" t="s">
        <v>50</v>
      </c>
      <c r="B1819" s="2" t="s">
        <v>2961</v>
      </c>
      <c r="C1819" s="2" t="s">
        <v>24</v>
      </c>
      <c r="D1819" s="2" t="s">
        <v>2962</v>
      </c>
      <c r="E1819" s="2" t="s">
        <v>53</v>
      </c>
      <c r="F1819" s="11" t="s">
        <v>168</v>
      </c>
      <c r="G1819" t="s">
        <v>39</v>
      </c>
      <c r="H1819" t="s">
        <v>169</v>
      </c>
      <c r="I1819" t="s">
        <v>2984</v>
      </c>
      <c r="J1819" s="6" t="str">
        <f>HYPERLINK("https://www.biovista.com/db/link/%5B%5B%22Disease%7CPMM2%20deficiency%22%5D,%20%5B%22Drug%7CAcetazolamide%22%5D%5D?strength-weight-map=%257B%2522MEDLINE_STRENGTH_AB%2522:1.0,%2522HPO%2522:100.0%257D", "Show Evidence...")</f>
        <v>Show Evidence...</v>
      </c>
    </row>
    <row r="1820" spans="1:10" ht="12.75">
      <c r="A1820" s="2" t="s">
        <v>50</v>
      </c>
      <c r="B1820" s="2" t="s">
        <v>2961</v>
      </c>
      <c r="C1820" s="2" t="s">
        <v>24</v>
      </c>
      <c r="D1820" s="2" t="s">
        <v>2962</v>
      </c>
      <c r="E1820" s="2" t="s">
        <v>53</v>
      </c>
      <c r="F1820" s="11" t="s">
        <v>228</v>
      </c>
      <c r="G1820" t="s">
        <v>39</v>
      </c>
      <c r="H1820" t="s">
        <v>229</v>
      </c>
      <c r="I1820" t="s">
        <v>2984</v>
      </c>
      <c r="J1820" s="6" t="str">
        <f>HYPERLINK("https://www.biovista.com/db/link/%5B%5B%22Disease%7CPMM2%20deficiency%22%5D,%20%5B%22Drug%7CHeparin%22%5D%5D?strength-weight-map=%257B%2522MEDLINE_STRENGTH_AB%2522:1.0,%2522HPO%2522:100.0%257D", "Show Evidence...")</f>
        <v>Show Evidence...</v>
      </c>
    </row>
    <row r="1821" spans="1:10" ht="12.75">
      <c r="A1821" s="2" t="s">
        <v>50</v>
      </c>
      <c r="B1821" s="2" t="s">
        <v>2961</v>
      </c>
      <c r="C1821" s="2" t="s">
        <v>24</v>
      </c>
      <c r="D1821" s="2" t="s">
        <v>2962</v>
      </c>
      <c r="E1821" s="2" t="s">
        <v>53</v>
      </c>
      <c r="F1821" s="11" t="s">
        <v>968</v>
      </c>
      <c r="G1821" t="s">
        <v>39</v>
      </c>
      <c r="H1821" t="s">
        <v>969</v>
      </c>
      <c r="I1821" t="s">
        <v>2984</v>
      </c>
      <c r="J1821" s="6" t="str">
        <f>HYPERLINK("https://www.biovista.com/db/link/%5B%5B%22Disease%7CPMM2%20deficiency%22%5D,%20%5B%22Drug%7CImmunoglobulin%20G%22%5D%5D?strength-weight-map=%257B%2522MEDLINE_STRENGTH_AB%2522:1.0,%2522HPO%2522:100.0%257D", "Show Evidence...")</f>
        <v>Show Evidence...</v>
      </c>
    </row>
    <row r="1822" spans="1:10" ht="12.75">
      <c r="A1822" s="2" t="s">
        <v>50</v>
      </c>
      <c r="B1822" s="2" t="s">
        <v>2961</v>
      </c>
      <c r="C1822" s="2" t="s">
        <v>24</v>
      </c>
      <c r="D1822" s="2" t="s">
        <v>2962</v>
      </c>
      <c r="E1822" s="2" t="s">
        <v>53</v>
      </c>
      <c r="F1822" s="11" t="s">
        <v>2985</v>
      </c>
      <c r="G1822" t="s">
        <v>39</v>
      </c>
      <c r="H1822" t="s">
        <v>2986</v>
      </c>
      <c r="I1822" t="s">
        <v>2984</v>
      </c>
      <c r="J1822" s="6" t="str">
        <f>HYPERLINK("https://www.biovista.com/db/link/%5B%5B%22Disease%7CPMM2%20deficiency%22%5D,%20%5B%22Drug%7CThrombin%22%5D%5D?strength-weight-map=%257B%2522MEDLINE_STRENGTH_AB%2522:1.0,%2522HPO%2522:100.0%257D", "Show Evidence...")</f>
        <v>Show Evidence...</v>
      </c>
    </row>
    <row r="1823" spans="1:10" ht="12.75">
      <c r="A1823" s="2" t="s">
        <v>50</v>
      </c>
      <c r="B1823" s="2" t="s">
        <v>2961</v>
      </c>
      <c r="C1823" s="2" t="s">
        <v>24</v>
      </c>
      <c r="D1823" s="2" t="s">
        <v>2962</v>
      </c>
      <c r="E1823" s="2" t="s">
        <v>53</v>
      </c>
      <c r="F1823" s="11" t="s">
        <v>278</v>
      </c>
      <c r="G1823" t="s">
        <v>39</v>
      </c>
      <c r="H1823" t="s">
        <v>279</v>
      </c>
      <c r="I1823" t="s">
        <v>2984</v>
      </c>
      <c r="J1823" s="6" t="str">
        <f>HYPERLINK("https://www.biovista.com/db/link/%5B%5B%22Disease%7CPMM2%20deficiency%22%5D,%20%5B%22Drug%7CThyroxine%22%5D%5D?strength-weight-map=%257B%2522MEDLINE_STRENGTH_AB%2522:1.0,%2522HPO%2522:100.0%257D", "Show Evidence...")</f>
        <v>Show Evidence...</v>
      </c>
    </row>
    <row r="1824" spans="1:10" ht="12.75">
      <c r="A1824" s="2" t="s">
        <v>50</v>
      </c>
      <c r="B1824" s="2" t="s">
        <v>2961</v>
      </c>
      <c r="C1824" s="2" t="s">
        <v>24</v>
      </c>
      <c r="D1824" s="2" t="s">
        <v>2962</v>
      </c>
      <c r="E1824" s="2" t="s">
        <v>53</v>
      </c>
      <c r="F1824" s="11" t="s">
        <v>110</v>
      </c>
      <c r="G1824" t="s">
        <v>39</v>
      </c>
      <c r="H1824" t="s">
        <v>111</v>
      </c>
      <c r="I1824" t="s">
        <v>2987</v>
      </c>
      <c r="J1824" s="6" t="str">
        <f>HYPERLINK("https://www.biovista.com/db/link/%5B%5B%22Disease%7CPMM2%20deficiency%22%5D,%20%5B%22Drug%7CAdrenocorticotropic%20Hormone%22%5D%5D?strength-weight-map=%257B%2522MEDLINE_STRENGTH_AB%2522:1.0,%2522HPO%2522:100.0%257D", "Show Evidence...")</f>
        <v>Show Evidence...</v>
      </c>
    </row>
    <row r="1825" spans="1:10" ht="12.75">
      <c r="A1825" s="2" t="s">
        <v>50</v>
      </c>
      <c r="B1825" s="2" t="s">
        <v>2961</v>
      </c>
      <c r="C1825" s="2" t="s">
        <v>24</v>
      </c>
      <c r="D1825" s="2" t="s">
        <v>2962</v>
      </c>
      <c r="E1825" s="2" t="s">
        <v>53</v>
      </c>
      <c r="F1825" s="11" t="s">
        <v>1952</v>
      </c>
      <c r="G1825" t="s">
        <v>39</v>
      </c>
      <c r="H1825" t="s">
        <v>1953</v>
      </c>
      <c r="I1825" t="s">
        <v>2987</v>
      </c>
      <c r="J1825" s="6" t="str">
        <f>HYPERLINK("https://www.biovista.com/db/link/%5B%5B%22Disease%7CPMM2%20deficiency%22%5D,%20%5B%22Drug%7CAntral%22%5D%5D?strength-weight-map=%257B%2522MEDLINE_STRENGTH_AB%2522:1.0,%2522HPO%2522:100.0%257D", "Show Evidence...")</f>
        <v>Show Evidence...</v>
      </c>
    </row>
    <row r="1826" spans="1:10" ht="12.75">
      <c r="A1826" s="2" t="s">
        <v>50</v>
      </c>
      <c r="B1826" s="2" t="s">
        <v>2961</v>
      </c>
      <c r="C1826" s="2" t="s">
        <v>24</v>
      </c>
      <c r="D1826" s="2" t="s">
        <v>2962</v>
      </c>
      <c r="E1826" s="2" t="s">
        <v>53</v>
      </c>
      <c r="F1826" s="11" t="s">
        <v>2483</v>
      </c>
      <c r="G1826" t="s">
        <v>39</v>
      </c>
      <c r="H1826" t="s">
        <v>2484</v>
      </c>
      <c r="I1826" t="s">
        <v>2987</v>
      </c>
      <c r="J1826" s="6" t="str">
        <f>HYPERLINK("https://www.biovista.com/db/link/%5B%5B%22Disease%7CPMM2%20deficiency%22%5D,%20%5B%22Drug%7CAzithromycin%22%5D%5D?strength-weight-map=%257B%2522MEDLINE_STRENGTH_AB%2522:1.0,%2522HPO%2522:100.0%257D", "Show Evidence...")</f>
        <v>Show Evidence...</v>
      </c>
    </row>
    <row r="1827" spans="1:10" ht="12.75">
      <c r="A1827" s="2" t="s">
        <v>50</v>
      </c>
      <c r="B1827" s="2" t="s">
        <v>2961</v>
      </c>
      <c r="C1827" s="2" t="s">
        <v>24</v>
      </c>
      <c r="D1827" s="2" t="s">
        <v>2962</v>
      </c>
      <c r="E1827" s="2" t="s">
        <v>53</v>
      </c>
      <c r="F1827" s="11" t="s">
        <v>2988</v>
      </c>
      <c r="G1827" t="s">
        <v>39</v>
      </c>
      <c r="H1827" t="s">
        <v>2989</v>
      </c>
      <c r="I1827" t="s">
        <v>2987</v>
      </c>
      <c r="J1827" s="6" t="str">
        <f>HYPERLINK("https://www.biovista.com/db/link/%5B%5B%22Disease%7CPMM2%20deficiency%22%5D,%20%5B%22Drug%7Cbenzyloxycarbonylleucyl-leucyl-leucine%20aldehyde%22%5D%5D?strength-weight-map=%257B%2522MEDLINE_STRENGTH_AB%2522:1.0,%2522HPO%2522:100.0%257D", "Show Evidence...")</f>
        <v>Show Evidence...</v>
      </c>
    </row>
    <row r="1828" spans="1:10" ht="12.75">
      <c r="A1828" s="2" t="s">
        <v>50</v>
      </c>
      <c r="B1828" s="2" t="s">
        <v>2961</v>
      </c>
      <c r="C1828" s="2" t="s">
        <v>24</v>
      </c>
      <c r="D1828" s="2" t="s">
        <v>2962</v>
      </c>
      <c r="E1828" s="2" t="s">
        <v>53</v>
      </c>
      <c r="F1828" s="11" t="s">
        <v>1899</v>
      </c>
      <c r="G1828" t="s">
        <v>39</v>
      </c>
      <c r="H1828" t="s">
        <v>1900</v>
      </c>
      <c r="I1828" t="s">
        <v>2987</v>
      </c>
      <c r="J1828" s="6" t="str">
        <f>HYPERLINK("https://www.biovista.com/db/link/%5B%5B%22Disease%7CPMM2%20deficiency%22%5D,%20%5B%22Drug%7CBile%20Acids%20and%20Salts%22%5D%5D?strength-weight-map=%257B%2522MEDLINE_STRENGTH_AB%2522:1.0,%2522HPO%2522:100.0%257D", "Show Evidence...")</f>
        <v>Show Evidence...</v>
      </c>
    </row>
    <row r="1829" spans="1:10" ht="12.75">
      <c r="A1829" s="2" t="s">
        <v>50</v>
      </c>
      <c r="B1829" s="2" t="s">
        <v>2961</v>
      </c>
      <c r="C1829" s="2" t="s">
        <v>24</v>
      </c>
      <c r="D1829" s="2" t="s">
        <v>2962</v>
      </c>
      <c r="E1829" s="2" t="s">
        <v>53</v>
      </c>
      <c r="F1829" s="11" t="s">
        <v>2990</v>
      </c>
      <c r="G1829" t="s">
        <v>39</v>
      </c>
      <c r="H1829" t="s">
        <v>2991</v>
      </c>
      <c r="I1829" t="s">
        <v>2987</v>
      </c>
      <c r="J1829" s="6" t="str">
        <f>HYPERLINK("https://www.biovista.com/db/link/%5B%5B%22Disease%7CPMM2%20deficiency%22%5D,%20%5B%22Drug%7CBromides%22%5D%5D?strength-weight-map=%257B%2522MEDLINE_STRENGTH_AB%2522:1.0,%2522HPO%2522:100.0%257D", "Show Evidence...")</f>
        <v>Show Evidence...</v>
      </c>
    </row>
    <row r="1830" spans="1:10" ht="12.75">
      <c r="A1830" s="2" t="s">
        <v>50</v>
      </c>
      <c r="B1830" s="2" t="s">
        <v>2961</v>
      </c>
      <c r="C1830" s="2" t="s">
        <v>24</v>
      </c>
      <c r="D1830" s="2" t="s">
        <v>2962</v>
      </c>
      <c r="E1830" s="2" t="s">
        <v>53</v>
      </c>
      <c r="F1830" s="11" t="s">
        <v>2992</v>
      </c>
      <c r="G1830" t="s">
        <v>39</v>
      </c>
      <c r="H1830" t="s">
        <v>2993</v>
      </c>
      <c r="I1830" t="s">
        <v>2987</v>
      </c>
      <c r="J1830" s="6" t="str">
        <f>HYPERLINK("https://www.biovista.com/db/link/%5B%5B%22Disease%7CPMM2%20deficiency%22%5D,%20%5B%22Drug%7CClodronic%20Acid%22%5D%5D?strength-weight-map=%257B%2522MEDLINE_STRENGTH_AB%2522:1.0,%2522HPO%2522:100.0%257D", "Show Evidence...")</f>
        <v>Show Evidence...</v>
      </c>
    </row>
    <row r="1831" spans="1:10" ht="12.75">
      <c r="A1831" s="2" t="s">
        <v>50</v>
      </c>
      <c r="B1831" s="2" t="s">
        <v>2961</v>
      </c>
      <c r="C1831" s="2" t="s">
        <v>24</v>
      </c>
      <c r="D1831" s="2" t="s">
        <v>2962</v>
      </c>
      <c r="E1831" s="2" t="s">
        <v>53</v>
      </c>
      <c r="F1831" s="11" t="s">
        <v>2994</v>
      </c>
      <c r="G1831" t="s">
        <v>39</v>
      </c>
      <c r="H1831" t="s">
        <v>2995</v>
      </c>
      <c r="I1831" t="s">
        <v>2987</v>
      </c>
      <c r="J1831" s="6" t="str">
        <f>HYPERLINK("https://www.biovista.com/db/link/%5B%5B%22Disease%7CPMM2%20deficiency%22%5D,%20%5B%22Drug%7CComplement%20C4%22%5D%5D?strength-weight-map=%257B%2522MEDLINE_STRENGTH_AB%2522:1.0,%2522HPO%2522:100.0%257D", "Show Evidence...")</f>
        <v>Show Evidence...</v>
      </c>
    </row>
    <row r="1832" spans="1:10" ht="12.75">
      <c r="A1832" s="2" t="s">
        <v>50</v>
      </c>
      <c r="B1832" s="2" t="s">
        <v>2961</v>
      </c>
      <c r="C1832" s="2" t="s">
        <v>24</v>
      </c>
      <c r="D1832" s="2" t="s">
        <v>2962</v>
      </c>
      <c r="E1832" s="2" t="s">
        <v>53</v>
      </c>
      <c r="F1832" s="11" t="s">
        <v>2996</v>
      </c>
      <c r="G1832" t="s">
        <v>39</v>
      </c>
      <c r="H1832" t="s">
        <v>2997</v>
      </c>
      <c r="I1832" t="s">
        <v>2987</v>
      </c>
      <c r="J1832" s="6" t="str">
        <f>HYPERLINK("https://www.biovista.com/db/link/%5B%5B%22Disease%7CPMM2%20deficiency%22%5D,%20%5B%22Drug%7CDermatan%20Sulfate%22%5D%5D?strength-weight-map=%257B%2522MEDLINE_STRENGTH_AB%2522:1.0,%2522HPO%2522:100.0%257D", "Show Evidence...")</f>
        <v>Show Evidence...</v>
      </c>
    </row>
    <row r="1833" spans="1:10" ht="12.75">
      <c r="A1833" s="2" t="s">
        <v>50</v>
      </c>
      <c r="B1833" s="2" t="s">
        <v>2961</v>
      </c>
      <c r="C1833" s="2" t="s">
        <v>24</v>
      </c>
      <c r="D1833" s="2" t="s">
        <v>2962</v>
      </c>
      <c r="E1833" s="2" t="s">
        <v>53</v>
      </c>
      <c r="F1833" s="11" t="s">
        <v>2998</v>
      </c>
      <c r="G1833" t="s">
        <v>39</v>
      </c>
      <c r="H1833" t="s">
        <v>2999</v>
      </c>
      <c r="I1833" t="s">
        <v>2987</v>
      </c>
      <c r="J1833" s="6" t="str">
        <f>HYPERLINK("https://www.biovista.com/db/link/%5B%5B%22Disease%7CPMM2%20deficiency%22%5D,%20%5B%22Drug%7CDiphosphonates%22%5D%5D?strength-weight-map=%257B%2522MEDLINE_STRENGTH_AB%2522:1.0,%2522HPO%2522:100.0%257D", "Show Evidence...")</f>
        <v>Show Evidence...</v>
      </c>
    </row>
    <row r="1834" spans="1:10" ht="12.75">
      <c r="A1834" s="2" t="s">
        <v>50</v>
      </c>
      <c r="B1834" s="2" t="s">
        <v>2961</v>
      </c>
      <c r="C1834" s="2" t="s">
        <v>24</v>
      </c>
      <c r="D1834" s="2" t="s">
        <v>2962</v>
      </c>
      <c r="E1834" s="2" t="s">
        <v>53</v>
      </c>
      <c r="F1834" s="11" t="s">
        <v>3000</v>
      </c>
      <c r="G1834" t="s">
        <v>39</v>
      </c>
      <c r="H1834" t="s">
        <v>3001</v>
      </c>
      <c r="I1834" t="s">
        <v>2987</v>
      </c>
      <c r="J1834" s="6" t="str">
        <f>HYPERLINK("https://www.biovista.com/db/link/%5B%5B%22Disease%7CPMM2%20deficiency%22%5D,%20%5B%22Drug%7Cfibrin%20fragment%20D%22%5D%5D?strength-weight-map=%257B%2522MEDLINE_STRENGTH_AB%2522:1.0,%2522HPO%2522:100.0%257D", "Show Evidence...")</f>
        <v>Show Evidence...</v>
      </c>
    </row>
    <row r="1835" spans="1:10" ht="12.75">
      <c r="A1835" s="2" t="s">
        <v>50</v>
      </c>
      <c r="B1835" s="2" t="s">
        <v>2961</v>
      </c>
      <c r="C1835" s="2" t="s">
        <v>24</v>
      </c>
      <c r="D1835" s="2" t="s">
        <v>2962</v>
      </c>
      <c r="E1835" s="2" t="s">
        <v>53</v>
      </c>
      <c r="F1835" s="11" t="s">
        <v>2380</v>
      </c>
      <c r="G1835" t="s">
        <v>39</v>
      </c>
      <c r="H1835" t="s">
        <v>2381</v>
      </c>
      <c r="I1835" t="s">
        <v>2987</v>
      </c>
      <c r="J1835" s="6" t="str">
        <f>HYPERLINK("https://www.biovista.com/db/link/%5B%5B%22Disease%7CPMM2%20deficiency%22%5D,%20%5B%22Drug%7CFollicle%20Stimulating%20Hormone%22%5D%5D?strength-weight-map=%257B%2522MEDLINE_STRENGTH_AB%2522:1.0,%2522HPO%2522:100.0%257D", "Show Evidence...")</f>
        <v>Show Evidence...</v>
      </c>
    </row>
    <row r="1836" spans="1:10" ht="12.75">
      <c r="A1836" s="2" t="s">
        <v>50</v>
      </c>
      <c r="B1836" s="2" t="s">
        <v>2961</v>
      </c>
      <c r="C1836" s="2" t="s">
        <v>24</v>
      </c>
      <c r="D1836" s="2" t="s">
        <v>2962</v>
      </c>
      <c r="E1836" s="2" t="s">
        <v>53</v>
      </c>
      <c r="F1836" s="11" t="s">
        <v>1917</v>
      </c>
      <c r="G1836" t="s">
        <v>39</v>
      </c>
      <c r="H1836" t="s">
        <v>1918</v>
      </c>
      <c r="I1836" t="s">
        <v>2987</v>
      </c>
      <c r="J1836" s="6" t="str">
        <f>HYPERLINK("https://www.biovista.com/db/link/%5B%5B%22Disease%7CPMM2%20deficiency%22%5D,%20%5B%22Drug%7CGlucagon%22%5D%5D?strength-weight-map=%257B%2522MEDLINE_STRENGTH_AB%2522:1.0,%2522HPO%2522:100.0%257D", "Show Evidence...")</f>
        <v>Show Evidence...</v>
      </c>
    </row>
    <row r="1837" spans="1:10" ht="12.75">
      <c r="A1837" s="2" t="s">
        <v>50</v>
      </c>
      <c r="B1837" s="2" t="s">
        <v>2961</v>
      </c>
      <c r="C1837" s="2" t="s">
        <v>24</v>
      </c>
      <c r="D1837" s="2" t="s">
        <v>2962</v>
      </c>
      <c r="E1837" s="2" t="s">
        <v>53</v>
      </c>
      <c r="F1837" s="11" t="s">
        <v>125</v>
      </c>
      <c r="G1837" t="s">
        <v>39</v>
      </c>
      <c r="H1837" t="s">
        <v>126</v>
      </c>
      <c r="I1837" t="s">
        <v>2987</v>
      </c>
      <c r="J1837" s="6" t="str">
        <f>HYPERLINK("https://www.biovista.com/db/link/%5B%5B%22Disease%7CPMM2%20deficiency%22%5D,%20%5B%22Drug%7CHydrocortisone%22%5D%5D?strength-weight-map=%257B%2522MEDLINE_STRENGTH_AB%2522:1.0,%2522HPO%2522:100.0%257D", "Show Evidence...")</f>
        <v>Show Evidence...</v>
      </c>
    </row>
    <row r="1838" spans="1:10" ht="12.75">
      <c r="A1838" s="2" t="s">
        <v>50</v>
      </c>
      <c r="B1838" s="2" t="s">
        <v>2961</v>
      </c>
      <c r="C1838" s="2" t="s">
        <v>24</v>
      </c>
      <c r="D1838" s="2" t="s">
        <v>2962</v>
      </c>
      <c r="E1838" s="2" t="s">
        <v>53</v>
      </c>
      <c r="F1838" s="11" t="s">
        <v>3002</v>
      </c>
      <c r="G1838" t="s">
        <v>39</v>
      </c>
      <c r="H1838" t="s">
        <v>3003</v>
      </c>
      <c r="I1838" t="s">
        <v>2987</v>
      </c>
      <c r="J1838" s="6" t="str">
        <f>HYPERLINK("https://www.biovista.com/db/link/%5B%5B%22Disease%7CPMM2%20deficiency%22%5D,%20%5B%22Drug%7CImmunoglobulin%20D%22%5D%5D?strength-weight-map=%257B%2522MEDLINE_STRENGTH_AB%2522:1.0,%2522HPO%2522:100.0%257D", "Show Evidence...")</f>
        <v>Show Evidence...</v>
      </c>
    </row>
    <row r="1839" spans="1:10" ht="12.75">
      <c r="A1839" s="2" t="s">
        <v>50</v>
      </c>
      <c r="B1839" s="2" t="s">
        <v>2961</v>
      </c>
      <c r="C1839" s="2" t="s">
        <v>24</v>
      </c>
      <c r="D1839" s="2" t="s">
        <v>2962</v>
      </c>
      <c r="E1839" s="2" t="s">
        <v>53</v>
      </c>
      <c r="F1839" s="11" t="s">
        <v>1034</v>
      </c>
      <c r="G1839" t="s">
        <v>39</v>
      </c>
      <c r="H1839" t="s">
        <v>1035</v>
      </c>
      <c r="I1839" t="s">
        <v>2987</v>
      </c>
      <c r="J1839" s="6" t="str">
        <f>HYPERLINK("https://www.biovista.com/db/link/%5B%5B%22Disease%7CPMM2%20deficiency%22%5D,%20%5B%22Drug%7CInositol%22%5D%5D?strength-weight-map=%257B%2522MEDLINE_STRENGTH_AB%2522:1.0,%2522HPO%2522:100.0%257D", "Show Evidence...")</f>
        <v>Show Evidence...</v>
      </c>
    </row>
    <row r="1840" spans="1:10" ht="12.75">
      <c r="A1840" s="2" t="s">
        <v>50</v>
      </c>
      <c r="B1840" s="2" t="s">
        <v>2961</v>
      </c>
      <c r="C1840" s="2" t="s">
        <v>24</v>
      </c>
      <c r="D1840" s="2" t="s">
        <v>2962</v>
      </c>
      <c r="E1840" s="2" t="s">
        <v>53</v>
      </c>
      <c r="F1840" s="11" t="s">
        <v>138</v>
      </c>
      <c r="G1840" t="s">
        <v>39</v>
      </c>
      <c r="H1840" t="s">
        <v>139</v>
      </c>
      <c r="I1840" t="s">
        <v>2987</v>
      </c>
      <c r="J1840" s="6" t="str">
        <f>HYPERLINK("https://www.biovista.com/db/link/%5B%5B%22Disease%7CPMM2%20deficiency%22%5D,%20%5B%22Drug%7CLactic%20Acid%22%5D%5D?strength-weight-map=%257B%2522MEDLINE_STRENGTH_AB%2522:1.0,%2522HPO%2522:100.0%257D", "Show Evidence...")</f>
        <v>Show Evidence...</v>
      </c>
    </row>
    <row r="1841" spans="1:10" ht="12.75">
      <c r="A1841" s="2" t="s">
        <v>50</v>
      </c>
      <c r="B1841" s="2" t="s">
        <v>2961</v>
      </c>
      <c r="C1841" s="2" t="s">
        <v>24</v>
      </c>
      <c r="D1841" s="2" t="s">
        <v>2962</v>
      </c>
      <c r="E1841" s="2" t="s">
        <v>53</v>
      </c>
      <c r="F1841" s="11" t="s">
        <v>3004</v>
      </c>
      <c r="G1841" t="s">
        <v>39</v>
      </c>
      <c r="H1841" t="s">
        <v>3005</v>
      </c>
      <c r="I1841" t="s">
        <v>2987</v>
      </c>
      <c r="J1841" s="6" t="str">
        <f>HYPERLINK("https://www.biovista.com/db/link/%5B%5B%22Disease%7CPMM2%20deficiency%22%5D,%20%5B%22Drug%7CLeupeptins%22%5D%5D?strength-weight-map=%257B%2522MEDLINE_STRENGTH_AB%2522:1.0,%2522HPO%2522:100.0%257D", "Show Evidence...")</f>
        <v>Show Evidence...</v>
      </c>
    </row>
    <row r="1842" spans="1:10" ht="12.75">
      <c r="A1842" s="2" t="s">
        <v>50</v>
      </c>
      <c r="B1842" s="2" t="s">
        <v>2961</v>
      </c>
      <c r="C1842" s="2" t="s">
        <v>24</v>
      </c>
      <c r="D1842" s="2" t="s">
        <v>2962</v>
      </c>
      <c r="E1842" s="2" t="s">
        <v>53</v>
      </c>
      <c r="F1842" s="11" t="s">
        <v>1093</v>
      </c>
      <c r="G1842" t="s">
        <v>39</v>
      </c>
      <c r="H1842" t="s">
        <v>1094</v>
      </c>
      <c r="I1842" t="s">
        <v>2987</v>
      </c>
      <c r="J1842" s="6" t="str">
        <f>HYPERLINK("https://www.biovista.com/db/link/%5B%5B%22Disease%7CPMM2%20deficiency%22%5D,%20%5B%22Drug%7CLevetiracetam%22%5D%5D?strength-weight-map=%257B%2522MEDLINE_STRENGTH_AB%2522:1.0,%2522HPO%2522:100.0%257D", "Show Evidence...")</f>
        <v>Show Evidence...</v>
      </c>
    </row>
    <row r="1843" spans="1:10" ht="12.75">
      <c r="A1843" s="2" t="s">
        <v>50</v>
      </c>
      <c r="B1843" s="2" t="s">
        <v>2961</v>
      </c>
      <c r="C1843" s="2" t="s">
        <v>24</v>
      </c>
      <c r="D1843" s="2" t="s">
        <v>2962</v>
      </c>
      <c r="E1843" s="2" t="s">
        <v>53</v>
      </c>
      <c r="F1843" s="11" t="s">
        <v>2397</v>
      </c>
      <c r="G1843" t="s">
        <v>39</v>
      </c>
      <c r="H1843" t="s">
        <v>2398</v>
      </c>
      <c r="I1843" t="s">
        <v>2987</v>
      </c>
      <c r="J1843" s="6" t="str">
        <f>HYPERLINK("https://www.biovista.com/db/link/%5B%5B%22Disease%7CPMM2%20deficiency%22%5D,%20%5B%22Drug%7CNitrous%20Oxide%22%5D%5D?strength-weight-map=%257B%2522MEDLINE_STRENGTH_AB%2522:1.0,%2522HPO%2522:100.0%257D", "Show Evidence...")</f>
        <v>Show Evidence...</v>
      </c>
    </row>
    <row r="1844" spans="1:10" ht="12.75">
      <c r="A1844" s="2" t="s">
        <v>50</v>
      </c>
      <c r="B1844" s="2" t="s">
        <v>2961</v>
      </c>
      <c r="C1844" s="2" t="s">
        <v>24</v>
      </c>
      <c r="D1844" s="2" t="s">
        <v>2962</v>
      </c>
      <c r="E1844" s="2" t="s">
        <v>53</v>
      </c>
      <c r="F1844" s="11" t="s">
        <v>3006</v>
      </c>
      <c r="G1844" t="s">
        <v>39</v>
      </c>
      <c r="H1844" t="s">
        <v>3007</v>
      </c>
      <c r="I1844" t="s">
        <v>2987</v>
      </c>
      <c r="J1844" s="6" t="str">
        <f>HYPERLINK("https://www.biovista.com/db/link/%5B%5B%22Disease%7CPMM2%20deficiency%22%5D,%20%5B%22Drug%7CProtamines%22%5D%5D?strength-weight-map=%257B%2522MEDLINE_STRENGTH_AB%2522:1.0,%2522HPO%2522:100.0%257D", "Show Evidence...")</f>
        <v>Show Evidence...</v>
      </c>
    </row>
    <row r="1845" spans="1:10" ht="12.75">
      <c r="A1845" s="2" t="s">
        <v>50</v>
      </c>
      <c r="B1845" s="2" t="s">
        <v>2961</v>
      </c>
      <c r="C1845" s="2" t="s">
        <v>24</v>
      </c>
      <c r="D1845" s="2" t="s">
        <v>2962</v>
      </c>
      <c r="E1845" s="2" t="s">
        <v>53</v>
      </c>
      <c r="F1845" s="11" t="s">
        <v>3008</v>
      </c>
      <c r="G1845" t="s">
        <v>39</v>
      </c>
      <c r="H1845" t="s">
        <v>3009</v>
      </c>
      <c r="I1845" t="s">
        <v>2987</v>
      </c>
      <c r="J1845" s="6" t="str">
        <f>HYPERLINK("https://www.biovista.com/db/link/%5B%5B%22Disease%7CPMM2%20deficiency%22%5D,%20%5B%22Drug%7CProteinase%20Inhibitory%20Proteins,%20Secretory%22%5D%5D?strength-weight-map=%257B%2522MEDLINE_STRENGTH_AB%2522:1.0,%2522HPO%2522:100.0%257D", "Show Evidence...")</f>
        <v>Show Evidence...</v>
      </c>
    </row>
    <row r="1846" spans="1:10" ht="12.75">
      <c r="A1846" s="2" t="s">
        <v>50</v>
      </c>
      <c r="B1846" s="2" t="s">
        <v>2961</v>
      </c>
      <c r="C1846" s="2" t="s">
        <v>24</v>
      </c>
      <c r="D1846" s="2" t="s">
        <v>2962</v>
      </c>
      <c r="E1846" s="2" t="s">
        <v>53</v>
      </c>
      <c r="F1846" s="11" t="s">
        <v>1003</v>
      </c>
      <c r="G1846" t="s">
        <v>39</v>
      </c>
      <c r="H1846" t="s">
        <v>1004</v>
      </c>
      <c r="I1846" t="s">
        <v>2987</v>
      </c>
      <c r="J1846" s="6" t="str">
        <f>HYPERLINK("https://www.biovista.com/db/link/%5B%5B%22Disease%7CPMM2%20deficiency%22%5D,%20%5B%22Drug%7CPyridoxine%22%5D%5D?strength-weight-map=%257B%2522MEDLINE_STRENGTH_AB%2522:1.0,%2522HPO%2522:100.0%257D", "Show Evidence...")</f>
        <v>Show Evidence...</v>
      </c>
    </row>
    <row r="1847" spans="1:10" ht="12.75">
      <c r="A1847" s="2" t="s">
        <v>50</v>
      </c>
      <c r="B1847" s="2" t="s">
        <v>2961</v>
      </c>
      <c r="C1847" s="2" t="s">
        <v>24</v>
      </c>
      <c r="D1847" s="2" t="s">
        <v>2962</v>
      </c>
      <c r="E1847" s="2" t="s">
        <v>53</v>
      </c>
      <c r="F1847" s="11" t="s">
        <v>209</v>
      </c>
      <c r="G1847" t="s">
        <v>39</v>
      </c>
      <c r="H1847" t="s">
        <v>210</v>
      </c>
      <c r="I1847" t="s">
        <v>2987</v>
      </c>
      <c r="J1847" s="6" t="str">
        <f>HYPERLINK("https://www.biovista.com/db/link/%5B%5B%22Disease%7CPMM2%20deficiency%22%5D,%20%5B%22Drug%7CRivaroxaban%22%5D%5D?strength-weight-map=%257B%2522MEDLINE_STRENGTH_AB%2522:1.0,%2522HPO%2522:100.0%257D", "Show Evidence...")</f>
        <v>Show Evidence...</v>
      </c>
    </row>
    <row r="1848" spans="1:10" ht="12.75">
      <c r="A1848" s="2" t="s">
        <v>50</v>
      </c>
      <c r="B1848" s="2" t="s">
        <v>2961</v>
      </c>
      <c r="C1848" s="2" t="s">
        <v>24</v>
      </c>
      <c r="D1848" s="2" t="s">
        <v>2962</v>
      </c>
      <c r="E1848" s="2" t="s">
        <v>53</v>
      </c>
      <c r="F1848" s="11" t="s">
        <v>2400</v>
      </c>
      <c r="G1848" t="s">
        <v>39</v>
      </c>
      <c r="H1848" t="s">
        <v>2401</v>
      </c>
      <c r="I1848" t="s">
        <v>2987</v>
      </c>
      <c r="J1848" s="6" t="str">
        <f>HYPERLINK("https://www.biovista.com/db/link/%5B%5B%22Disease%7CPMM2%20deficiency%22%5D,%20%5B%22Drug%7CRocuronium%22%5D%5D?strength-weight-map=%257B%2522MEDLINE_STRENGTH_AB%2522:1.0,%2522HPO%2522:100.0%257D", "Show Evidence...")</f>
        <v>Show Evidence...</v>
      </c>
    </row>
    <row r="1849" spans="1:10" ht="12.75">
      <c r="A1849" s="2" t="s">
        <v>50</v>
      </c>
      <c r="B1849" s="2" t="s">
        <v>2961</v>
      </c>
      <c r="C1849" s="2" t="s">
        <v>24</v>
      </c>
      <c r="D1849" s="2" t="s">
        <v>2962</v>
      </c>
      <c r="E1849" s="2" t="s">
        <v>53</v>
      </c>
      <c r="F1849" s="11" t="s">
        <v>3010</v>
      </c>
      <c r="G1849" t="s">
        <v>39</v>
      </c>
      <c r="H1849" t="s">
        <v>3011</v>
      </c>
      <c r="I1849" t="s">
        <v>2987</v>
      </c>
      <c r="J1849" s="6" t="str">
        <f>HYPERLINK("https://www.biovista.com/db/link/%5B%5B%22Disease%7CPMM2%20deficiency%22%5D,%20%5B%22Drug%7CRV%20538%22%5D%5D?strength-weight-map=%257B%2522MEDLINE_STRENGTH_AB%2522:1.0,%2522HPO%2522:100.0%257D", "Show Evidence...")</f>
        <v>Show Evidence...</v>
      </c>
    </row>
    <row r="1850" spans="1:10" ht="12.75">
      <c r="A1850" s="2" t="s">
        <v>50</v>
      </c>
      <c r="B1850" s="2" t="s">
        <v>2961</v>
      </c>
      <c r="C1850" s="2" t="s">
        <v>24</v>
      </c>
      <c r="D1850" s="2" t="s">
        <v>2962</v>
      </c>
      <c r="E1850" s="2" t="s">
        <v>53</v>
      </c>
      <c r="F1850" s="11" t="s">
        <v>3012</v>
      </c>
      <c r="G1850" t="s">
        <v>39</v>
      </c>
      <c r="H1850" t="s">
        <v>3013</v>
      </c>
      <c r="I1850" t="s">
        <v>2987</v>
      </c>
      <c r="J1850" s="6" t="str">
        <f>HYPERLINK("https://www.biovista.com/db/link/%5B%5B%22Disease%7CPMM2%20deficiency%22%5D,%20%5B%22Drug%7CSerum%20Albumin,%20Human%22%5D%5D?strength-weight-map=%257B%2522MEDLINE_STRENGTH_AB%2522:1.0,%2522HPO%2522:100.0%257D", "Show Evidence...")</f>
        <v>Show Evidence...</v>
      </c>
    </row>
    <row r="1851" spans="1:10" ht="12.75">
      <c r="A1851" s="2" t="s">
        <v>50</v>
      </c>
      <c r="B1851" s="2" t="s">
        <v>2961</v>
      </c>
      <c r="C1851" s="2" t="s">
        <v>24</v>
      </c>
      <c r="D1851" s="2" t="s">
        <v>2962</v>
      </c>
      <c r="E1851" s="2" t="s">
        <v>53</v>
      </c>
      <c r="F1851" s="11" t="s">
        <v>1873</v>
      </c>
      <c r="G1851" t="s">
        <v>39</v>
      </c>
      <c r="H1851" t="s">
        <v>1874</v>
      </c>
      <c r="I1851" t="s">
        <v>2987</v>
      </c>
      <c r="J1851" s="6" t="str">
        <f>HYPERLINK("https://www.biovista.com/db/link/%5B%5B%22Disease%7CPMM2%20deficiency%22%5D,%20%5B%22Drug%7CSevoflurane%22%5D%5D?strength-weight-map=%257B%2522MEDLINE_STRENGTH_AB%2522:1.0,%2522HPO%2522:100.0%257D", "Show Evidence...")</f>
        <v>Show Evidence...</v>
      </c>
    </row>
    <row r="1852" spans="1:10" ht="12.75">
      <c r="A1852" s="2" t="s">
        <v>50</v>
      </c>
      <c r="B1852" s="2" t="s">
        <v>2961</v>
      </c>
      <c r="C1852" s="2" t="s">
        <v>24</v>
      </c>
      <c r="D1852" s="2" t="s">
        <v>2962</v>
      </c>
      <c r="E1852" s="2" t="s">
        <v>53</v>
      </c>
      <c r="F1852" s="11" t="s">
        <v>2402</v>
      </c>
      <c r="G1852" t="s">
        <v>39</v>
      </c>
      <c r="H1852" t="s">
        <v>2403</v>
      </c>
      <c r="I1852" t="s">
        <v>2987</v>
      </c>
      <c r="J1852" s="6" t="str">
        <f>HYPERLINK("https://www.biovista.com/db/link/%5B%5B%22Disease%7CPMM2%20deficiency%22%5D,%20%5B%22Drug%7CSugammadex%22%5D%5D?strength-weight-map=%257B%2522MEDLINE_STRENGTH_AB%2522:1.0,%2522HPO%2522:100.0%257D", "Show Evidence...")</f>
        <v>Show Evidence...</v>
      </c>
    </row>
    <row r="1853" spans="1:10" ht="12.75">
      <c r="A1853" s="2" t="s">
        <v>50</v>
      </c>
      <c r="B1853" s="2" t="s">
        <v>2961</v>
      </c>
      <c r="C1853" s="2" t="s">
        <v>24</v>
      </c>
      <c r="D1853" s="2" t="s">
        <v>2962</v>
      </c>
      <c r="E1853" s="2" t="s">
        <v>53</v>
      </c>
      <c r="F1853" s="11" t="s">
        <v>3014</v>
      </c>
      <c r="G1853" t="s">
        <v>39</v>
      </c>
      <c r="H1853" t="s">
        <v>3015</v>
      </c>
      <c r="I1853" t="s">
        <v>2987</v>
      </c>
      <c r="J1853" s="6" t="str">
        <f>HYPERLINK("https://www.biovista.com/db/link/%5B%5B%22Disease%7CPMM2%20deficiency%22%5D,%20%5B%22Drug%7Csulforaphane%22%5D%5D?strength-weight-map=%257B%2522MEDLINE_STRENGTH_AB%2522:1.0,%2522HPO%2522:100.0%257D", "Show Evidence...")</f>
        <v>Show Evidence...</v>
      </c>
    </row>
    <row r="1854" spans="1:10" ht="12.75">
      <c r="A1854" s="2" t="s">
        <v>50</v>
      </c>
      <c r="B1854" s="2" t="s">
        <v>2961</v>
      </c>
      <c r="C1854" s="2" t="s">
        <v>24</v>
      </c>
      <c r="D1854" s="2" t="s">
        <v>2962</v>
      </c>
      <c r="E1854" s="2" t="s">
        <v>53</v>
      </c>
      <c r="F1854" s="11" t="s">
        <v>1829</v>
      </c>
      <c r="G1854" t="s">
        <v>39</v>
      </c>
      <c r="H1854" t="s">
        <v>1830</v>
      </c>
      <c r="I1854" t="s">
        <v>2987</v>
      </c>
      <c r="J1854" s="6" t="str">
        <f>HYPERLINK("https://www.biovista.com/db/link/%5B%5B%22Disease%7CPMM2%20deficiency%22%5D,%20%5B%22Drug%7CThiamine%22%5D%5D?strength-weight-map=%257B%2522MEDLINE_STRENGTH_AB%2522:1.0,%2522HPO%2522:100.0%257D", "Show Evidence...")</f>
        <v>Show Evidence...</v>
      </c>
    </row>
    <row r="1855" spans="1:10" ht="12.75">
      <c r="A1855" s="2" t="s">
        <v>50</v>
      </c>
      <c r="B1855" s="2" t="s">
        <v>2961</v>
      </c>
      <c r="C1855" s="2" t="s">
        <v>24</v>
      </c>
      <c r="D1855" s="2" t="s">
        <v>2962</v>
      </c>
      <c r="E1855" s="2" t="s">
        <v>53</v>
      </c>
      <c r="F1855" s="11" t="s">
        <v>2467</v>
      </c>
      <c r="G1855" t="s">
        <v>39</v>
      </c>
      <c r="H1855" t="s">
        <v>2468</v>
      </c>
      <c r="I1855" t="s">
        <v>2987</v>
      </c>
      <c r="J1855" s="6" t="str">
        <f>HYPERLINK("https://www.biovista.com/db/link/%5B%5B%22Disease%7CPMM2%20deficiency%22%5D,%20%5B%22Drug%7CTriiodothyronine%22%5D%5D?strength-weight-map=%257B%2522MEDLINE_STRENGTH_AB%2522:1.0,%2522HPO%2522:100.0%257D", "Show Evidence...")</f>
        <v>Show Evidence...</v>
      </c>
    </row>
    <row r="1856" spans="1:10" ht="12.75">
      <c r="A1856" s="2" t="s">
        <v>50</v>
      </c>
      <c r="B1856" s="2" t="s">
        <v>2961</v>
      </c>
      <c r="C1856" s="2" t="s">
        <v>24</v>
      </c>
      <c r="D1856" s="2" t="s">
        <v>2962</v>
      </c>
      <c r="E1856" s="2" t="s">
        <v>53</v>
      </c>
      <c r="F1856" s="11" t="s">
        <v>1007</v>
      </c>
      <c r="G1856" t="s">
        <v>39</v>
      </c>
      <c r="H1856" t="s">
        <v>1008</v>
      </c>
      <c r="I1856" t="s">
        <v>2987</v>
      </c>
      <c r="J1856" s="6" t="str">
        <f>HYPERLINK("https://www.biovista.com/db/link/%5B%5B%22Disease%7CPMM2%20deficiency%22%5D,%20%5B%22Drug%7CValproic%20Acid%22%5D%5D?strength-weight-map=%257B%2522MEDLINE_STRENGTH_AB%2522:1.0,%2522HPO%2522:100.0%257D", "Show Evidence...")</f>
        <v>Show Evidence...</v>
      </c>
    </row>
    <row r="1857" spans="1:10" ht="12.75">
      <c r="A1857" s="2" t="s">
        <v>50</v>
      </c>
      <c r="B1857" s="2" t="s">
        <v>2961</v>
      </c>
      <c r="C1857" s="2" t="s">
        <v>24</v>
      </c>
      <c r="D1857" s="2" t="s">
        <v>2962</v>
      </c>
      <c r="E1857" s="2" t="s">
        <v>53</v>
      </c>
      <c r="F1857" s="11" t="s">
        <v>3016</v>
      </c>
      <c r="G1857" t="s">
        <v>39</v>
      </c>
      <c r="H1857" t="s">
        <v>3017</v>
      </c>
      <c r="I1857" t="s">
        <v>2987</v>
      </c>
      <c r="J1857" s="6" t="str">
        <f>HYPERLINK("https://www.biovista.com/db/link/%5B%5B%22Disease%7CPMM2%20deficiency%22%5D,%20%5B%22Drug%7CXylose%22%5D%5D?strength-weight-map=%257B%2522MEDLINE_STRENGTH_AB%2522:1.0,%2522HPO%2522:100.0%257D", "Show Evidence...")</f>
        <v>Show Evidence...</v>
      </c>
    </row>
    <row r="1858" spans="1:10" ht="12.75">
      <c r="A1858" s="2" t="s">
        <v>50</v>
      </c>
      <c r="B1858" s="2" t="s">
        <v>2961</v>
      </c>
      <c r="C1858" s="2" t="s">
        <v>24</v>
      </c>
      <c r="D1858" s="2" t="s">
        <v>2962</v>
      </c>
      <c r="E1858" s="2" t="s">
        <v>293</v>
      </c>
      <c r="F1858" s="11">
        <v>5373</v>
      </c>
      <c r="G1858" t="s">
        <v>36</v>
      </c>
      <c r="H1858" t="s">
        <v>3018</v>
      </c>
      <c r="I1858" t="s">
        <v>3019</v>
      </c>
      <c r="J1858" s="6" t="str">
        <f>HYPERLINK("https://www.biovista.com/db/link/%5B%5B%22Disease%7CPMM2%20deficiency%22%5D,%20%5B%22Gene%7CPMM2%22%5D%5D?strength-weight-map=%257B%2522MEDLINE_STRENGTH_AB%2522:1.0,%2522HPO%2522:100.0%257D", "Show Evidence...")</f>
        <v>Show Evidence...</v>
      </c>
    </row>
    <row r="1859" spans="1:10" ht="12.75">
      <c r="A1859" s="2" t="s">
        <v>50</v>
      </c>
      <c r="B1859" s="2" t="s">
        <v>2961</v>
      </c>
      <c r="C1859" s="2" t="s">
        <v>24</v>
      </c>
      <c r="D1859" s="2" t="s">
        <v>2962</v>
      </c>
      <c r="E1859" s="2" t="s">
        <v>53</v>
      </c>
      <c r="F1859" s="11" t="s">
        <v>3020</v>
      </c>
      <c r="G1859" t="s">
        <v>36</v>
      </c>
      <c r="H1859" t="s">
        <v>3021</v>
      </c>
      <c r="I1859" t="s">
        <v>3022</v>
      </c>
      <c r="J1859" s="6" t="str">
        <f>HYPERLINK("https://www.biovista.com/db/link/%5B%5B%22Disease%7CPMM2%20deficiency%22%5D,%20%5B%22Gene%7CPhosphotransferases%20(Phosphomutases)%22%5D%5D?strength-weight-map=%257B%2522MEDLINE_STRENGTH_AB%2522:1.0,%2522HPO%2522:100.0%257D", "Show Evidence...")</f>
        <v>Show Evidence...</v>
      </c>
    </row>
    <row r="1860" spans="1:10" ht="12.75">
      <c r="A1860" s="2" t="s">
        <v>50</v>
      </c>
      <c r="B1860" s="2" t="s">
        <v>2961</v>
      </c>
      <c r="C1860" s="2" t="s">
        <v>24</v>
      </c>
      <c r="D1860" s="2" t="s">
        <v>2962</v>
      </c>
      <c r="E1860" s="2" t="s">
        <v>293</v>
      </c>
      <c r="F1860" s="11">
        <v>125768785</v>
      </c>
      <c r="G1860" t="s">
        <v>36</v>
      </c>
      <c r="H1860" t="s">
        <v>3023</v>
      </c>
      <c r="I1860" t="s">
        <v>3024</v>
      </c>
      <c r="J1860" s="6" t="str">
        <f>HYPERLINK("https://www.biovista.com/db/link/%5B%5B%22Disease%7CPMM2%20deficiency%22%5D,%20%5B%22Gene%7Cphosphomannomutase%22%5D%5D?strength-weight-map=%257B%2522MEDLINE_STRENGTH_AB%2522:1.0,%2522HPO%2522:100.0%257D", "Show Evidence...")</f>
        <v>Show Evidence...</v>
      </c>
    </row>
    <row r="1861" spans="1:10" ht="12.75">
      <c r="A1861" s="2" t="s">
        <v>50</v>
      </c>
      <c r="B1861" s="2" t="s">
        <v>2961</v>
      </c>
      <c r="C1861" s="2" t="s">
        <v>24</v>
      </c>
      <c r="D1861" s="2" t="s">
        <v>2962</v>
      </c>
      <c r="E1861" s="2" t="s">
        <v>293</v>
      </c>
      <c r="F1861" s="11">
        <v>5373</v>
      </c>
      <c r="G1861" t="s">
        <v>36</v>
      </c>
      <c r="H1861" t="s">
        <v>3025</v>
      </c>
      <c r="I1861" t="s">
        <v>3026</v>
      </c>
      <c r="J1861" s="6" t="str">
        <f>HYPERLINK("https://www.biovista.com/db/link/%5B%5B%22Disease%7CPMM2%20deficiency%22%5D,%20%5B%22Gene%7Cphosphomannomutase%202%22%5D%5D?strength-weight-map=%257B%2522MEDLINE_STRENGTH_AB%2522:1.0,%2522HPO%2522:100.0%257D", "Show Evidence...")</f>
        <v>Show Evidence...</v>
      </c>
    </row>
    <row r="1862" spans="1:10" ht="12.75">
      <c r="A1862" s="2" t="s">
        <v>50</v>
      </c>
      <c r="B1862" s="2" t="s">
        <v>2961</v>
      </c>
      <c r="C1862" s="2" t="s">
        <v>24</v>
      </c>
      <c r="D1862" s="2" t="s">
        <v>2962</v>
      </c>
      <c r="E1862" s="2" t="s">
        <v>293</v>
      </c>
      <c r="F1862" s="11">
        <v>7018</v>
      </c>
      <c r="G1862" t="s">
        <v>36</v>
      </c>
      <c r="H1862" t="s">
        <v>3027</v>
      </c>
      <c r="I1862" t="s">
        <v>3028</v>
      </c>
      <c r="J1862" s="6" t="str">
        <f>HYPERLINK("https://www.biovista.com/db/link/%5B%5B%22Disease%7CPMM2%20deficiency%22%5D,%20%5B%22Gene%7Ctransferrin%22%5D%5D?strength-weight-map=%257B%2522MEDLINE_STRENGTH_AB%2522:1.0,%2522HPO%2522:100.0%257D", "Show Evidence...")</f>
        <v>Show Evidence...</v>
      </c>
    </row>
    <row r="1863" spans="1:10" ht="12.75">
      <c r="A1863" s="2" t="s">
        <v>50</v>
      </c>
      <c r="B1863" s="2" t="s">
        <v>2961</v>
      </c>
      <c r="C1863" s="2" t="s">
        <v>24</v>
      </c>
      <c r="D1863" s="2" t="s">
        <v>2962</v>
      </c>
      <c r="E1863" s="2" t="s">
        <v>293</v>
      </c>
      <c r="F1863" s="11">
        <v>4337437</v>
      </c>
      <c r="G1863" t="s">
        <v>36</v>
      </c>
      <c r="H1863" t="s">
        <v>3029</v>
      </c>
      <c r="I1863" t="s">
        <v>3030</v>
      </c>
      <c r="J1863" s="6" t="str">
        <f>HYPERLINK("https://www.biovista.com/db/link/%5B%5B%22Disease%7CPMM2%20deficiency%22%5D,%20%5B%22Gene%7CPMM%22%5D%5D?strength-weight-map=%257B%2522MEDLINE_STRENGTH_AB%2522:1.0,%2522HPO%2522:100.0%257D", "Show Evidence...")</f>
        <v>Show Evidence...</v>
      </c>
    </row>
    <row r="1864" spans="1:10" ht="12.75">
      <c r="A1864" s="2" t="s">
        <v>50</v>
      </c>
      <c r="B1864" s="2" t="s">
        <v>2961</v>
      </c>
      <c r="C1864" s="2" t="s">
        <v>24</v>
      </c>
      <c r="D1864" s="2" t="s">
        <v>2962</v>
      </c>
      <c r="E1864" s="2" t="s">
        <v>293</v>
      </c>
      <c r="F1864" s="11">
        <v>2152</v>
      </c>
      <c r="G1864" t="s">
        <v>36</v>
      </c>
      <c r="H1864" t="s">
        <v>3031</v>
      </c>
      <c r="I1864" t="s">
        <v>3032</v>
      </c>
      <c r="J1864" s="6" t="str">
        <f>HYPERLINK("https://www.biovista.com/db/link/%5B%5B%22Disease%7CPMM2%20deficiency%22%5D,%20%5B%22Gene%7CTF%22%5D%5D?strength-weight-map=%257B%2522MEDLINE_STRENGTH_AB%2522:1.0,%2522HPO%2522:100.0%257D", "Show Evidence...")</f>
        <v>Show Evidence...</v>
      </c>
    </row>
    <row r="1865" spans="1:10" ht="12.75">
      <c r="A1865" s="2" t="s">
        <v>50</v>
      </c>
      <c r="B1865" s="2" t="s">
        <v>2961</v>
      </c>
      <c r="C1865" s="2" t="s">
        <v>24</v>
      </c>
      <c r="D1865" s="2" t="s">
        <v>2962</v>
      </c>
      <c r="E1865" s="2" t="s">
        <v>293</v>
      </c>
      <c r="F1865" s="11">
        <v>8616650</v>
      </c>
      <c r="G1865" t="s">
        <v>36</v>
      </c>
      <c r="H1865" t="s">
        <v>3033</v>
      </c>
      <c r="I1865" t="s">
        <v>3034</v>
      </c>
      <c r="J1865" s="6" t="str">
        <f>HYPERLINK("https://www.biovista.com/db/link/%5B%5B%22Disease%7CPMM2%20deficiency%22%5D,%20%5B%22Gene%7CmanC%22%5D%5D?strength-weight-map=%257B%2522MEDLINE_STRENGTH_AB%2522:1.0,%2522HPO%2522:100.0%257D", "Show Evidence...")</f>
        <v>Show Evidence...</v>
      </c>
    </row>
    <row r="1866" spans="1:10" ht="12.75">
      <c r="A1866" s="2" t="s">
        <v>50</v>
      </c>
      <c r="B1866" s="2" t="s">
        <v>2961</v>
      </c>
      <c r="C1866" s="2" t="s">
        <v>24</v>
      </c>
      <c r="D1866" s="2" t="s">
        <v>2962</v>
      </c>
      <c r="E1866" s="2" t="s">
        <v>293</v>
      </c>
      <c r="F1866" s="11">
        <v>11905</v>
      </c>
      <c r="G1866" t="s">
        <v>36</v>
      </c>
      <c r="H1866" t="s">
        <v>3035</v>
      </c>
      <c r="I1866" t="s">
        <v>2965</v>
      </c>
      <c r="J1866" s="6" t="str">
        <f>HYPERLINK("https://www.biovista.com/db/link/%5B%5B%22Disease%7CPMM2%20deficiency%22%5D,%20%5B%22Gene%7Cantithrombin%22%5D%5D?strength-weight-map=%257B%2522MEDLINE_STRENGTH_AB%2522:1.0,%2522HPO%2522:100.0%257D", "Show Evidence...")</f>
        <v>Show Evidence...</v>
      </c>
    </row>
    <row r="1867" spans="1:10" ht="12.75">
      <c r="A1867" s="2" t="s">
        <v>50</v>
      </c>
      <c r="B1867" s="2" t="s">
        <v>2961</v>
      </c>
      <c r="C1867" s="2" t="s">
        <v>24</v>
      </c>
      <c r="D1867" s="2" t="s">
        <v>2962</v>
      </c>
      <c r="E1867" s="2" t="s">
        <v>293</v>
      </c>
      <c r="F1867" s="11">
        <v>4351</v>
      </c>
      <c r="G1867" t="s">
        <v>36</v>
      </c>
      <c r="H1867" t="s">
        <v>3036</v>
      </c>
      <c r="I1867" t="s">
        <v>2965</v>
      </c>
      <c r="J1867" s="6" t="str">
        <f>HYPERLINK("https://www.biovista.com/db/link/%5B%5B%22Disease%7CPMM2%20deficiency%22%5D,%20%5B%22Gene%7Cmannose-6-phosphate%20isomerase%22%5D%5D?strength-weight-map=%257B%2522MEDLINE_STRENGTH_AB%2522:1.0,%2522HPO%2522:100.0%257D", "Show Evidence...")</f>
        <v>Show Evidence...</v>
      </c>
    </row>
    <row r="1868" spans="1:10" ht="12.75">
      <c r="A1868" s="2" t="s">
        <v>50</v>
      </c>
      <c r="B1868" s="2" t="s">
        <v>2961</v>
      </c>
      <c r="C1868" s="2" t="s">
        <v>24</v>
      </c>
      <c r="D1868" s="2" t="s">
        <v>2962</v>
      </c>
      <c r="E1868" s="2" t="s">
        <v>293</v>
      </c>
      <c r="F1868" s="11">
        <v>110119</v>
      </c>
      <c r="G1868" t="s">
        <v>36</v>
      </c>
      <c r="H1868" t="s">
        <v>3037</v>
      </c>
      <c r="I1868" t="s">
        <v>3038</v>
      </c>
      <c r="J1868" s="6" t="str">
        <f>HYPERLINK("https://www.biovista.com/db/link/%5B%5B%22Disease%7CPMM2%20deficiency%22%5D,%20%5B%22Gene%7CPhosphomannose%20isomerase%22%5D%5D?strength-weight-map=%257B%2522MEDLINE_STRENGTH_AB%2522:1.0,%2522HPO%2522:100.0%257D", "Show Evidence...")</f>
        <v>Show Evidence...</v>
      </c>
    </row>
    <row r="1869" spans="1:10" ht="12.75">
      <c r="A1869" s="2" t="s">
        <v>50</v>
      </c>
      <c r="B1869" s="2" t="s">
        <v>2961</v>
      </c>
      <c r="C1869" s="2" t="s">
        <v>24</v>
      </c>
      <c r="D1869" s="2" t="s">
        <v>2962</v>
      </c>
      <c r="E1869" s="2" t="s">
        <v>293</v>
      </c>
      <c r="F1869" s="11">
        <v>5372</v>
      </c>
      <c r="G1869" t="s">
        <v>36</v>
      </c>
      <c r="H1869" t="s">
        <v>3039</v>
      </c>
      <c r="I1869" t="s">
        <v>3038</v>
      </c>
      <c r="J1869" s="6" t="str">
        <f>HYPERLINK("https://www.biovista.com/db/link/%5B%5B%22Disease%7CPMM2%20deficiency%22%5D,%20%5B%22Gene%7CPMM1%22%5D%5D?strength-weight-map=%257B%2522MEDLINE_STRENGTH_AB%2522:1.0,%2522HPO%2522:100.0%257D", "Show Evidence...")</f>
        <v>Show Evidence...</v>
      </c>
    </row>
    <row r="1870" spans="1:10" ht="12.75">
      <c r="A1870" s="2" t="s">
        <v>50</v>
      </c>
      <c r="B1870" s="2" t="s">
        <v>2961</v>
      </c>
      <c r="C1870" s="2" t="s">
        <v>24</v>
      </c>
      <c r="D1870" s="2" t="s">
        <v>2962</v>
      </c>
      <c r="E1870" s="2" t="s">
        <v>293</v>
      </c>
      <c r="F1870" s="11">
        <v>5554</v>
      </c>
      <c r="G1870" t="s">
        <v>36</v>
      </c>
      <c r="H1870" t="s">
        <v>3040</v>
      </c>
      <c r="I1870" t="s">
        <v>3038</v>
      </c>
      <c r="J1870" s="6" t="str">
        <f>HYPERLINK("https://www.biovista.com/db/link/%5B%5B%22Disease%7CPMM2%20deficiency%22%5D,%20%5B%22Gene%7Cprotein%20C%22%5D%5D?strength-weight-map=%257B%2522MEDLINE_STRENGTH_AB%2522:1.0,%2522HPO%2522:100.0%257D", "Show Evidence...")</f>
        <v>Show Evidence...</v>
      </c>
    </row>
    <row r="1871" spans="1:10" ht="12.75">
      <c r="A1871" s="2" t="s">
        <v>50</v>
      </c>
      <c r="B1871" s="2" t="s">
        <v>2961</v>
      </c>
      <c r="C1871" s="2" t="s">
        <v>24</v>
      </c>
      <c r="D1871" s="2" t="s">
        <v>2962</v>
      </c>
      <c r="E1871" s="2" t="s">
        <v>293</v>
      </c>
      <c r="F1871" s="11">
        <v>29929</v>
      </c>
      <c r="G1871" t="s">
        <v>36</v>
      </c>
      <c r="H1871" t="s">
        <v>3041</v>
      </c>
      <c r="I1871" t="s">
        <v>3042</v>
      </c>
      <c r="J1871" s="6" t="str">
        <f>HYPERLINK("https://www.biovista.com/db/link/%5B%5B%22Disease%7CPMM2%20deficiency%22%5D,%20%5B%22Gene%7CALG6%22%5D%5D?strength-weight-map=%257B%2522MEDLINE_STRENGTH_AB%2522:1.0,%2522HPO%2522:100.0%257D", "Show Evidence...")</f>
        <v>Show Evidence...</v>
      </c>
    </row>
    <row r="1872" spans="1:10" ht="12.75">
      <c r="A1872" s="2" t="s">
        <v>50</v>
      </c>
      <c r="B1872" s="2" t="s">
        <v>2961</v>
      </c>
      <c r="C1872" s="2" t="s">
        <v>24</v>
      </c>
      <c r="D1872" s="2" t="s">
        <v>2962</v>
      </c>
      <c r="E1872" s="2" t="s">
        <v>293</v>
      </c>
      <c r="F1872" s="11">
        <v>4351</v>
      </c>
      <c r="G1872" t="s">
        <v>36</v>
      </c>
      <c r="H1872" t="s">
        <v>3043</v>
      </c>
      <c r="I1872" t="s">
        <v>3042</v>
      </c>
      <c r="J1872" s="6" t="str">
        <f>HYPERLINK("https://www.biovista.com/db/link/%5B%5B%22Disease%7CPMM2%20deficiency%22%5D,%20%5B%22Gene%7CMPI%22%5D%5D?strength-weight-map=%257B%2522MEDLINE_STRENGTH_AB%2522:1.0,%2522HPO%2522:100.0%257D", "Show Evidence...")</f>
        <v>Show Evidence...</v>
      </c>
    </row>
    <row r="1873" spans="1:10" ht="12.75">
      <c r="A1873" s="2" t="s">
        <v>50</v>
      </c>
      <c r="B1873" s="2" t="s">
        <v>2961</v>
      </c>
      <c r="C1873" s="2" t="s">
        <v>24</v>
      </c>
      <c r="D1873" s="2" t="s">
        <v>2962</v>
      </c>
      <c r="E1873" s="2" t="s">
        <v>293</v>
      </c>
      <c r="F1873" s="11">
        <v>1040</v>
      </c>
      <c r="G1873" t="s">
        <v>36</v>
      </c>
      <c r="H1873" t="s">
        <v>3044</v>
      </c>
      <c r="I1873" t="s">
        <v>2968</v>
      </c>
      <c r="J1873" s="6" t="str">
        <f>HYPERLINK("https://www.biovista.com/db/link/%5B%5B%22Disease%7CPMM2%20deficiency%22%5D,%20%5B%22Gene%7CCDS1%22%5D%5D?strength-weight-map=%257B%2522MEDLINE_STRENGTH_AB%2522:1.0,%2522HPO%2522:100.0%257D", "Show Evidence...")</f>
        <v>Show Evidence...</v>
      </c>
    </row>
    <row r="1874" spans="1:10" ht="12.75">
      <c r="A1874" s="2" t="s">
        <v>50</v>
      </c>
      <c r="B1874" s="2" t="s">
        <v>2961</v>
      </c>
      <c r="C1874" s="2" t="s">
        <v>24</v>
      </c>
      <c r="D1874" s="2" t="s">
        <v>2962</v>
      </c>
      <c r="E1874" s="2" t="s">
        <v>53</v>
      </c>
      <c r="F1874" s="11" t="s">
        <v>1159</v>
      </c>
      <c r="G1874" t="s">
        <v>36</v>
      </c>
      <c r="H1874" t="s">
        <v>1160</v>
      </c>
      <c r="I1874" t="s">
        <v>2968</v>
      </c>
      <c r="J1874" s="6" t="str">
        <f>HYPERLINK("https://www.biovista.com/db/link/%5B%5B%22Disease%7CPMM2%20deficiency%22%5D,%20%5B%22Gene%7CNeuraminidase%22%5D%5D?strength-weight-map=%257B%2522MEDLINE_STRENGTH_AB%2522:1.0,%2522HPO%2522:100.0%257D", "Show Evidence...")</f>
        <v>Show Evidence...</v>
      </c>
    </row>
    <row r="1875" spans="1:10" ht="12.75">
      <c r="A1875" s="2" t="s">
        <v>50</v>
      </c>
      <c r="B1875" s="2" t="s">
        <v>2961</v>
      </c>
      <c r="C1875" s="2" t="s">
        <v>24</v>
      </c>
      <c r="D1875" s="2" t="s">
        <v>2962</v>
      </c>
      <c r="E1875" s="2" t="s">
        <v>293</v>
      </c>
      <c r="F1875" s="11">
        <v>56052</v>
      </c>
      <c r="G1875" t="s">
        <v>36</v>
      </c>
      <c r="H1875" t="s">
        <v>3045</v>
      </c>
      <c r="I1875" t="s">
        <v>2971</v>
      </c>
      <c r="J1875" s="6" t="str">
        <f>HYPERLINK("https://www.biovista.com/db/link/%5B%5B%22Disease%7CPMM2%20deficiency%22%5D,%20%5B%22Gene%7CALG1%22%5D%5D?strength-weight-map=%257B%2522MEDLINE_STRENGTH_AB%2522:1.0,%2522HPO%2522:100.0%257D", "Show Evidence...")</f>
        <v>Show Evidence...</v>
      </c>
    </row>
    <row r="1876" spans="1:10" ht="12.75">
      <c r="A1876" s="2" t="s">
        <v>50</v>
      </c>
      <c r="B1876" s="2" t="s">
        <v>2961</v>
      </c>
      <c r="C1876" s="2" t="s">
        <v>24</v>
      </c>
      <c r="D1876" s="2" t="s">
        <v>2962</v>
      </c>
      <c r="E1876" s="2" t="s">
        <v>293</v>
      </c>
      <c r="F1876" s="11">
        <v>10195</v>
      </c>
      <c r="G1876" t="s">
        <v>36</v>
      </c>
      <c r="H1876" t="s">
        <v>3046</v>
      </c>
      <c r="I1876" t="s">
        <v>2971</v>
      </c>
      <c r="J1876" s="6" t="str">
        <f>HYPERLINK("https://www.biovista.com/db/link/%5B%5B%22Disease%7CPMM2%20deficiency%22%5D,%20%5B%22Gene%7CALG3%22%5D%5D?strength-weight-map=%257B%2522MEDLINE_STRENGTH_AB%2522:1.0,%2522HPO%2522:100.0%257D", "Show Evidence...")</f>
        <v>Show Evidence...</v>
      </c>
    </row>
    <row r="1877" spans="1:10" ht="12.75">
      <c r="A1877" s="2" t="s">
        <v>50</v>
      </c>
      <c r="B1877" s="2" t="s">
        <v>2961</v>
      </c>
      <c r="C1877" s="2" t="s">
        <v>24</v>
      </c>
      <c r="D1877" s="2" t="s">
        <v>2962</v>
      </c>
      <c r="E1877" s="2" t="s">
        <v>293</v>
      </c>
      <c r="F1877" s="11">
        <v>304917</v>
      </c>
      <c r="G1877" t="s">
        <v>36</v>
      </c>
      <c r="H1877" t="s">
        <v>3047</v>
      </c>
      <c r="I1877" t="s">
        <v>2971</v>
      </c>
      <c r="J1877" s="6" t="str">
        <f>HYPERLINK("https://www.biovista.com/db/link/%5B%5B%22Disease%7CPMM2%20deficiency%22%5D,%20%5B%22Gene%7Cantithrombin%20III%22%5D%5D?strength-weight-map=%257B%2522MEDLINE_STRENGTH_AB%2522:1.0,%2522HPO%2522:100.0%257D", "Show Evidence...")</f>
        <v>Show Evidence...</v>
      </c>
    </row>
    <row r="1878" spans="1:10" ht="12.75">
      <c r="A1878" s="2" t="s">
        <v>50</v>
      </c>
      <c r="B1878" s="2" t="s">
        <v>2961</v>
      </c>
      <c r="C1878" s="2" t="s">
        <v>24</v>
      </c>
      <c r="D1878" s="2" t="s">
        <v>2962</v>
      </c>
      <c r="E1878" s="2" t="s">
        <v>293</v>
      </c>
      <c r="F1878" s="11">
        <v>100009596</v>
      </c>
      <c r="G1878" t="s">
        <v>36</v>
      </c>
      <c r="H1878" t="s">
        <v>3048</v>
      </c>
      <c r="I1878" t="s">
        <v>2971</v>
      </c>
      <c r="J1878" s="6" t="str">
        <f>HYPERLINK("https://www.biovista.com/db/link/%5B%5B%22Disease%7CPMM2%20deficiency%22%5D,%20%5B%22Gene%7Cfactor%20XI%22%5D%5D?strength-weight-map=%257B%2522MEDLINE_STRENGTH_AB%2522:1.0,%2522HPO%2522:100.0%257D", "Show Evidence...")</f>
        <v>Show Evidence...</v>
      </c>
    </row>
    <row r="1879" spans="1:10" ht="12.75">
      <c r="A1879" s="2" t="s">
        <v>50</v>
      </c>
      <c r="B1879" s="2" t="s">
        <v>2961</v>
      </c>
      <c r="C1879" s="2" t="s">
        <v>24</v>
      </c>
      <c r="D1879" s="2" t="s">
        <v>2962</v>
      </c>
      <c r="E1879" s="2" t="s">
        <v>293</v>
      </c>
      <c r="F1879" s="11">
        <v>5627</v>
      </c>
      <c r="G1879" t="s">
        <v>36</v>
      </c>
      <c r="H1879" t="s">
        <v>3049</v>
      </c>
      <c r="I1879" t="s">
        <v>2971</v>
      </c>
      <c r="J1879" s="6" t="str">
        <f>HYPERLINK("https://www.biovista.com/db/link/%5B%5B%22Disease%7CPMM2%20deficiency%22%5D,%20%5B%22Gene%7Cprotein%20S%22%5D%5D?strength-weight-map=%257B%2522MEDLINE_STRENGTH_AB%2522:1.0,%2522HPO%2522:100.0%257D", "Show Evidence...")</f>
        <v>Show Evidence...</v>
      </c>
    </row>
    <row r="1880" spans="1:10" ht="12.75">
      <c r="A1880" s="2" t="s">
        <v>50</v>
      </c>
      <c r="B1880" s="2" t="s">
        <v>2961</v>
      </c>
      <c r="C1880" s="2" t="s">
        <v>24</v>
      </c>
      <c r="D1880" s="2" t="s">
        <v>2962</v>
      </c>
      <c r="E1880" s="2" t="s">
        <v>293</v>
      </c>
      <c r="F1880" s="11">
        <v>1798</v>
      </c>
      <c r="G1880" t="s">
        <v>36</v>
      </c>
      <c r="H1880" t="s">
        <v>375</v>
      </c>
      <c r="I1880" t="s">
        <v>2974</v>
      </c>
      <c r="J1880" s="6" t="str">
        <f>HYPERLINK("https://www.biovista.com/db/link/%5B%5B%22Disease%7CPMM2%20deficiency%22%5D,%20%5B%22Gene%7CDPAGT1%22%5D%5D?strength-weight-map=%257B%2522MEDLINE_STRENGTH_AB%2522:1.0,%2522HPO%2522:100.0%257D", "Show Evidence...")</f>
        <v>Show Evidence...</v>
      </c>
    </row>
    <row r="1881" spans="1:10" ht="12.75">
      <c r="A1881" s="2" t="s">
        <v>50</v>
      </c>
      <c r="B1881" s="2" t="s">
        <v>2961</v>
      </c>
      <c r="C1881" s="2" t="s">
        <v>24</v>
      </c>
      <c r="D1881" s="2" t="s">
        <v>2962</v>
      </c>
      <c r="E1881" s="2" t="s">
        <v>293</v>
      </c>
      <c r="F1881" s="11">
        <v>2078</v>
      </c>
      <c r="G1881" t="s">
        <v>36</v>
      </c>
      <c r="H1881" t="s">
        <v>3050</v>
      </c>
      <c r="I1881" t="s">
        <v>2974</v>
      </c>
      <c r="J1881" s="6" t="str">
        <f>HYPERLINK("https://www.biovista.com/db/link/%5B%5B%22Disease%7CPMM2%20deficiency%22%5D,%20%5B%22Gene%7CERG%22%5D%5D?strength-weight-map=%257B%2522MEDLINE_STRENGTH_AB%2522:1.0,%2522HPO%2522:100.0%257D", "Show Evidence...")</f>
        <v>Show Evidence...</v>
      </c>
    </row>
    <row r="1882" spans="1:10" ht="12.75">
      <c r="A1882" s="2" t="s">
        <v>50</v>
      </c>
      <c r="B1882" s="2" t="s">
        <v>2961</v>
      </c>
      <c r="C1882" s="2" t="s">
        <v>24</v>
      </c>
      <c r="D1882" s="2" t="s">
        <v>2962</v>
      </c>
      <c r="E1882" s="2" t="s">
        <v>293</v>
      </c>
      <c r="F1882" s="11">
        <v>3383</v>
      </c>
      <c r="G1882" t="s">
        <v>36</v>
      </c>
      <c r="H1882" t="s">
        <v>3051</v>
      </c>
      <c r="I1882" t="s">
        <v>2974</v>
      </c>
      <c r="J1882" s="6" t="str">
        <f>HYPERLINK("https://www.biovista.com/db/link/%5B%5B%22Disease%7CPMM2%20deficiency%22%5D,%20%5B%22Gene%7CICAM1%22%5D%5D?strength-weight-map=%257B%2522MEDLINE_STRENGTH_AB%2522:1.0,%2522HPO%2522:100.0%257D", "Show Evidence...")</f>
        <v>Show Evidence...</v>
      </c>
    </row>
    <row r="1883" spans="1:10" ht="12.75">
      <c r="A1883" s="2" t="s">
        <v>50</v>
      </c>
      <c r="B1883" s="2" t="s">
        <v>2961</v>
      </c>
      <c r="C1883" s="2" t="s">
        <v>24</v>
      </c>
      <c r="D1883" s="2" t="s">
        <v>2962</v>
      </c>
      <c r="E1883" s="2" t="s">
        <v>293</v>
      </c>
      <c r="F1883" s="11">
        <v>125769324</v>
      </c>
      <c r="G1883" t="s">
        <v>36</v>
      </c>
      <c r="H1883" t="s">
        <v>3052</v>
      </c>
      <c r="I1883" t="s">
        <v>2974</v>
      </c>
      <c r="J1883" s="6" t="str">
        <f>HYPERLINK("https://www.biovista.com/db/link/%5B%5B%22Disease%7CPMM2%20deficiency%22%5D,%20%5B%22Gene%7Cphosphoglucomutase%22%5D%5D?strength-weight-map=%257B%2522MEDLINE_STRENGTH_AB%2522:1.0,%2522HPO%2522:100.0%257D", "Show Evidence...")</f>
        <v>Show Evidence...</v>
      </c>
    </row>
    <row r="1884" spans="1:10" ht="12.75">
      <c r="A1884" s="2" t="s">
        <v>50</v>
      </c>
      <c r="B1884" s="2" t="s">
        <v>2961</v>
      </c>
      <c r="C1884" s="2" t="s">
        <v>24</v>
      </c>
      <c r="D1884" s="2" t="s">
        <v>2962</v>
      </c>
      <c r="E1884" s="2" t="s">
        <v>293</v>
      </c>
      <c r="F1884" s="11">
        <v>5265</v>
      </c>
      <c r="G1884" t="s">
        <v>36</v>
      </c>
      <c r="H1884" t="s">
        <v>3053</v>
      </c>
      <c r="I1884" t="s">
        <v>2974</v>
      </c>
      <c r="J1884" s="6" t="str">
        <f>HYPERLINK("https://www.biovista.com/db/link/%5B%5B%22Disease%7CPMM2%20deficiency%22%5D,%20%5B%22Gene%7CSERPINA1%22%5D%5D?strength-weight-map=%257B%2522MEDLINE_STRENGTH_AB%2522:1.0,%2522HPO%2522:100.0%257D", "Show Evidence...")</f>
        <v>Show Evidence...</v>
      </c>
    </row>
    <row r="1885" spans="1:10" ht="12.75">
      <c r="A1885" s="2" t="s">
        <v>50</v>
      </c>
      <c r="B1885" s="2" t="s">
        <v>2961</v>
      </c>
      <c r="C1885" s="2" t="s">
        <v>24</v>
      </c>
      <c r="D1885" s="2" t="s">
        <v>2962</v>
      </c>
      <c r="E1885" s="2" t="s">
        <v>293</v>
      </c>
      <c r="F1885" s="11">
        <v>56052</v>
      </c>
      <c r="G1885" t="s">
        <v>36</v>
      </c>
      <c r="H1885" t="s">
        <v>3054</v>
      </c>
      <c r="I1885" t="s">
        <v>2979</v>
      </c>
      <c r="J1885" s="6" t="str">
        <f>HYPERLINK("https://www.biovista.com/db/link/%5B%5B%22Disease%7CPMM2%20deficiency%22%5D,%20%5B%22Gene%7Cchitobiosyldiphosphodolichol%20beta-mannosyltransferase%22%5D%5D?strength-weight-map=%257B%2522MEDLINE_STRENGTH_AB%2522:1.0,%2522HPO%2522:100.0%257D", "Show Evidence...")</f>
        <v>Show Evidence...</v>
      </c>
    </row>
    <row r="1886" spans="1:10" ht="12.75">
      <c r="A1886" s="2" t="s">
        <v>50</v>
      </c>
      <c r="B1886" s="2" t="s">
        <v>2961</v>
      </c>
      <c r="C1886" s="2" t="s">
        <v>24</v>
      </c>
      <c r="D1886" s="2" t="s">
        <v>2962</v>
      </c>
      <c r="E1886" s="2" t="s">
        <v>293</v>
      </c>
      <c r="F1886" s="11">
        <v>3482</v>
      </c>
      <c r="G1886" t="s">
        <v>36</v>
      </c>
      <c r="H1886" t="s">
        <v>3055</v>
      </c>
      <c r="I1886" t="s">
        <v>2979</v>
      </c>
      <c r="J1886" s="6" t="str">
        <f>HYPERLINK("https://www.biovista.com/db/link/%5B%5B%22Disease%7CPMM2%20deficiency%22%5D,%20%5B%22Gene%7CIGF2R%22%5D%5D?strength-weight-map=%257B%2522MEDLINE_STRENGTH_AB%2522:1.0,%2522HPO%2522:100.0%257D", "Show Evidence...")</f>
        <v>Show Evidence...</v>
      </c>
    </row>
    <row r="1887" spans="1:10" ht="12.75">
      <c r="A1887" s="2" t="s">
        <v>50</v>
      </c>
      <c r="B1887" s="2" t="s">
        <v>2961</v>
      </c>
      <c r="C1887" s="2" t="s">
        <v>24</v>
      </c>
      <c r="D1887" s="2" t="s">
        <v>2962</v>
      </c>
      <c r="E1887" s="2" t="s">
        <v>293</v>
      </c>
      <c r="F1887" s="11">
        <v>104889455</v>
      </c>
      <c r="G1887" t="s">
        <v>36</v>
      </c>
      <c r="H1887" t="s">
        <v>3056</v>
      </c>
      <c r="I1887" t="s">
        <v>2979</v>
      </c>
      <c r="J1887" s="6" t="str">
        <f>HYPERLINK("https://www.biovista.com/db/link/%5B%5B%22Disease%7CPMM2%20deficiency%22%5D,%20%5B%22Gene%7Clectin%22%5D%5D?strength-weight-map=%257B%2522MEDLINE_STRENGTH_AB%2522:1.0,%2522HPO%2522:100.0%257D", "Show Evidence...")</f>
        <v>Show Evidence...</v>
      </c>
    </row>
    <row r="1888" spans="1:10" ht="12.75">
      <c r="A1888" s="2" t="s">
        <v>50</v>
      </c>
      <c r="B1888" s="2" t="s">
        <v>2961</v>
      </c>
      <c r="C1888" s="2" t="s">
        <v>24</v>
      </c>
      <c r="D1888" s="2" t="s">
        <v>2962</v>
      </c>
      <c r="E1888" s="2" t="s">
        <v>293</v>
      </c>
      <c r="F1888" s="11">
        <v>938486</v>
      </c>
      <c r="G1888" t="s">
        <v>36</v>
      </c>
      <c r="H1888" t="s">
        <v>3057</v>
      </c>
      <c r="I1888" t="s">
        <v>3058</v>
      </c>
      <c r="J1888" s="6" t="str">
        <f>HYPERLINK("https://www.biovista.com/db/link/%5B%5B%22Disease%7CPMM2%20deficiency%22%5D,%20%5B%22Gene%7Cacyl%20carrier%20protein%22%5D%5D?strength-weight-map=%257B%2522MEDLINE_STRENGTH_AB%2522:1.0,%2522HPO%2522:100.0%257D", "Show Evidence...")</f>
        <v>Show Evidence...</v>
      </c>
    </row>
    <row r="1889" spans="1:10" ht="12.75">
      <c r="A1889" s="2" t="s">
        <v>50</v>
      </c>
      <c r="B1889" s="2" t="s">
        <v>2961</v>
      </c>
      <c r="C1889" s="2" t="s">
        <v>24</v>
      </c>
      <c r="D1889" s="2" t="s">
        <v>2962</v>
      </c>
      <c r="E1889" s="2" t="s">
        <v>293</v>
      </c>
      <c r="F1889" s="11">
        <v>213</v>
      </c>
      <c r="G1889" t="s">
        <v>36</v>
      </c>
      <c r="H1889" t="s">
        <v>3059</v>
      </c>
      <c r="I1889" t="s">
        <v>3058</v>
      </c>
      <c r="J1889" s="6" t="str">
        <f>HYPERLINK("https://www.biovista.com/db/link/%5B%5B%22Disease%7CPMM2%20deficiency%22%5D,%20%5B%22Gene%7Calbumin%22%5D%5D?strength-weight-map=%257B%2522MEDLINE_STRENGTH_AB%2522:1.0,%2522HPO%2522:100.0%257D", "Show Evidence...")</f>
        <v>Show Evidence...</v>
      </c>
    </row>
    <row r="1890" spans="1:10" ht="12.75">
      <c r="A1890" s="2" t="s">
        <v>50</v>
      </c>
      <c r="B1890" s="2" t="s">
        <v>2961</v>
      </c>
      <c r="C1890" s="2" t="s">
        <v>24</v>
      </c>
      <c r="D1890" s="2" t="s">
        <v>2962</v>
      </c>
      <c r="E1890" s="2" t="s">
        <v>293</v>
      </c>
      <c r="F1890" s="11">
        <v>231</v>
      </c>
      <c r="G1890" t="s">
        <v>36</v>
      </c>
      <c r="H1890" t="s">
        <v>3060</v>
      </c>
      <c r="I1890" t="s">
        <v>3058</v>
      </c>
      <c r="J1890" s="6" t="str">
        <f>HYPERLINK("https://www.biovista.com/db/link/%5B%5B%22Disease%7CPMM2%20deficiency%22%5D,%20%5B%22Gene%7Caldose%20reductase%22%5D%5D?strength-weight-map=%257B%2522MEDLINE_STRENGTH_AB%2522:1.0,%2522HPO%2522:100.0%257D", "Show Evidence...")</f>
        <v>Show Evidence...</v>
      </c>
    </row>
    <row r="1891" spans="1:10" ht="12.75">
      <c r="A1891" s="2" t="s">
        <v>50</v>
      </c>
      <c r="B1891" s="2" t="s">
        <v>2961</v>
      </c>
      <c r="C1891" s="2" t="s">
        <v>24</v>
      </c>
      <c r="D1891" s="2" t="s">
        <v>2962</v>
      </c>
      <c r="E1891" s="2" t="s">
        <v>293</v>
      </c>
      <c r="F1891" s="11">
        <v>345</v>
      </c>
      <c r="G1891" t="s">
        <v>36</v>
      </c>
      <c r="H1891" t="s">
        <v>3061</v>
      </c>
      <c r="I1891" t="s">
        <v>3058</v>
      </c>
      <c r="J1891" s="6" t="str">
        <f>HYPERLINK("https://www.biovista.com/db/link/%5B%5B%22Disease%7CPMM2%20deficiency%22%5D,%20%5B%22Gene%7CAPOC3%22%5D%5D?strength-weight-map=%257B%2522MEDLINE_STRENGTH_AB%2522:1.0,%2522HPO%2522:100.0%257D", "Show Evidence...")</f>
        <v>Show Evidence...</v>
      </c>
    </row>
    <row r="1892" spans="1:10" ht="12.75">
      <c r="A1892" s="2" t="s">
        <v>50</v>
      </c>
      <c r="B1892" s="2" t="s">
        <v>2961</v>
      </c>
      <c r="C1892" s="2" t="s">
        <v>24</v>
      </c>
      <c r="D1892" s="2" t="s">
        <v>2962</v>
      </c>
      <c r="E1892" s="2" t="s">
        <v>293</v>
      </c>
      <c r="F1892" s="11">
        <v>10724</v>
      </c>
      <c r="G1892" t="s">
        <v>36</v>
      </c>
      <c r="H1892" t="s">
        <v>3062</v>
      </c>
      <c r="I1892" t="s">
        <v>3058</v>
      </c>
      <c r="J1892" s="6" t="str">
        <f>HYPERLINK("https://www.biovista.com/db/link/%5B%5B%22Disease%7CPMM2%20deficiency%22%5D,%20%5B%22Gene%7Cbeta-hexosaminidase%22%5D%5D?strength-weight-map=%257B%2522MEDLINE_STRENGTH_AB%2522:1.0,%2522HPO%2522:100.0%257D", "Show Evidence...")</f>
        <v>Show Evidence...</v>
      </c>
    </row>
    <row r="1893" spans="1:10" ht="12.75">
      <c r="A1893" s="2" t="s">
        <v>50</v>
      </c>
      <c r="B1893" s="2" t="s">
        <v>2961</v>
      </c>
      <c r="C1893" s="2" t="s">
        <v>24</v>
      </c>
      <c r="D1893" s="2" t="s">
        <v>2962</v>
      </c>
      <c r="E1893" s="2" t="s">
        <v>293</v>
      </c>
      <c r="F1893" s="11">
        <v>8813</v>
      </c>
      <c r="G1893" t="s">
        <v>36</v>
      </c>
      <c r="H1893" t="s">
        <v>3063</v>
      </c>
      <c r="I1893" t="s">
        <v>3058</v>
      </c>
      <c r="J1893" s="6" t="str">
        <f>HYPERLINK("https://www.biovista.com/db/link/%5B%5B%22Disease%7CPMM2%20deficiency%22%5D,%20%5B%22Gene%7CDPM1%22%5D%5D?strength-weight-map=%257B%2522MEDLINE_STRENGTH_AB%2522:1.0,%2522HPO%2522:100.0%257D", "Show Evidence...")</f>
        <v>Show Evidence...</v>
      </c>
    </row>
    <row r="1894" spans="1:10" ht="12.75">
      <c r="A1894" s="2" t="s">
        <v>50</v>
      </c>
      <c r="B1894" s="2" t="s">
        <v>2961</v>
      </c>
      <c r="C1894" s="2" t="s">
        <v>24</v>
      </c>
      <c r="D1894" s="2" t="s">
        <v>2962</v>
      </c>
      <c r="E1894" s="2" t="s">
        <v>293</v>
      </c>
      <c r="F1894" s="11">
        <v>2160</v>
      </c>
      <c r="G1894" t="s">
        <v>36</v>
      </c>
      <c r="H1894" t="s">
        <v>3064</v>
      </c>
      <c r="I1894" t="s">
        <v>3058</v>
      </c>
      <c r="J1894" s="6" t="str">
        <f>HYPERLINK("https://www.biovista.com/db/link/%5B%5B%22Disease%7CPMM2%20deficiency%22%5D,%20%5B%22Gene%7CF11%22%5D%5D?strength-weight-map=%257B%2522MEDLINE_STRENGTH_AB%2522:1.0,%2522HPO%2522:100.0%257D", "Show Evidence...")</f>
        <v>Show Evidence...</v>
      </c>
    </row>
    <row r="1895" spans="1:10" ht="12.75">
      <c r="A1895" s="2" t="s">
        <v>50</v>
      </c>
      <c r="B1895" s="2" t="s">
        <v>2961</v>
      </c>
      <c r="C1895" s="2" t="s">
        <v>24</v>
      </c>
      <c r="D1895" s="2" t="s">
        <v>2962</v>
      </c>
      <c r="E1895" s="2" t="s">
        <v>293</v>
      </c>
      <c r="F1895" s="11">
        <v>37516</v>
      </c>
      <c r="G1895" t="s">
        <v>36</v>
      </c>
      <c r="H1895" t="s">
        <v>3065</v>
      </c>
      <c r="I1895" t="s">
        <v>3058</v>
      </c>
      <c r="J1895" s="6" t="str">
        <f>HYPERLINK("https://www.biovista.com/db/link/%5B%5B%22Disease%7CPMM2%20deficiency%22%5D,%20%5B%22Gene%7Cglucosyltransferase%22%5D%5D?strength-weight-map=%257B%2522MEDLINE_STRENGTH_AB%2522:1.0,%2522HPO%2522:100.0%257D", "Show Evidence...")</f>
        <v>Show Evidence...</v>
      </c>
    </row>
    <row r="1896" spans="1:10" ht="12.75">
      <c r="A1896" s="2" t="s">
        <v>50</v>
      </c>
      <c r="B1896" s="2" t="s">
        <v>2961</v>
      </c>
      <c r="C1896" s="2" t="s">
        <v>24</v>
      </c>
      <c r="D1896" s="2" t="s">
        <v>2962</v>
      </c>
      <c r="E1896" s="2" t="s">
        <v>293</v>
      </c>
      <c r="F1896" s="11">
        <v>3240</v>
      </c>
      <c r="G1896" t="s">
        <v>36</v>
      </c>
      <c r="H1896" t="s">
        <v>3066</v>
      </c>
      <c r="I1896" t="s">
        <v>3058</v>
      </c>
      <c r="J1896" s="6" t="str">
        <f>HYPERLINK("https://www.biovista.com/db/link/%5B%5B%22Disease%7CPMM2%20deficiency%22%5D,%20%5B%22Gene%7Chaptoglobin%22%5D%5D?strength-weight-map=%257B%2522MEDLINE_STRENGTH_AB%2522:1.0,%2522HPO%2522:100.0%257D", "Show Evidence...")</f>
        <v>Show Evidence...</v>
      </c>
    </row>
    <row r="1897" spans="1:10" ht="12.75">
      <c r="A1897" s="2" t="s">
        <v>50</v>
      </c>
      <c r="B1897" s="2" t="s">
        <v>2961</v>
      </c>
      <c r="C1897" s="2" t="s">
        <v>24</v>
      </c>
      <c r="D1897" s="2" t="s">
        <v>2962</v>
      </c>
      <c r="E1897" s="2" t="s">
        <v>293</v>
      </c>
      <c r="F1897" s="11">
        <v>1213</v>
      </c>
      <c r="G1897" t="s">
        <v>36</v>
      </c>
      <c r="H1897" t="s">
        <v>352</v>
      </c>
      <c r="I1897" t="s">
        <v>3058</v>
      </c>
      <c r="J1897" s="6" t="str">
        <f>HYPERLINK("https://www.biovista.com/db/link/%5B%5B%22Disease%7CPMM2%20deficiency%22%5D,%20%5B%22Gene%7CHC%22%5D%5D?strength-weight-map=%257B%2522MEDLINE_STRENGTH_AB%2522:1.0,%2522HPO%2522:100.0%257D", "Show Evidence...")</f>
        <v>Show Evidence...</v>
      </c>
    </row>
    <row r="1898" spans="1:10" ht="12.75">
      <c r="A1898" s="2" t="s">
        <v>50</v>
      </c>
      <c r="B1898" s="2" t="s">
        <v>2961</v>
      </c>
      <c r="C1898" s="2" t="s">
        <v>24</v>
      </c>
      <c r="D1898" s="2" t="s">
        <v>2962</v>
      </c>
      <c r="E1898" s="2" t="s">
        <v>53</v>
      </c>
      <c r="F1898" s="11" t="s">
        <v>3067</v>
      </c>
      <c r="G1898" t="s">
        <v>36</v>
      </c>
      <c r="H1898" t="s">
        <v>3068</v>
      </c>
      <c r="I1898" t="s">
        <v>3058</v>
      </c>
      <c r="J1898" s="6" t="str">
        <f>HYPERLINK("https://www.biovista.com/db/link/%5B%5B%22Disease%7CPMM2%20deficiency%22%5D,%20%5B%22Gene%7Cinsulin-like%20growth%20factor%22%5D%5D?strength-weight-map=%257B%2522MEDLINE_STRENGTH_AB%2522:1.0,%2522HPO%2522:100.0%257D", "Show Evidence...")</f>
        <v>Show Evidence...</v>
      </c>
    </row>
    <row r="1899" spans="1:10" ht="12.75">
      <c r="A1899" s="2" t="s">
        <v>50</v>
      </c>
      <c r="B1899" s="2" t="s">
        <v>2961</v>
      </c>
      <c r="C1899" s="2" t="s">
        <v>24</v>
      </c>
      <c r="D1899" s="2" t="s">
        <v>2962</v>
      </c>
      <c r="E1899" s="2" t="s">
        <v>53</v>
      </c>
      <c r="F1899" s="11" t="s">
        <v>1614</v>
      </c>
      <c r="G1899" t="s">
        <v>36</v>
      </c>
      <c r="H1899" t="s">
        <v>971</v>
      </c>
      <c r="I1899" t="s">
        <v>3058</v>
      </c>
      <c r="J1899" s="6" t="str">
        <f>HYPERLINK("https://www.biovista.com/db/link/%5B%5B%22Disease%7CPMM2%20deficiency%22%5D,%20%5B%22Gene%7CLectins%22%5D%5D?strength-weight-map=%257B%2522MEDLINE_STRENGTH_AB%2522:1.0,%2522HPO%2522:100.0%257D", "Show Evidence...")</f>
        <v>Show Evidence...</v>
      </c>
    </row>
    <row r="1900" spans="1:10" ht="12.75">
      <c r="A1900" s="2" t="s">
        <v>50</v>
      </c>
      <c r="B1900" s="2" t="s">
        <v>2961</v>
      </c>
      <c r="C1900" s="2" t="s">
        <v>24</v>
      </c>
      <c r="D1900" s="2" t="s">
        <v>2962</v>
      </c>
      <c r="E1900" s="2" t="s">
        <v>293</v>
      </c>
      <c r="F1900" s="11">
        <v>4351</v>
      </c>
      <c r="G1900" t="s">
        <v>36</v>
      </c>
      <c r="H1900" t="s">
        <v>3069</v>
      </c>
      <c r="I1900" t="s">
        <v>3058</v>
      </c>
      <c r="J1900" s="6" t="str">
        <f>HYPERLINK("https://www.biovista.com/db/link/%5B%5B%22Disease%7CPMM2%20deficiency%22%5D,%20%5B%22Gene%7Cmannose%20phosphate%20isomerase%22%5D%5D?strength-weight-map=%257B%2522MEDLINE_STRENGTH_AB%2522:1.0,%2522HPO%2522:100.0%257D", "Show Evidence...")</f>
        <v>Show Evidence...</v>
      </c>
    </row>
    <row r="1901" spans="1:10" ht="12.75">
      <c r="A1901" s="2" t="s">
        <v>50</v>
      </c>
      <c r="B1901" s="2" t="s">
        <v>2961</v>
      </c>
      <c r="C1901" s="2" t="s">
        <v>24</v>
      </c>
      <c r="D1901" s="2" t="s">
        <v>2962</v>
      </c>
      <c r="E1901" s="2" t="s">
        <v>293</v>
      </c>
      <c r="F1901" s="11">
        <v>5236</v>
      </c>
      <c r="G1901" t="s">
        <v>36</v>
      </c>
      <c r="H1901" t="s">
        <v>3070</v>
      </c>
      <c r="I1901" t="s">
        <v>3058</v>
      </c>
      <c r="J1901" s="6" t="str">
        <f>HYPERLINK("https://www.biovista.com/db/link/%5B%5B%22Disease%7CPMM2%20deficiency%22%5D,%20%5B%22Gene%7CPGM1%22%5D%5D?strength-weight-map=%257B%2522MEDLINE_STRENGTH_AB%2522:1.0,%2522HPO%2522:100.0%257D", "Show Evidence...")</f>
        <v>Show Evidence...</v>
      </c>
    </row>
    <row r="1902" spans="1:10" ht="12.75">
      <c r="A1902" s="2" t="s">
        <v>50</v>
      </c>
      <c r="B1902" s="2" t="s">
        <v>2961</v>
      </c>
      <c r="C1902" s="2" t="s">
        <v>24</v>
      </c>
      <c r="D1902" s="2" t="s">
        <v>2962</v>
      </c>
      <c r="E1902" s="2" t="s">
        <v>293</v>
      </c>
      <c r="F1902" s="11">
        <v>4351</v>
      </c>
      <c r="G1902" t="s">
        <v>36</v>
      </c>
      <c r="H1902" t="s">
        <v>3071</v>
      </c>
      <c r="I1902" t="s">
        <v>3058</v>
      </c>
      <c r="J1902" s="6" t="str">
        <f>HYPERLINK("https://www.biovista.com/db/link/%5B%5B%22Disease%7CPMM2%20deficiency%22%5D,%20%5B%22Gene%7CPMI%22%5D%5D?strength-weight-map=%257B%2522MEDLINE_STRENGTH_AB%2522:1.0,%2522HPO%2522:100.0%257D", "Show Evidence...")</f>
        <v>Show Evidence...</v>
      </c>
    </row>
    <row r="1903" spans="1:10" ht="12.75">
      <c r="A1903" s="2" t="s">
        <v>50</v>
      </c>
      <c r="B1903" s="2" t="s">
        <v>2961</v>
      </c>
      <c r="C1903" s="2" t="s">
        <v>24</v>
      </c>
      <c r="D1903" s="2" t="s">
        <v>2962</v>
      </c>
      <c r="E1903" s="2" t="s">
        <v>53</v>
      </c>
      <c r="F1903" s="11" t="s">
        <v>3072</v>
      </c>
      <c r="G1903" t="s">
        <v>36</v>
      </c>
      <c r="H1903" t="s">
        <v>3073</v>
      </c>
      <c r="I1903" t="s">
        <v>3058</v>
      </c>
      <c r="J1903" s="6" t="str">
        <f>HYPERLINK("https://www.biovista.com/db/link/%5B%5B%22Disease%7CPMM2%20deficiency%22%5D,%20%5B%22Gene%7CPNGase%20A%22%5D%5D?strength-weight-map=%257B%2522MEDLINE_STRENGTH_AB%2522:1.0,%2522HPO%2522:100.0%257D", "Show Evidence...")</f>
        <v>Show Evidence...</v>
      </c>
    </row>
    <row r="1904" spans="1:10" ht="12.75">
      <c r="A1904" s="2" t="s">
        <v>50</v>
      </c>
      <c r="B1904" s="2" t="s">
        <v>2961</v>
      </c>
      <c r="C1904" s="2" t="s">
        <v>24</v>
      </c>
      <c r="D1904" s="2" t="s">
        <v>2962</v>
      </c>
      <c r="E1904" s="2" t="s">
        <v>53</v>
      </c>
      <c r="F1904" s="11" t="s">
        <v>3074</v>
      </c>
      <c r="G1904" t="s">
        <v>36</v>
      </c>
      <c r="H1904" t="s">
        <v>3075</v>
      </c>
      <c r="I1904" t="s">
        <v>3058</v>
      </c>
      <c r="J1904" s="6" t="str">
        <f>HYPERLINK("https://www.biovista.com/db/link/%5B%5B%22Disease%7CPMM2%20deficiency%22%5D,%20%5B%22Gene%7CReceptors,%20LDL%22%5D%5D?strength-weight-map=%257B%2522MEDLINE_STRENGTH_AB%2522:1.0,%2522HPO%2522:100.0%257D", "Show Evidence...")</f>
        <v>Show Evidence...</v>
      </c>
    </row>
    <row r="1905" spans="1:10" ht="12.75">
      <c r="A1905" s="2" t="s">
        <v>50</v>
      </c>
      <c r="B1905" s="2" t="s">
        <v>2961</v>
      </c>
      <c r="C1905" s="2" t="s">
        <v>24</v>
      </c>
      <c r="D1905" s="2" t="s">
        <v>2962</v>
      </c>
      <c r="E1905" s="2" t="s">
        <v>293</v>
      </c>
      <c r="F1905" s="11">
        <v>55065</v>
      </c>
      <c r="G1905" t="s">
        <v>36</v>
      </c>
      <c r="H1905" t="s">
        <v>3076</v>
      </c>
      <c r="I1905" t="s">
        <v>3058</v>
      </c>
      <c r="J1905" s="6" t="str">
        <f>HYPERLINK("https://www.biovista.com/db/link/%5B%5B%22Disease%7CPMM2%20deficiency%22%5D,%20%5B%22Gene%7CRFT1%22%5D%5D?strength-weight-map=%257B%2522MEDLINE_STRENGTH_AB%2522:1.0,%2522HPO%2522:100.0%257D", "Show Evidence...")</f>
        <v>Show Evidence...</v>
      </c>
    </row>
    <row r="1906" spans="1:10" ht="12.75">
      <c r="A1906" s="2" t="s">
        <v>50</v>
      </c>
      <c r="B1906" s="2" t="s">
        <v>2961</v>
      </c>
      <c r="C1906" s="2" t="s">
        <v>24</v>
      </c>
      <c r="D1906" s="2" t="s">
        <v>2962</v>
      </c>
      <c r="E1906" s="2" t="s">
        <v>293</v>
      </c>
      <c r="F1906" s="11">
        <v>6906</v>
      </c>
      <c r="G1906" t="s">
        <v>36</v>
      </c>
      <c r="H1906" t="s">
        <v>3077</v>
      </c>
      <c r="I1906" t="s">
        <v>3058</v>
      </c>
      <c r="J1906" s="6" t="str">
        <f>HYPERLINK("https://www.biovista.com/db/link/%5B%5B%22Disease%7CPMM2%20deficiency%22%5D,%20%5B%22Gene%7CSERPINA7%22%5D%5D?strength-weight-map=%257B%2522MEDLINE_STRENGTH_AB%2522:1.0,%2522HPO%2522:100.0%257D", "Show Evidence...")</f>
        <v>Show Evidence...</v>
      </c>
    </row>
    <row r="1907" spans="1:10" ht="12.75">
      <c r="A1907" s="2" t="s">
        <v>50</v>
      </c>
      <c r="B1907" s="2" t="s">
        <v>2961</v>
      </c>
      <c r="C1907" s="2" t="s">
        <v>24</v>
      </c>
      <c r="D1907" s="2" t="s">
        <v>2962</v>
      </c>
      <c r="E1907" s="2" t="s">
        <v>293</v>
      </c>
      <c r="F1907" s="11">
        <v>79644</v>
      </c>
      <c r="G1907" t="s">
        <v>36</v>
      </c>
      <c r="H1907" t="s">
        <v>3078</v>
      </c>
      <c r="I1907" t="s">
        <v>3058</v>
      </c>
      <c r="J1907" s="6" t="str">
        <f>HYPERLINK("https://www.biovista.com/db/link/%5B%5B%22Disease%7CPMM2%20deficiency%22%5D,%20%5B%22Gene%7CSRD5A3%22%5D%5D?strength-weight-map=%257B%2522MEDLINE_STRENGTH_AB%2522:1.0,%2522HPO%2522:100.0%257D", "Show Evidence...")</f>
        <v>Show Evidence...</v>
      </c>
    </row>
    <row r="1908" spans="1:10" ht="12.75">
      <c r="A1908" s="2" t="s">
        <v>50</v>
      </c>
      <c r="B1908" s="2" t="s">
        <v>2961</v>
      </c>
      <c r="C1908" s="2" t="s">
        <v>24</v>
      </c>
      <c r="D1908" s="2" t="s">
        <v>2962</v>
      </c>
      <c r="E1908" s="2" t="s">
        <v>293</v>
      </c>
      <c r="F1908" s="11">
        <v>10312</v>
      </c>
      <c r="G1908" t="s">
        <v>36</v>
      </c>
      <c r="H1908" t="s">
        <v>3079</v>
      </c>
      <c r="I1908" t="s">
        <v>3058</v>
      </c>
      <c r="J1908" s="6" t="str">
        <f>HYPERLINK("https://www.biovista.com/db/link/%5B%5B%22Disease%7CPMM2%20deficiency%22%5D,%20%5B%22Gene%7CTCIRG1%22%5D%5D?strength-weight-map=%257B%2522MEDLINE_STRENGTH_AB%2522:1.0,%2522HPO%2522:100.0%257D", "Show Evidence...")</f>
        <v>Show Evidence...</v>
      </c>
    </row>
    <row r="1909" spans="1:10" ht="12.75">
      <c r="A1909" s="2" t="s">
        <v>50</v>
      </c>
      <c r="B1909" s="2" t="s">
        <v>2961</v>
      </c>
      <c r="C1909" s="2" t="s">
        <v>24</v>
      </c>
      <c r="D1909" s="2" t="s">
        <v>2962</v>
      </c>
      <c r="E1909" s="2" t="s">
        <v>53</v>
      </c>
      <c r="F1909" s="11" t="s">
        <v>3080</v>
      </c>
      <c r="G1909" t="s">
        <v>36</v>
      </c>
      <c r="H1909" t="s">
        <v>3081</v>
      </c>
      <c r="I1909" t="s">
        <v>3058</v>
      </c>
      <c r="J1909" s="6" t="str">
        <f>HYPERLINK("https://www.biovista.com/db/link/%5B%5B%22Disease%7CPMM2%20deficiency%22%5D,%20%5B%22Gene%7CTransferrins%22%5D%5D?strength-weight-map=%257B%2522MEDLINE_STRENGTH_AB%2522:1.0,%2522HPO%2522:100.0%257D", "Show Evidence...")</f>
        <v>Show Evidence...</v>
      </c>
    </row>
    <row r="1910" spans="1:10" ht="12.75">
      <c r="A1910" s="2" t="s">
        <v>50</v>
      </c>
      <c r="B1910" s="2" t="s">
        <v>2961</v>
      </c>
      <c r="C1910" s="2" t="s">
        <v>24</v>
      </c>
      <c r="D1910" s="2" t="s">
        <v>2962</v>
      </c>
      <c r="E1910" s="2" t="s">
        <v>293</v>
      </c>
      <c r="F1910" s="11">
        <v>10327</v>
      </c>
      <c r="G1910" t="s">
        <v>36</v>
      </c>
      <c r="H1910" t="s">
        <v>3082</v>
      </c>
      <c r="I1910" t="s">
        <v>2984</v>
      </c>
      <c r="J1910" s="6" t="str">
        <f>HYPERLINK("https://www.biovista.com/db/link/%5B%5B%22Disease%7CPMM2%20deficiency%22%5D,%20%5B%22Gene%7CAldehyde%20reductase%22%5D%5D?strength-weight-map=%257B%2522MEDLINE_STRENGTH_AB%2522:1.0,%2522HPO%2522:100.0%257D", "Show Evidence...")</f>
        <v>Show Evidence...</v>
      </c>
    </row>
    <row r="1911" spans="1:10" ht="12.75">
      <c r="A1911" s="2" t="s">
        <v>50</v>
      </c>
      <c r="B1911" s="2" t="s">
        <v>2961</v>
      </c>
      <c r="C1911" s="2" t="s">
        <v>24</v>
      </c>
      <c r="D1911" s="2" t="s">
        <v>2962</v>
      </c>
      <c r="E1911" s="2" t="s">
        <v>293</v>
      </c>
      <c r="F1911" s="11">
        <v>79087</v>
      </c>
      <c r="G1911" t="s">
        <v>36</v>
      </c>
      <c r="H1911" t="s">
        <v>3083</v>
      </c>
      <c r="I1911" t="s">
        <v>2984</v>
      </c>
      <c r="J1911" s="6" t="str">
        <f>HYPERLINK("https://www.biovista.com/db/link/%5B%5B%22Disease%7CPMM2%20deficiency%22%5D,%20%5B%22Gene%7CALG12%22%5D%5D?strength-weight-map=%257B%2522MEDLINE_STRENGTH_AB%2522:1.0,%2522HPO%2522:100.0%257D", "Show Evidence...")</f>
        <v>Show Evidence...</v>
      </c>
    </row>
    <row r="1912" spans="1:10" ht="12.75">
      <c r="A1912" s="2" t="s">
        <v>50</v>
      </c>
      <c r="B1912" s="2" t="s">
        <v>2961</v>
      </c>
      <c r="C1912" s="2" t="s">
        <v>24</v>
      </c>
      <c r="D1912" s="2" t="s">
        <v>2962</v>
      </c>
      <c r="E1912" s="2" t="s">
        <v>293</v>
      </c>
      <c r="F1912" s="11">
        <v>3772574</v>
      </c>
      <c r="G1912" t="s">
        <v>36</v>
      </c>
      <c r="H1912" t="s">
        <v>3084</v>
      </c>
      <c r="I1912" t="s">
        <v>2984</v>
      </c>
      <c r="J1912" s="6" t="str">
        <f>HYPERLINK("https://www.biovista.com/db/link/%5B%5B%22Disease%7CPMM2%20deficiency%22%5D,%20%5B%22Gene%7Calpha%20fucosidase%22%5D%5D?strength-weight-map=%257B%2522MEDLINE_STRENGTH_AB%2522:1.0,%2522HPO%2522:100.0%257D", "Show Evidence...")</f>
        <v>Show Evidence...</v>
      </c>
    </row>
    <row r="1913" spans="1:10" ht="12.75">
      <c r="A1913" s="2" t="s">
        <v>50</v>
      </c>
      <c r="B1913" s="2" t="s">
        <v>2961</v>
      </c>
      <c r="C1913" s="2" t="s">
        <v>24</v>
      </c>
      <c r="D1913" s="2" t="s">
        <v>2962</v>
      </c>
      <c r="E1913" s="2" t="s">
        <v>293</v>
      </c>
      <c r="F1913" s="11">
        <v>45780</v>
      </c>
      <c r="G1913" t="s">
        <v>36</v>
      </c>
      <c r="H1913" t="s">
        <v>3085</v>
      </c>
      <c r="I1913" t="s">
        <v>2984</v>
      </c>
      <c r="J1913" s="6" t="str">
        <f>HYPERLINK("https://www.biovista.com/db/link/%5B%5B%22Disease%7CPMM2%20deficiency%22%5D,%20%5B%22Gene%7CAlpha-1%22%5D%5D?strength-weight-map=%257B%2522MEDLINE_STRENGTH_AB%2522:1.0,%2522HPO%2522:100.0%257D", "Show Evidence...")</f>
        <v>Show Evidence...</v>
      </c>
    </row>
    <row r="1914" spans="1:10" ht="12.75">
      <c r="A1914" s="2" t="s">
        <v>50</v>
      </c>
      <c r="B1914" s="2" t="s">
        <v>2961</v>
      </c>
      <c r="C1914" s="2" t="s">
        <v>24</v>
      </c>
      <c r="D1914" s="2" t="s">
        <v>2962</v>
      </c>
      <c r="E1914" s="2" t="s">
        <v>293</v>
      </c>
      <c r="F1914" s="11">
        <v>102183410</v>
      </c>
      <c r="G1914" t="s">
        <v>36</v>
      </c>
      <c r="H1914" t="s">
        <v>3086</v>
      </c>
      <c r="I1914" t="s">
        <v>2984</v>
      </c>
      <c r="J1914" s="6" t="str">
        <f>HYPERLINK("https://www.biovista.com/db/link/%5B%5B%22Disease%7CPMM2%20deficiency%22%5D,%20%5B%22Gene%7Calpha-mannosidase%22%5D%5D?strength-weight-map=%257B%2522MEDLINE_STRENGTH_AB%2522:1.0,%2522HPO%2522:100.0%257D", "Show Evidence...")</f>
        <v>Show Evidence...</v>
      </c>
    </row>
    <row r="1915" spans="1:10" ht="12.75">
      <c r="A1915" s="2" t="s">
        <v>50</v>
      </c>
      <c r="B1915" s="2" t="s">
        <v>2961</v>
      </c>
      <c r="C1915" s="2" t="s">
        <v>24</v>
      </c>
      <c r="D1915" s="2" t="s">
        <v>2962</v>
      </c>
      <c r="E1915" s="2" t="s">
        <v>293</v>
      </c>
      <c r="F1915" s="11">
        <v>23545</v>
      </c>
      <c r="G1915" t="s">
        <v>36</v>
      </c>
      <c r="H1915" t="s">
        <v>3087</v>
      </c>
      <c r="I1915" t="s">
        <v>2984</v>
      </c>
      <c r="J1915" s="6" t="str">
        <f>HYPERLINK("https://www.biovista.com/db/link/%5B%5B%22Disease%7CPMM2%20deficiency%22%5D,%20%5B%22Gene%7CATP6V0A2%22%5D%5D?strength-weight-map=%257B%2522MEDLINE_STRENGTH_AB%2522:1.0,%2522HPO%2522:100.0%257D", "Show Evidence...")</f>
        <v>Show Evidence...</v>
      </c>
    </row>
    <row r="1916" spans="1:10" ht="12.75">
      <c r="A1916" s="2" t="s">
        <v>50</v>
      </c>
      <c r="B1916" s="2" t="s">
        <v>2961</v>
      </c>
      <c r="C1916" s="2" t="s">
        <v>24</v>
      </c>
      <c r="D1916" s="2" t="s">
        <v>2962</v>
      </c>
      <c r="E1916" s="2" t="s">
        <v>293</v>
      </c>
      <c r="F1916" s="11">
        <v>773</v>
      </c>
      <c r="G1916" t="s">
        <v>36</v>
      </c>
      <c r="H1916" t="s">
        <v>3088</v>
      </c>
      <c r="I1916" t="s">
        <v>2984</v>
      </c>
      <c r="J1916" s="6" t="str">
        <f>HYPERLINK("https://www.biovista.com/db/link/%5B%5B%22Disease%7CPMM2%20deficiency%22%5D,%20%5B%22Gene%7CCACNA1A%22%5D%5D?strength-weight-map=%257B%2522MEDLINE_STRENGTH_AB%2522:1.0,%2522HPO%2522:100.0%257D", "Show Evidence...")</f>
        <v>Show Evidence...</v>
      </c>
    </row>
    <row r="1917" spans="1:10" ht="12.75">
      <c r="A1917" s="2" t="s">
        <v>50</v>
      </c>
      <c r="B1917" s="2" t="s">
        <v>2961</v>
      </c>
      <c r="C1917" s="2" t="s">
        <v>24</v>
      </c>
      <c r="D1917" s="2" t="s">
        <v>2962</v>
      </c>
      <c r="E1917" s="2" t="s">
        <v>293</v>
      </c>
      <c r="F1917" s="11">
        <v>821</v>
      </c>
      <c r="G1917" t="s">
        <v>36</v>
      </c>
      <c r="H1917" t="s">
        <v>3089</v>
      </c>
      <c r="I1917" t="s">
        <v>2984</v>
      </c>
      <c r="J1917" s="6" t="str">
        <f>HYPERLINK("https://www.biovista.com/db/link/%5B%5B%22Disease%7CPMM2%20deficiency%22%5D,%20%5B%22Gene%7Ccalnexin%22%5D%5D?strength-weight-map=%257B%2522MEDLINE_STRENGTH_AB%2522:1.0,%2522HPO%2522:100.0%257D", "Show Evidence...")</f>
        <v>Show Evidence...</v>
      </c>
    </row>
    <row r="1918" spans="1:10" ht="12.75">
      <c r="A1918" s="2" t="s">
        <v>50</v>
      </c>
      <c r="B1918" s="2" t="s">
        <v>2961</v>
      </c>
      <c r="C1918" s="2" t="s">
        <v>24</v>
      </c>
      <c r="D1918" s="2" t="s">
        <v>2962</v>
      </c>
      <c r="E1918" s="2" t="s">
        <v>293</v>
      </c>
      <c r="F1918" s="11">
        <v>773</v>
      </c>
      <c r="G1918" t="s">
        <v>36</v>
      </c>
      <c r="H1918" t="s">
        <v>3090</v>
      </c>
      <c r="I1918" t="s">
        <v>2984</v>
      </c>
      <c r="J1918" s="6" t="str">
        <f>HYPERLINK("https://www.biovista.com/db/link/%5B%5B%22Disease%7CPMM2%20deficiency%22%5D,%20%5B%22Gene%7CCAV2.1%22%5D%5D?strength-weight-map=%257B%2522MEDLINE_STRENGTH_AB%2522:1.0,%2522HPO%2522:100.0%257D", "Show Evidence...")</f>
        <v>Show Evidence...</v>
      </c>
    </row>
    <row r="1919" spans="1:10" ht="12.75">
      <c r="A1919" s="2" t="s">
        <v>50</v>
      </c>
      <c r="B1919" s="2" t="s">
        <v>2961</v>
      </c>
      <c r="C1919" s="2" t="s">
        <v>24</v>
      </c>
      <c r="D1919" s="2" t="s">
        <v>2962</v>
      </c>
      <c r="E1919" s="2" t="s">
        <v>293</v>
      </c>
      <c r="F1919" s="11">
        <v>84317</v>
      </c>
      <c r="G1919" t="s">
        <v>36</v>
      </c>
      <c r="H1919" t="s">
        <v>3091</v>
      </c>
      <c r="I1919" t="s">
        <v>2984</v>
      </c>
      <c r="J1919" s="6" t="str">
        <f>HYPERLINK("https://www.biovista.com/db/link/%5B%5B%22Disease%7CPMM2%20deficiency%22%5D,%20%5B%22Gene%7CCCDC115%22%5D%5D?strength-weight-map=%257B%2522MEDLINE_STRENGTH_AB%2522:1.0,%2522HPO%2522:100.0%257D", "Show Evidence...")</f>
        <v>Show Evidence...</v>
      </c>
    </row>
    <row r="1920" spans="1:10" ht="12.75">
      <c r="A1920" s="2" t="s">
        <v>50</v>
      </c>
      <c r="B1920" s="2" t="s">
        <v>2961</v>
      </c>
      <c r="C1920" s="2" t="s">
        <v>24</v>
      </c>
      <c r="D1920" s="2" t="s">
        <v>2962</v>
      </c>
      <c r="E1920" s="2" t="s">
        <v>293</v>
      </c>
      <c r="F1920" s="11">
        <v>1119</v>
      </c>
      <c r="G1920" t="s">
        <v>36</v>
      </c>
      <c r="H1920" t="s">
        <v>1154</v>
      </c>
      <c r="I1920" t="s">
        <v>2984</v>
      </c>
      <c r="J1920" s="6" t="str">
        <f>HYPERLINK("https://www.biovista.com/db/link/%5B%5B%22Disease%7CPMM2%20deficiency%22%5D,%20%5B%22Gene%7CCK%22%5D%5D?strength-weight-map=%257B%2522MEDLINE_STRENGTH_AB%2522:1.0,%2522HPO%2522:100.0%257D", "Show Evidence...")</f>
        <v>Show Evidence...</v>
      </c>
    </row>
    <row r="1921" spans="1:10" ht="12.75">
      <c r="A1921" s="2" t="s">
        <v>50</v>
      </c>
      <c r="B1921" s="2" t="s">
        <v>2961</v>
      </c>
      <c r="C1921" s="2" t="s">
        <v>24</v>
      </c>
      <c r="D1921" s="2" t="s">
        <v>2962</v>
      </c>
      <c r="E1921" s="2" t="s">
        <v>293</v>
      </c>
      <c r="F1921" s="11">
        <v>1191</v>
      </c>
      <c r="G1921" t="s">
        <v>36</v>
      </c>
      <c r="H1921" t="s">
        <v>3092</v>
      </c>
      <c r="I1921" t="s">
        <v>2984</v>
      </c>
      <c r="J1921" s="6" t="str">
        <f>HYPERLINK("https://www.biovista.com/db/link/%5B%5B%22Disease%7CPMM2%20deficiency%22%5D,%20%5B%22Gene%7Cclusterin%22%5D%5D?strength-weight-map=%257B%2522MEDLINE_STRENGTH_AB%2522:1.0,%2522HPO%2522:100.0%257D", "Show Evidence...")</f>
        <v>Show Evidence...</v>
      </c>
    </row>
    <row r="1922" spans="1:10" ht="12.75">
      <c r="A1922" s="2" t="s">
        <v>50</v>
      </c>
      <c r="B1922" s="2" t="s">
        <v>2961</v>
      </c>
      <c r="C1922" s="2" t="s">
        <v>24</v>
      </c>
      <c r="D1922" s="2" t="s">
        <v>2962</v>
      </c>
      <c r="E1922" s="2" t="s">
        <v>293</v>
      </c>
      <c r="F1922" s="11">
        <v>57511</v>
      </c>
      <c r="G1922" t="s">
        <v>36</v>
      </c>
      <c r="H1922" t="s">
        <v>3093</v>
      </c>
      <c r="I1922" t="s">
        <v>2984</v>
      </c>
      <c r="J1922" s="6" t="str">
        <f>HYPERLINK("https://www.biovista.com/db/link/%5B%5B%22Disease%7CPMM2%20deficiency%22%5D,%20%5B%22Gene%7CCOG6%22%5D%5D?strength-weight-map=%257B%2522MEDLINE_STRENGTH_AB%2522:1.0,%2522HPO%2522:100.0%257D", "Show Evidence...")</f>
        <v>Show Evidence...</v>
      </c>
    </row>
    <row r="1923" spans="1:10" ht="12.75">
      <c r="A1923" s="2" t="s">
        <v>50</v>
      </c>
      <c r="B1923" s="2" t="s">
        <v>2961</v>
      </c>
      <c r="C1923" s="2" t="s">
        <v>24</v>
      </c>
      <c r="D1923" s="2" t="s">
        <v>2962</v>
      </c>
      <c r="E1923" s="2" t="s">
        <v>293</v>
      </c>
      <c r="F1923" s="11">
        <v>1773</v>
      </c>
      <c r="G1923" t="s">
        <v>36</v>
      </c>
      <c r="H1923" t="s">
        <v>3094</v>
      </c>
      <c r="I1923" t="s">
        <v>2984</v>
      </c>
      <c r="J1923" s="6" t="str">
        <f>HYPERLINK("https://www.biovista.com/db/link/%5B%5B%22Disease%7CPMM2%20deficiency%22%5D,%20%5B%22Gene%7CDNASE1%22%5D%5D?strength-weight-map=%257B%2522MEDLINE_STRENGTH_AB%2522:1.0,%2522HPO%2522:100.0%257D", "Show Evidence...")</f>
        <v>Show Evidence...</v>
      </c>
    </row>
    <row r="1924" spans="1:10" ht="12.75">
      <c r="A1924" s="2" t="s">
        <v>50</v>
      </c>
      <c r="B1924" s="2" t="s">
        <v>2961</v>
      </c>
      <c r="C1924" s="2" t="s">
        <v>24</v>
      </c>
      <c r="D1924" s="2" t="s">
        <v>2962</v>
      </c>
      <c r="E1924" s="2" t="s">
        <v>293</v>
      </c>
      <c r="F1924" s="11">
        <v>22845</v>
      </c>
      <c r="G1924" t="s">
        <v>36</v>
      </c>
      <c r="H1924" t="s">
        <v>3095</v>
      </c>
      <c r="I1924" t="s">
        <v>2984</v>
      </c>
      <c r="J1924" s="6" t="str">
        <f>HYPERLINK("https://www.biovista.com/db/link/%5B%5B%22Disease%7CPMM2%20deficiency%22%5D,%20%5B%22Gene%7Cdolichol%20kinase%22%5D%5D?strength-weight-map=%257B%2522MEDLINE_STRENGTH_AB%2522:1.0,%2522HPO%2522:100.0%257D", "Show Evidence...")</f>
        <v>Show Evidence...</v>
      </c>
    </row>
    <row r="1925" spans="1:10" ht="12.75">
      <c r="A1925" s="2" t="s">
        <v>50</v>
      </c>
      <c r="B1925" s="2" t="s">
        <v>2961</v>
      </c>
      <c r="C1925" s="2" t="s">
        <v>24</v>
      </c>
      <c r="D1925" s="2" t="s">
        <v>2962</v>
      </c>
      <c r="E1925" s="2" t="s">
        <v>293</v>
      </c>
      <c r="F1925" s="11">
        <v>22845</v>
      </c>
      <c r="G1925" t="s">
        <v>36</v>
      </c>
      <c r="H1925" t="s">
        <v>3096</v>
      </c>
      <c r="I1925" t="s">
        <v>2984</v>
      </c>
      <c r="J1925" s="6" t="str">
        <f>HYPERLINK("https://www.biovista.com/db/link/%5B%5B%22Disease%7CPMM2%20deficiency%22%5D,%20%5B%22Gene%7CDOLK%22%5D%5D?strength-weight-map=%257B%2522MEDLINE_STRENGTH_AB%2522:1.0,%2522HPO%2522:100.0%257D", "Show Evidence...")</f>
        <v>Show Evidence...</v>
      </c>
    </row>
    <row r="1926" spans="1:10" ht="12.75">
      <c r="A1926" s="2" t="s">
        <v>50</v>
      </c>
      <c r="B1926" s="2" t="s">
        <v>2961</v>
      </c>
      <c r="C1926" s="2" t="s">
        <v>24</v>
      </c>
      <c r="D1926" s="2" t="s">
        <v>2962</v>
      </c>
      <c r="E1926" s="2" t="s">
        <v>293</v>
      </c>
      <c r="F1926" s="11">
        <v>5610</v>
      </c>
      <c r="G1926" t="s">
        <v>36</v>
      </c>
      <c r="H1926" t="s">
        <v>3097</v>
      </c>
      <c r="I1926" t="s">
        <v>2984</v>
      </c>
      <c r="J1926" s="6" t="str">
        <f>HYPERLINK("https://www.biovista.com/db/link/%5B%5B%22Disease%7CPMM2%20deficiency%22%5D,%20%5B%22Gene%7CEIF2AK2%22%5D%5D?strength-weight-map=%257B%2522MEDLINE_STRENGTH_AB%2522:1.0,%2522HPO%2522:100.0%257D", "Show Evidence...")</f>
        <v>Show Evidence...</v>
      </c>
    </row>
    <row r="1927" spans="1:10" ht="12.75">
      <c r="A1927" s="2" t="s">
        <v>50</v>
      </c>
      <c r="B1927" s="2" t="s">
        <v>2961</v>
      </c>
      <c r="C1927" s="2" t="s">
        <v>24</v>
      </c>
      <c r="D1927" s="2" t="s">
        <v>2962</v>
      </c>
      <c r="E1927" s="2" t="s">
        <v>293</v>
      </c>
      <c r="F1927" s="11">
        <v>443316</v>
      </c>
      <c r="G1927" t="s">
        <v>36</v>
      </c>
      <c r="H1927" t="s">
        <v>3098</v>
      </c>
      <c r="I1927" t="s">
        <v>2984</v>
      </c>
      <c r="J1927" s="6" t="str">
        <f>HYPERLINK("https://www.biovista.com/db/link/%5B%5B%22Disease%7CPMM2%20deficiency%22%5D,%20%5B%22Gene%7Cfactor%20IX%22%5D%5D?strength-weight-map=%257B%2522MEDLINE_STRENGTH_AB%2522:1.0,%2522HPO%2522:100.0%257D", "Show Evidence...")</f>
        <v>Show Evidence...</v>
      </c>
    </row>
    <row r="1928" spans="1:10" ht="12.75">
      <c r="A1928" s="2" t="s">
        <v>50</v>
      </c>
      <c r="B1928" s="2" t="s">
        <v>2961</v>
      </c>
      <c r="C1928" s="2" t="s">
        <v>24</v>
      </c>
      <c r="D1928" s="2" t="s">
        <v>2962</v>
      </c>
      <c r="E1928" s="2" t="s">
        <v>293</v>
      </c>
      <c r="F1928" s="11">
        <v>2159</v>
      </c>
      <c r="G1928" t="s">
        <v>36</v>
      </c>
      <c r="H1928" t="s">
        <v>3099</v>
      </c>
      <c r="I1928" t="s">
        <v>2984</v>
      </c>
      <c r="J1928" s="6" t="str">
        <f>HYPERLINK("https://www.biovista.com/db/link/%5B%5B%22Disease%7CPMM2%20deficiency%22%5D,%20%5B%22Gene%7Cfactor%20X%22%5D%5D?strength-weight-map=%257B%2522MEDLINE_STRENGTH_AB%2522:1.0,%2522HPO%2522:100.0%257D", "Show Evidence...")</f>
        <v>Show Evidence...</v>
      </c>
    </row>
    <row r="1929" spans="1:10" ht="12.75">
      <c r="A1929" s="2" t="s">
        <v>50</v>
      </c>
      <c r="B1929" s="2" t="s">
        <v>2961</v>
      </c>
      <c r="C1929" s="2" t="s">
        <v>24</v>
      </c>
      <c r="D1929" s="2" t="s">
        <v>2962</v>
      </c>
      <c r="E1929" s="2" t="s">
        <v>293</v>
      </c>
      <c r="F1929" s="11">
        <v>403164</v>
      </c>
      <c r="G1929" t="s">
        <v>36</v>
      </c>
      <c r="H1929" t="s">
        <v>3100</v>
      </c>
      <c r="I1929" t="s">
        <v>2984</v>
      </c>
      <c r="J1929" s="6" t="str">
        <f>HYPERLINK("https://www.biovista.com/db/link/%5B%5B%22Disease%7CPMM2%20deficiency%22%5D,%20%5B%22Gene%7Cfibrinogen%22%5D%5D?strength-weight-map=%257B%2522MEDLINE_STRENGTH_AB%2522:1.0,%2522HPO%2522:100.0%257D", "Show Evidence...")</f>
        <v>Show Evidence...</v>
      </c>
    </row>
    <row r="1930" spans="1:10" ht="12.75">
      <c r="A1930" s="2" t="s">
        <v>50</v>
      </c>
      <c r="B1930" s="2" t="s">
        <v>2961</v>
      </c>
      <c r="C1930" s="2" t="s">
        <v>24</v>
      </c>
      <c r="D1930" s="2" t="s">
        <v>2962</v>
      </c>
      <c r="E1930" s="2" t="s">
        <v>293</v>
      </c>
      <c r="F1930" s="11">
        <v>2488</v>
      </c>
      <c r="G1930" t="s">
        <v>36</v>
      </c>
      <c r="H1930" t="s">
        <v>2585</v>
      </c>
      <c r="I1930" t="s">
        <v>2984</v>
      </c>
      <c r="J1930" s="6" t="str">
        <f>HYPERLINK("https://www.biovista.com/db/link/%5B%5B%22Disease%7CPMM2%20deficiency%22%5D,%20%5B%22Gene%7CFSHB%22%5D%5D?strength-weight-map=%257B%2522MEDLINE_STRENGTH_AB%2522:1.0,%2522HPO%2522:100.0%257D", "Show Evidence...")</f>
        <v>Show Evidence...</v>
      </c>
    </row>
    <row r="1931" spans="1:10" ht="12.75">
      <c r="A1931" s="2" t="s">
        <v>50</v>
      </c>
      <c r="B1931" s="2" t="s">
        <v>2961</v>
      </c>
      <c r="C1931" s="2" t="s">
        <v>24</v>
      </c>
      <c r="D1931" s="2" t="s">
        <v>2962</v>
      </c>
      <c r="E1931" s="2" t="s">
        <v>293</v>
      </c>
      <c r="F1931" s="11">
        <v>23885</v>
      </c>
      <c r="G1931" t="s">
        <v>36</v>
      </c>
      <c r="H1931" t="s">
        <v>3101</v>
      </c>
      <c r="I1931" t="s">
        <v>2984</v>
      </c>
      <c r="J1931" s="6" t="str">
        <f>HYPERLINK("https://www.biovista.com/db/link/%5B%5B%22Disease%7CPMM2%20deficiency%22%5D,%20%5B%22Gene%7Cglc-1%22%5D%5D?strength-weight-map=%257B%2522MEDLINE_STRENGTH_AB%2522:1.0,%2522HPO%2522:100.0%257D", "Show Evidence...")</f>
        <v>Show Evidence...</v>
      </c>
    </row>
    <row r="1932" spans="1:10" ht="12.75">
      <c r="A1932" s="2" t="s">
        <v>50</v>
      </c>
      <c r="B1932" s="2" t="s">
        <v>2961</v>
      </c>
      <c r="C1932" s="2" t="s">
        <v>24</v>
      </c>
      <c r="D1932" s="2" t="s">
        <v>2962</v>
      </c>
      <c r="E1932" s="2" t="s">
        <v>293</v>
      </c>
      <c r="F1932" s="11">
        <v>10007</v>
      </c>
      <c r="G1932" t="s">
        <v>36</v>
      </c>
      <c r="H1932" t="s">
        <v>3102</v>
      </c>
      <c r="I1932" t="s">
        <v>2984</v>
      </c>
      <c r="J1932" s="6" t="str">
        <f>HYPERLINK("https://www.biovista.com/db/link/%5B%5B%22Disease%7CPMM2%20deficiency%22%5D,%20%5B%22Gene%7CGPI%22%5D%5D?strength-weight-map=%257B%2522MEDLINE_STRENGTH_AB%2522:1.0,%2522HPO%2522:100.0%257D", "Show Evidence...")</f>
        <v>Show Evidence...</v>
      </c>
    </row>
    <row r="1933" spans="1:10" ht="12.75">
      <c r="A1933" s="2" t="s">
        <v>50</v>
      </c>
      <c r="B1933" s="2" t="s">
        <v>2961</v>
      </c>
      <c r="C1933" s="2" t="s">
        <v>24</v>
      </c>
      <c r="D1933" s="2" t="s">
        <v>2962</v>
      </c>
      <c r="E1933" s="2" t="s">
        <v>293</v>
      </c>
      <c r="F1933" s="11">
        <v>3073</v>
      </c>
      <c r="G1933" t="s">
        <v>36</v>
      </c>
      <c r="H1933" t="s">
        <v>3103</v>
      </c>
      <c r="I1933" t="s">
        <v>2984</v>
      </c>
      <c r="J1933" s="6" t="str">
        <f>HYPERLINK("https://www.biovista.com/db/link/%5B%5B%22Disease%7CPMM2%20deficiency%22%5D,%20%5B%22Gene%7CHEXA%22%5D%5D?strength-weight-map=%257B%2522MEDLINE_STRENGTH_AB%2522:1.0,%2522HPO%2522:100.0%257D", "Show Evidence...")</f>
        <v>Show Evidence...</v>
      </c>
    </row>
    <row r="1934" spans="1:10" ht="12.75">
      <c r="A1934" s="2" t="s">
        <v>50</v>
      </c>
      <c r="B1934" s="2" t="s">
        <v>2961</v>
      </c>
      <c r="C1934" s="2" t="s">
        <v>24</v>
      </c>
      <c r="D1934" s="2" t="s">
        <v>2962</v>
      </c>
      <c r="E1934" s="2" t="s">
        <v>293</v>
      </c>
      <c r="F1934" s="11">
        <v>20312466</v>
      </c>
      <c r="G1934" t="s">
        <v>36</v>
      </c>
      <c r="H1934" t="s">
        <v>3104</v>
      </c>
      <c r="I1934" t="s">
        <v>2984</v>
      </c>
      <c r="J1934" s="6" t="str">
        <f>HYPERLINK("https://www.biovista.com/db/link/%5B%5B%22Disease%7CPMM2%20deficiency%22%5D,%20%5B%22Gene%7CHMPREF1120_07827%22%5D%5D?strength-weight-map=%257B%2522MEDLINE_STRENGTH_AB%2522:1.0,%2522HPO%2522:100.0%257D", "Show Evidence...")</f>
        <v>Show Evidence...</v>
      </c>
    </row>
    <row r="1935" spans="1:10" ht="12.75">
      <c r="A1935" s="2" t="s">
        <v>50</v>
      </c>
      <c r="B1935" s="2" t="s">
        <v>2961</v>
      </c>
      <c r="C1935" s="2" t="s">
        <v>24</v>
      </c>
      <c r="D1935" s="2" t="s">
        <v>2962</v>
      </c>
      <c r="E1935" s="2" t="s">
        <v>293</v>
      </c>
      <c r="F1935" s="11">
        <v>3479</v>
      </c>
      <c r="G1935" t="s">
        <v>36</v>
      </c>
      <c r="H1935" t="s">
        <v>3105</v>
      </c>
      <c r="I1935" t="s">
        <v>2984</v>
      </c>
      <c r="J1935" s="6" t="str">
        <f>HYPERLINK("https://www.biovista.com/db/link/%5B%5B%22Disease%7CPMM2%20deficiency%22%5D,%20%5B%22Gene%7CIGF%22%5D%5D?strength-weight-map=%257B%2522MEDLINE_STRENGTH_AB%2522:1.0,%2522HPO%2522:100.0%257D", "Show Evidence...")</f>
        <v>Show Evidence...</v>
      </c>
    </row>
    <row r="1936" spans="1:10" ht="12.75">
      <c r="A1936" s="2" t="s">
        <v>50</v>
      </c>
      <c r="B1936" s="2" t="s">
        <v>2961</v>
      </c>
      <c r="C1936" s="2" t="s">
        <v>24</v>
      </c>
      <c r="D1936" s="2" t="s">
        <v>2962</v>
      </c>
      <c r="E1936" s="2" t="s">
        <v>293</v>
      </c>
      <c r="F1936" s="11">
        <v>3479</v>
      </c>
      <c r="G1936" t="s">
        <v>36</v>
      </c>
      <c r="H1936" t="s">
        <v>3106</v>
      </c>
      <c r="I1936" t="s">
        <v>2984</v>
      </c>
      <c r="J1936" s="6" t="str">
        <f>HYPERLINK("https://www.biovista.com/db/link/%5B%5B%22Disease%7CPMM2%20deficiency%22%5D,%20%5B%22Gene%7CIGF1%22%5D%5D?strength-weight-map=%257B%2522MEDLINE_STRENGTH_AB%2522:1.0,%2522HPO%2522:100.0%257D", "Show Evidence...")</f>
        <v>Show Evidence...</v>
      </c>
    </row>
    <row r="1937" spans="1:10" ht="12.75">
      <c r="A1937" s="2" t="s">
        <v>50</v>
      </c>
      <c r="B1937" s="2" t="s">
        <v>2961</v>
      </c>
      <c r="C1937" s="2" t="s">
        <v>24</v>
      </c>
      <c r="D1937" s="2" t="s">
        <v>2962</v>
      </c>
      <c r="E1937" s="2" t="s">
        <v>293</v>
      </c>
      <c r="F1937" s="11">
        <v>3486</v>
      </c>
      <c r="G1937" t="s">
        <v>36</v>
      </c>
      <c r="H1937" t="s">
        <v>3107</v>
      </c>
      <c r="I1937" t="s">
        <v>2984</v>
      </c>
      <c r="J1937" s="6" t="str">
        <f>HYPERLINK("https://www.biovista.com/db/link/%5B%5B%22Disease%7CPMM2%20deficiency%22%5D,%20%5B%22Gene%7CIGFBP3%22%5D%5D?strength-weight-map=%257B%2522MEDLINE_STRENGTH_AB%2522:1.0,%2522HPO%2522:100.0%257D", "Show Evidence...")</f>
        <v>Show Evidence...</v>
      </c>
    </row>
    <row r="1938" spans="1:10" ht="12.75">
      <c r="A1938" s="2" t="s">
        <v>50</v>
      </c>
      <c r="B1938" s="2" t="s">
        <v>2961</v>
      </c>
      <c r="C1938" s="2" t="s">
        <v>24</v>
      </c>
      <c r="D1938" s="2" t="s">
        <v>2962</v>
      </c>
      <c r="E1938" s="2" t="s">
        <v>293</v>
      </c>
      <c r="F1938" s="11">
        <v>1280455</v>
      </c>
      <c r="G1938" t="s">
        <v>36</v>
      </c>
      <c r="H1938" t="s">
        <v>3108</v>
      </c>
      <c r="I1938" t="s">
        <v>2984</v>
      </c>
      <c r="J1938" s="6" t="str">
        <f>HYPERLINK("https://www.biovista.com/db/link/%5B%5B%22Disease%7CPMM2%20deficiency%22%5D,%20%5B%22Gene%7CINR%22%5D%5D?strength-weight-map=%257B%2522MEDLINE_STRENGTH_AB%2522:1.0,%2522HPO%2522:100.0%257D", "Show Evidence...")</f>
        <v>Show Evidence...</v>
      </c>
    </row>
    <row r="1939" spans="1:10" ht="12.75">
      <c r="A1939" s="2" t="s">
        <v>50</v>
      </c>
      <c r="B1939" s="2" t="s">
        <v>2961</v>
      </c>
      <c r="C1939" s="2" t="s">
        <v>24</v>
      </c>
      <c r="D1939" s="2" t="s">
        <v>2962</v>
      </c>
      <c r="E1939" s="2" t="s">
        <v>293</v>
      </c>
      <c r="F1939" s="11">
        <v>3630</v>
      </c>
      <c r="G1939" t="s">
        <v>36</v>
      </c>
      <c r="H1939" t="s">
        <v>358</v>
      </c>
      <c r="I1939" t="s">
        <v>2984</v>
      </c>
      <c r="J1939" s="6" t="str">
        <f>HYPERLINK("https://www.biovista.com/db/link/%5B%5B%22Disease%7CPMM2%20deficiency%22%5D,%20%5B%22Gene%7CINS%22%5D%5D?strength-weight-map=%257B%2522MEDLINE_STRENGTH_AB%2522:1.0,%2522HPO%2522:100.0%257D", "Show Evidence...")</f>
        <v>Show Evidence...</v>
      </c>
    </row>
    <row r="1940" spans="1:10" ht="12.75">
      <c r="A1940" s="2" t="s">
        <v>50</v>
      </c>
      <c r="B1940" s="2" t="s">
        <v>2961</v>
      </c>
      <c r="C1940" s="2" t="s">
        <v>24</v>
      </c>
      <c r="D1940" s="2" t="s">
        <v>2962</v>
      </c>
      <c r="E1940" s="2" t="s">
        <v>293</v>
      </c>
      <c r="F1940" s="11">
        <v>3949</v>
      </c>
      <c r="G1940" t="s">
        <v>36</v>
      </c>
      <c r="H1940" t="s">
        <v>3109</v>
      </c>
      <c r="I1940" t="s">
        <v>2984</v>
      </c>
      <c r="J1940" s="6" t="str">
        <f>HYPERLINK("https://www.biovista.com/db/link/%5B%5B%22Disease%7CPMM2%20deficiency%22%5D,%20%5B%22Gene%7CLDL%20receptor%22%5D%5D?strength-weight-map=%257B%2522MEDLINE_STRENGTH_AB%2522:1.0,%2522HPO%2522:100.0%257D", "Show Evidence...")</f>
        <v>Show Evidence...</v>
      </c>
    </row>
    <row r="1941" spans="1:10" ht="12.75">
      <c r="A1941" s="2" t="s">
        <v>50</v>
      </c>
      <c r="B1941" s="2" t="s">
        <v>2961</v>
      </c>
      <c r="C1941" s="2" t="s">
        <v>24</v>
      </c>
      <c r="D1941" s="2" t="s">
        <v>2962</v>
      </c>
      <c r="E1941" s="2" t="s">
        <v>53</v>
      </c>
      <c r="F1941" s="11" t="s">
        <v>3110</v>
      </c>
      <c r="G1941" t="s">
        <v>36</v>
      </c>
      <c r="H1941" t="s">
        <v>3111</v>
      </c>
      <c r="I1941" t="s">
        <v>2984</v>
      </c>
      <c r="J1941" s="6" t="str">
        <f>HYPERLINK("https://www.biovista.com/db/link/%5B%5B%22Disease%7CPMM2%20deficiency%22%5D,%20%5B%22Gene%7CLow-Density%20Lipoprotein%22%5D%5D?strength-weight-map=%257B%2522MEDLINE_STRENGTH_AB%2522:1.0,%2522HPO%2522:100.0%257D", "Show Evidence...")</f>
        <v>Show Evidence...</v>
      </c>
    </row>
    <row r="1942" spans="1:10" ht="12.75">
      <c r="A1942" s="2" t="s">
        <v>50</v>
      </c>
      <c r="B1942" s="2" t="s">
        <v>2961</v>
      </c>
      <c r="C1942" s="2" t="s">
        <v>24</v>
      </c>
      <c r="D1942" s="2" t="s">
        <v>2962</v>
      </c>
      <c r="E1942" s="2" t="s">
        <v>293</v>
      </c>
      <c r="F1942" s="11">
        <v>4489</v>
      </c>
      <c r="G1942" t="s">
        <v>36</v>
      </c>
      <c r="H1942" t="s">
        <v>3112</v>
      </c>
      <c r="I1942" t="s">
        <v>2984</v>
      </c>
      <c r="J1942" s="6" t="str">
        <f>HYPERLINK("https://www.biovista.com/db/link/%5B%5B%22Disease%7CPMM2%20deficiency%22%5D,%20%5B%22Gene%7CMT1%22%5D%5D?strength-weight-map=%257B%2522MEDLINE_STRENGTH_AB%2522:1.0,%2522HPO%2522:100.0%257D", "Show Evidence...")</f>
        <v>Show Evidence...</v>
      </c>
    </row>
    <row r="1943" spans="1:10" ht="12.75">
      <c r="A1943" s="2" t="s">
        <v>50</v>
      </c>
      <c r="B1943" s="2" t="s">
        <v>2961</v>
      </c>
      <c r="C1943" s="2" t="s">
        <v>24</v>
      </c>
      <c r="D1943" s="2" t="s">
        <v>2962</v>
      </c>
      <c r="E1943" s="2" t="s">
        <v>293</v>
      </c>
      <c r="F1943" s="11">
        <v>5004</v>
      </c>
      <c r="G1943" t="s">
        <v>36</v>
      </c>
      <c r="H1943" t="s">
        <v>3113</v>
      </c>
      <c r="I1943" t="s">
        <v>2984</v>
      </c>
      <c r="J1943" s="6" t="str">
        <f>HYPERLINK("https://www.biovista.com/db/link/%5B%5B%22Disease%7CPMM2%20deficiency%22%5D,%20%5B%22Gene%7CORM1%22%5D%5D?strength-weight-map=%257B%2522MEDLINE_STRENGTH_AB%2522:1.0,%2522HPO%2522:100.0%257D", "Show Evidence...")</f>
        <v>Show Evidence...</v>
      </c>
    </row>
    <row r="1944" spans="1:10" ht="12.75">
      <c r="A1944" s="2" t="s">
        <v>50</v>
      </c>
      <c r="B1944" s="2" t="s">
        <v>2961</v>
      </c>
      <c r="C1944" s="2" t="s">
        <v>24</v>
      </c>
      <c r="D1944" s="2" t="s">
        <v>2962</v>
      </c>
      <c r="E1944" s="2" t="s">
        <v>53</v>
      </c>
      <c r="F1944" s="11" t="s">
        <v>3072</v>
      </c>
      <c r="G1944" t="s">
        <v>36</v>
      </c>
      <c r="H1944" t="s">
        <v>3114</v>
      </c>
      <c r="I1944" t="s">
        <v>2984</v>
      </c>
      <c r="J1944" s="6" t="str">
        <f>HYPERLINK("https://www.biovista.com/db/link/%5B%5B%22Disease%7CPMM2%20deficiency%22%5D,%20%5B%22Gene%7CPeptide-N4-(N-acetyl-beta-glucosaminyl)%20Asparagine%20Amidase%22%5D%5D?strength-weight-map=%257B%2522MEDLINE_STRENGTH_AB%2522:1.0,%2522HPO%2522:100.0%257D", "Show Evidence...")</f>
        <v>Show Evidence...</v>
      </c>
    </row>
    <row r="1945" spans="1:10" ht="12.75">
      <c r="A1945" s="2" t="s">
        <v>50</v>
      </c>
      <c r="B1945" s="2" t="s">
        <v>2961</v>
      </c>
      <c r="C1945" s="2" t="s">
        <v>24</v>
      </c>
      <c r="D1945" s="2" t="s">
        <v>2962</v>
      </c>
      <c r="E1945" s="2" t="s">
        <v>53</v>
      </c>
      <c r="F1945" s="11" t="s">
        <v>3115</v>
      </c>
      <c r="G1945" t="s">
        <v>36</v>
      </c>
      <c r="H1945" t="s">
        <v>3116</v>
      </c>
      <c r="I1945" t="s">
        <v>2984</v>
      </c>
      <c r="J1945" s="6" t="str">
        <f>HYPERLINK("https://www.biovista.com/db/link/%5B%5B%22Disease%7CPMM2%20deficiency%22%5D,%20%5B%22Gene%7CPhotoreceptors,%20Plant%22%5D%5D?strength-weight-map=%257B%2522MEDLINE_STRENGTH_AB%2522:1.0,%2522HPO%2522:100.0%257D", "Show Evidence...")</f>
        <v>Show Evidence...</v>
      </c>
    </row>
    <row r="1946" spans="1:10" ht="12.75">
      <c r="A1946" s="2" t="s">
        <v>50</v>
      </c>
      <c r="B1946" s="2" t="s">
        <v>2961</v>
      </c>
      <c r="C1946" s="2" t="s">
        <v>24</v>
      </c>
      <c r="D1946" s="2" t="s">
        <v>2962</v>
      </c>
      <c r="E1946" s="2" t="s">
        <v>53</v>
      </c>
      <c r="F1946" s="11" t="s">
        <v>3117</v>
      </c>
      <c r="G1946" t="s">
        <v>36</v>
      </c>
      <c r="H1946" t="s">
        <v>3118</v>
      </c>
      <c r="I1946" t="s">
        <v>2984</v>
      </c>
      <c r="J1946" s="6" t="str">
        <f>HYPERLINK("https://www.biovista.com/db/link/%5B%5B%22Disease%7CPMM2%20deficiency%22%5D,%20%5B%22Gene%7CReceptors,%20Natural%20Killer%20Cell%22%5D%5D?strength-weight-map=%257B%2522MEDLINE_STRENGTH_AB%2522:1.0,%2522HPO%2522:100.0%257D", "Show Evidence...")</f>
        <v>Show Evidence...</v>
      </c>
    </row>
    <row r="1947" spans="1:10" ht="12.75">
      <c r="A1947" s="2" t="s">
        <v>50</v>
      </c>
      <c r="B1947" s="2" t="s">
        <v>2961</v>
      </c>
      <c r="C1947" s="2" t="s">
        <v>24</v>
      </c>
      <c r="D1947" s="2" t="s">
        <v>2962</v>
      </c>
      <c r="E1947" s="2" t="s">
        <v>293</v>
      </c>
      <c r="F1947" s="11">
        <v>6906</v>
      </c>
      <c r="G1947" t="s">
        <v>36</v>
      </c>
      <c r="H1947" t="s">
        <v>3119</v>
      </c>
      <c r="I1947" t="s">
        <v>2984</v>
      </c>
      <c r="J1947" s="6" t="str">
        <f>HYPERLINK("https://www.biovista.com/db/link/%5B%5B%22Disease%7CPMM2%20deficiency%22%5D,%20%5B%22Gene%7CTBG%22%5D%5D?strength-weight-map=%257B%2522MEDLINE_STRENGTH_AB%2522:1.0,%2522HPO%2522:100.0%257D", "Show Evidence...")</f>
        <v>Show Evidence...</v>
      </c>
    </row>
    <row r="1948" spans="1:10" ht="12.75">
      <c r="A1948" s="2" t="s">
        <v>50</v>
      </c>
      <c r="B1948" s="2" t="s">
        <v>2961</v>
      </c>
      <c r="C1948" s="2" t="s">
        <v>24</v>
      </c>
      <c r="D1948" s="2" t="s">
        <v>2962</v>
      </c>
      <c r="E1948" s="2" t="s">
        <v>293</v>
      </c>
      <c r="F1948" s="11">
        <v>14061</v>
      </c>
      <c r="G1948" t="s">
        <v>36</v>
      </c>
      <c r="H1948" t="s">
        <v>3120</v>
      </c>
      <c r="I1948" t="s">
        <v>2984</v>
      </c>
      <c r="J1948" s="6" t="str">
        <f>HYPERLINK("https://www.biovista.com/db/link/%5B%5B%22Disease%7CPMM2%20deficiency%22%5D,%20%5B%22Gene%7Cthrombin%22%5D%5D?strength-weight-map=%257B%2522MEDLINE_STRENGTH_AB%2522:1.0,%2522HPO%2522:100.0%257D", "Show Evidence...")</f>
        <v>Show Evidence...</v>
      </c>
    </row>
    <row r="1949" spans="1:10" ht="12.75">
      <c r="A1949" s="2" t="s">
        <v>50</v>
      </c>
      <c r="B1949" s="2" t="s">
        <v>2961</v>
      </c>
      <c r="C1949" s="2" t="s">
        <v>24</v>
      </c>
      <c r="D1949" s="2" t="s">
        <v>2962</v>
      </c>
      <c r="E1949" s="2" t="s">
        <v>293</v>
      </c>
      <c r="F1949" s="11">
        <v>114487</v>
      </c>
      <c r="G1949" t="s">
        <v>36</v>
      </c>
      <c r="H1949" t="s">
        <v>3121</v>
      </c>
      <c r="I1949" t="s">
        <v>2984</v>
      </c>
      <c r="J1949" s="6" t="str">
        <f>HYPERLINK("https://www.biovista.com/db/link/%5B%5B%22Disease%7CPMM2%20deficiency%22%5D,%20%5B%22Gene%7CWnt%22%5D%5D?strength-weight-map=%257B%2522MEDLINE_STRENGTH_AB%2522:1.0,%2522HPO%2522:100.0%257D", "Show Evidence...")</f>
        <v>Show Evidence...</v>
      </c>
    </row>
    <row r="1950" spans="1:10" ht="12.75">
      <c r="A1950" s="2" t="s">
        <v>50</v>
      </c>
      <c r="B1950" s="2" t="s">
        <v>2961</v>
      </c>
      <c r="C1950" s="2" t="s">
        <v>24</v>
      </c>
      <c r="D1950" s="2" t="s">
        <v>2962</v>
      </c>
      <c r="E1950" s="2" t="s">
        <v>293</v>
      </c>
      <c r="F1950" s="11">
        <v>2875</v>
      </c>
      <c r="G1950" t="s">
        <v>36</v>
      </c>
      <c r="H1950" t="s">
        <v>3122</v>
      </c>
      <c r="I1950" t="s">
        <v>2987</v>
      </c>
      <c r="J1950" s="6" t="str">
        <f>HYPERLINK("https://www.biovista.com/db/link/%5B%5B%22Disease%7CPMM2%20deficiency%22%5D,%20%5B%22Gene%7Calanine%20aminotransferase%22%5D%5D?strength-weight-map=%257B%2522MEDLINE_STRENGTH_AB%2522:1.0,%2522HPO%2522:100.0%257D", "Show Evidence...")</f>
        <v>Show Evidence...</v>
      </c>
    </row>
    <row r="1951" spans="1:10" ht="12.75">
      <c r="A1951" s="2" t="s">
        <v>50</v>
      </c>
      <c r="B1951" s="2" t="s">
        <v>2961</v>
      </c>
      <c r="C1951" s="2" t="s">
        <v>24</v>
      </c>
      <c r="D1951" s="2" t="s">
        <v>2962</v>
      </c>
      <c r="E1951" s="2" t="s">
        <v>293</v>
      </c>
      <c r="F1951" s="11">
        <v>2683</v>
      </c>
      <c r="G1951" t="s">
        <v>36</v>
      </c>
      <c r="H1951" t="s">
        <v>3123</v>
      </c>
      <c r="I1951" t="s">
        <v>2987</v>
      </c>
      <c r="J1951" s="6" t="str">
        <f>HYPERLINK("https://www.biovista.com/db/link/%5B%5B%22Disease%7CPMM2%20deficiency%22%5D,%20%5B%22Gene%7CB4GALT1%22%5D%5D?strength-weight-map=%257B%2522MEDLINE_STRENGTH_AB%2522:1.0,%2522HPO%2522:100.0%257D", "Show Evidence...")</f>
        <v>Show Evidence...</v>
      </c>
    </row>
    <row r="1952" spans="1:10" ht="12.75">
      <c r="A1952" s="2" t="s">
        <v>50</v>
      </c>
      <c r="B1952" s="2" t="s">
        <v>2961</v>
      </c>
      <c r="C1952" s="2" t="s">
        <v>24</v>
      </c>
      <c r="D1952" s="2" t="s">
        <v>2962</v>
      </c>
      <c r="E1952" s="2" t="s">
        <v>293</v>
      </c>
      <c r="F1952" s="11">
        <v>58992</v>
      </c>
      <c r="G1952" t="s">
        <v>36</v>
      </c>
      <c r="H1952" t="s">
        <v>3124</v>
      </c>
      <c r="I1952" t="s">
        <v>2987</v>
      </c>
      <c r="J1952" s="6" t="str">
        <f>HYPERLINK("https://www.biovista.com/db/link/%5B%5B%22Disease%7CPMM2%20deficiency%22%5D,%20%5B%22Gene%7Cfactor%20XII%22%5D%5D?strength-weight-map=%257B%2522MEDLINE_STRENGTH_AB%2522:1.0,%2522HPO%2522:100.0%257D", "Show Evidence...")</f>
        <v>Show Evidence...</v>
      </c>
    </row>
    <row r="1953" spans="1:10" ht="12.75">
      <c r="A1953" s="2" t="s">
        <v>50</v>
      </c>
      <c r="B1953" s="2" t="s">
        <v>2961</v>
      </c>
      <c r="C1953" s="2" t="s">
        <v>24</v>
      </c>
      <c r="D1953" s="2" t="s">
        <v>2962</v>
      </c>
      <c r="E1953" s="2" t="s">
        <v>293</v>
      </c>
      <c r="F1953" s="11">
        <v>3303</v>
      </c>
      <c r="G1953" t="s">
        <v>36</v>
      </c>
      <c r="H1953" t="s">
        <v>3125</v>
      </c>
      <c r="I1953" t="s">
        <v>2987</v>
      </c>
      <c r="J1953" s="6" t="str">
        <f>HYPERLINK("https://www.biovista.com/db/link/%5B%5B%22Disease%7CPMM2%20deficiency%22%5D,%20%5B%22Gene%7Chsp70%22%5D%5D?strength-weight-map=%257B%2522MEDLINE_STRENGTH_AB%2522:1.0,%2522HPO%2522:100.0%257D", "Show Evidence...")</f>
        <v>Show Evidence...</v>
      </c>
    </row>
    <row r="1954" spans="1:10" ht="12.75">
      <c r="A1954" s="2" t="s">
        <v>50</v>
      </c>
      <c r="B1954" s="2" t="s">
        <v>2961</v>
      </c>
      <c r="C1954" s="2" t="s">
        <v>24</v>
      </c>
      <c r="D1954" s="2" t="s">
        <v>2962</v>
      </c>
      <c r="E1954" s="2" t="s">
        <v>293</v>
      </c>
      <c r="F1954" s="11">
        <v>11253</v>
      </c>
      <c r="G1954" t="s">
        <v>36</v>
      </c>
      <c r="H1954" t="s">
        <v>3126</v>
      </c>
      <c r="I1954" t="s">
        <v>2987</v>
      </c>
      <c r="J1954" s="6" t="str">
        <f>HYPERLINK("https://www.biovista.com/db/link/%5B%5B%22Disease%7CPMM2%20deficiency%22%5D,%20%5B%22Gene%7CMAN1B1%22%5D%5D?strength-weight-map=%257B%2522MEDLINE_STRENGTH_AB%2522:1.0,%2522HPO%2522:100.0%257D", "Show Evidence...")</f>
        <v>Show Evidence...</v>
      </c>
    </row>
    <row r="1955" spans="1:10" ht="12.75">
      <c r="A1955" s="2" t="s">
        <v>50</v>
      </c>
      <c r="B1955" s="2" t="s">
        <v>2961</v>
      </c>
      <c r="C1955" s="2" t="s">
        <v>24</v>
      </c>
      <c r="D1955" s="2" t="s">
        <v>2962</v>
      </c>
      <c r="E1955" s="2" t="s">
        <v>293</v>
      </c>
      <c r="F1955" s="11">
        <v>778978</v>
      </c>
      <c r="G1955" t="s">
        <v>36</v>
      </c>
      <c r="H1955" t="s">
        <v>3127</v>
      </c>
      <c r="I1955" t="s">
        <v>2987</v>
      </c>
      <c r="J1955" s="6" t="str">
        <f>HYPERLINK("https://www.biovista.com/db/link/%5B%5B%22Disease%7CPMM2%20deficiency%22%5D,%20%5B%22Gene%7Cnpc1b%22%5D%5D?strength-weight-map=%257B%2522MEDLINE_STRENGTH_AB%2522:1.0,%2522HPO%2522:100.0%257D", "Show Evidence...")</f>
        <v>Show Evidence...</v>
      </c>
    </row>
    <row r="1956" spans="1:10" ht="12.75">
      <c r="A1956" s="2" t="s">
        <v>50</v>
      </c>
      <c r="B1956" s="2" t="s">
        <v>2961</v>
      </c>
      <c r="C1956" s="2" t="s">
        <v>24</v>
      </c>
      <c r="D1956" s="2" t="s">
        <v>2962</v>
      </c>
      <c r="E1956" s="2" t="s">
        <v>293</v>
      </c>
      <c r="F1956" s="11">
        <v>7436</v>
      </c>
      <c r="G1956" t="s">
        <v>36</v>
      </c>
      <c r="H1956" t="s">
        <v>3128</v>
      </c>
      <c r="I1956" t="s">
        <v>2987</v>
      </c>
      <c r="J1956" s="6" t="str">
        <f>HYPERLINK("https://www.biovista.com/db/link/%5B%5B%22Disease%7CPMM2%20deficiency%22%5D,%20%5B%22Gene%7CVLDLR%22%5D%5D?strength-weight-map=%257B%2522MEDLINE_STRENGTH_AB%2522:1.0,%2522HPO%2522:100.0%257D", "Show Evidence...")</f>
        <v>Show Evidence...</v>
      </c>
    </row>
    <row r="1957" spans="1:10" ht="12.75">
      <c r="A1957" s="2" t="s">
        <v>50</v>
      </c>
      <c r="B1957" s="2" t="s">
        <v>2961</v>
      </c>
      <c r="C1957" s="2" t="s">
        <v>24</v>
      </c>
      <c r="D1957" s="2" t="s">
        <v>2962</v>
      </c>
      <c r="E1957" s="2" t="s">
        <v>293</v>
      </c>
      <c r="F1957" s="11">
        <v>7702</v>
      </c>
      <c r="G1957" t="s">
        <v>36</v>
      </c>
      <c r="H1957" t="s">
        <v>3129</v>
      </c>
      <c r="I1957" t="s">
        <v>2987</v>
      </c>
      <c r="J1957" s="6" t="str">
        <f>HYPERLINK("https://www.biovista.com/db/link/%5B%5B%22Disease%7CPMM2%20deficiency%22%5D,%20%5B%22Gene%7CZNF143%22%5D%5D?strength-weight-map=%257B%2522MEDLINE_STRENGTH_AB%2522:1.0,%2522HPO%2522:100.0%257D", "Show Evidence...")</f>
        <v>Show Evidence...</v>
      </c>
    </row>
    <row r="1958" spans="1:10" ht="12.75">
      <c r="A1958" s="2" t="s">
        <v>50</v>
      </c>
      <c r="B1958" s="2" t="s">
        <v>2961</v>
      </c>
      <c r="C1958" s="2" t="s">
        <v>24</v>
      </c>
      <c r="D1958" s="2" t="s">
        <v>2962</v>
      </c>
      <c r="E1958" s="2" t="s">
        <v>431</v>
      </c>
      <c r="F1958" s="11" t="s">
        <v>1372</v>
      </c>
      <c r="G1958" t="s">
        <v>38</v>
      </c>
      <c r="H1958" t="s">
        <v>1373</v>
      </c>
      <c r="I1958" t="s">
        <v>3130</v>
      </c>
      <c r="J1958" s="6" t="str">
        <f>HYPERLINK("https://www.biovista.com/db/link/%5B%5B%22Disease%7CPMM2%20deficiency%22%5D,%20%5B%22Human%20Phenotype%7CGlobal%20developmental%20delay%22%5D%5D?strength-weight-map=%257B%2522MEDLINE_STRENGTH_AB%2522:1.0,%2522HPO%2522:100.0%257D", "Show Evidence...")</f>
        <v>Show Evidence...</v>
      </c>
    </row>
    <row r="1959" spans="1:10" ht="12.75">
      <c r="A1959" s="2" t="s">
        <v>50</v>
      </c>
      <c r="B1959" s="2" t="s">
        <v>2961</v>
      </c>
      <c r="C1959" s="2" t="s">
        <v>24</v>
      </c>
      <c r="D1959" s="2" t="s">
        <v>2962</v>
      </c>
      <c r="E1959" s="2" t="s">
        <v>431</v>
      </c>
      <c r="F1959" s="11" t="s">
        <v>3131</v>
      </c>
      <c r="G1959" t="s">
        <v>38</v>
      </c>
      <c r="H1959" t="s">
        <v>3132</v>
      </c>
      <c r="I1959" t="s">
        <v>3133</v>
      </c>
      <c r="J1959" s="6" t="str">
        <f>HYPERLINK("https://www.biovista.com/db/link/%5B%5B%22Disease%7CPMM2%20deficiency%22%5D,%20%5B%22Human%20Phenotype%7CCerebellar%20hypoplasia%22%5D%5D?strength-weight-map=%257B%2522MEDLINE_STRENGTH_AB%2522:1.0,%2522HPO%2522:100.0%257D", "Show Evidence...")</f>
        <v>Show Evidence...</v>
      </c>
    </row>
    <row r="1960" spans="1:10" ht="12.75">
      <c r="A1960" s="2" t="s">
        <v>50</v>
      </c>
      <c r="B1960" s="2" t="s">
        <v>2961</v>
      </c>
      <c r="C1960" s="2" t="s">
        <v>24</v>
      </c>
      <c r="D1960" s="2" t="s">
        <v>2962</v>
      </c>
      <c r="E1960" s="2" t="s">
        <v>431</v>
      </c>
      <c r="F1960" s="11" t="s">
        <v>1306</v>
      </c>
      <c r="G1960" t="s">
        <v>38</v>
      </c>
      <c r="H1960" t="s">
        <v>1307</v>
      </c>
      <c r="I1960" t="s">
        <v>3134</v>
      </c>
      <c r="J1960" s="6" t="str">
        <f>HYPERLINK("https://www.biovista.com/db/link/%5B%5B%22Disease%7CPMM2%20deficiency%22%5D,%20%5B%22Human%20Phenotype%7CDelayed%20speech%20and%20language%20development%22%5D%5D?strength-weight-map=%257B%2522MEDLINE_STRENGTH_AB%2522:1.0,%2522HPO%2522:100.0%257D", "Show Evidence...")</f>
        <v>Show Evidence...</v>
      </c>
    </row>
    <row r="1961" spans="1:10" ht="12.75">
      <c r="A1961" s="2" t="s">
        <v>50</v>
      </c>
      <c r="B1961" s="2" t="s">
        <v>2961</v>
      </c>
      <c r="C1961" s="2" t="s">
        <v>24</v>
      </c>
      <c r="D1961" s="2" t="s">
        <v>2962</v>
      </c>
      <c r="E1961" s="2" t="s">
        <v>431</v>
      </c>
      <c r="F1961" s="11" t="s">
        <v>3135</v>
      </c>
      <c r="G1961" t="s">
        <v>38</v>
      </c>
      <c r="H1961" t="s">
        <v>3136</v>
      </c>
      <c r="I1961" t="s">
        <v>3137</v>
      </c>
      <c r="J1961" s="6" t="str">
        <f>HYPERLINK("https://www.biovista.com/db/link/%5B%5B%22Disease%7CPMM2%20deficiency%22%5D,%20%5B%22Human%20Phenotype%7CHepatic%20fibrosis%22%5D%5D?strength-weight-map=%257B%2522MEDLINE_STRENGTH_AB%2522:1.0,%2522HPO%2522:100.0%257D", "Show Evidence...")</f>
        <v>Show Evidence...</v>
      </c>
    </row>
    <row r="1962" spans="1:10" ht="12.75">
      <c r="A1962" s="2" t="s">
        <v>50</v>
      </c>
      <c r="B1962" s="2" t="s">
        <v>2961</v>
      </c>
      <c r="C1962" s="2" t="s">
        <v>24</v>
      </c>
      <c r="D1962" s="2" t="s">
        <v>2962</v>
      </c>
      <c r="E1962" s="2" t="s">
        <v>431</v>
      </c>
      <c r="F1962" s="11" t="s">
        <v>464</v>
      </c>
      <c r="G1962" t="s">
        <v>38</v>
      </c>
      <c r="H1962" t="s">
        <v>465</v>
      </c>
      <c r="I1962" t="s">
        <v>3138</v>
      </c>
      <c r="J1962" s="6" t="str">
        <f>HYPERLINK("https://www.biovista.com/db/link/%5B%5B%22Disease%7CPMM2%20deficiency%22%5D,%20%5B%22Human%20Phenotype%7CAtaxia%22%5D%5D?strength-weight-map=%257B%2522MEDLINE_STRENGTH_AB%2522:1.0,%2522HPO%2522:100.0%257D", "Show Evidence...")</f>
        <v>Show Evidence...</v>
      </c>
    </row>
    <row r="1963" spans="1:10" ht="12.75">
      <c r="A1963" s="2" t="s">
        <v>50</v>
      </c>
      <c r="B1963" s="2" t="s">
        <v>2961</v>
      </c>
      <c r="C1963" s="2" t="s">
        <v>24</v>
      </c>
      <c r="D1963" s="2" t="s">
        <v>2962</v>
      </c>
      <c r="E1963" s="2" t="s">
        <v>431</v>
      </c>
      <c r="F1963" s="11" t="s">
        <v>622</v>
      </c>
      <c r="G1963" t="s">
        <v>38</v>
      </c>
      <c r="H1963" t="s">
        <v>623</v>
      </c>
      <c r="I1963" t="s">
        <v>3139</v>
      </c>
      <c r="J1963" s="6" t="str">
        <f>HYPERLINK("https://www.biovista.com/db/link/%5B%5B%22Disease%7CPMM2%20deficiency%22%5D,%20%5B%22Human%20Phenotype%7CMuscle%20weakness%22%5D%5D?strength-weight-map=%257B%2522MEDLINE_STRENGTH_AB%2522:1.0,%2522HPO%2522:100.0%257D", "Show Evidence...")</f>
        <v>Show Evidence...</v>
      </c>
    </row>
    <row r="1964" spans="1:10" ht="12.75">
      <c r="A1964" s="2" t="s">
        <v>50</v>
      </c>
      <c r="B1964" s="2" t="s">
        <v>2961</v>
      </c>
      <c r="C1964" s="2" t="s">
        <v>24</v>
      </c>
      <c r="D1964" s="2" t="s">
        <v>2962</v>
      </c>
      <c r="E1964" s="2" t="s">
        <v>431</v>
      </c>
      <c r="F1964" s="11" t="s">
        <v>3140</v>
      </c>
      <c r="G1964" t="s">
        <v>38</v>
      </c>
      <c r="H1964" t="s">
        <v>3141</v>
      </c>
      <c r="I1964" t="s">
        <v>1233</v>
      </c>
      <c r="J1964" s="6" t="str">
        <f>HYPERLINK("https://www.biovista.com/db/link/%5B%5B%22Disease%7CPMM2%20deficiency%22%5D,%20%5B%22Human%20Phenotype%7CAlmond-shaped%20palpebral%20fissure%22%5D%5D?strength-weight-map=%257B%2522MEDLINE_STRENGTH_AB%2522:1.0,%2522HPO%2522:100.0%257D", "Show Evidence...")</f>
        <v>Show Evidence...</v>
      </c>
    </row>
    <row r="1965" spans="1:10" ht="12.75">
      <c r="A1965" s="2" t="s">
        <v>50</v>
      </c>
      <c r="B1965" s="2" t="s">
        <v>2961</v>
      </c>
      <c r="C1965" s="2" t="s">
        <v>24</v>
      </c>
      <c r="D1965" s="2" t="s">
        <v>2962</v>
      </c>
      <c r="E1965" s="2" t="s">
        <v>3142</v>
      </c>
      <c r="F1965" s="11" t="s">
        <v>3143</v>
      </c>
      <c r="G1965" t="s">
        <v>38</v>
      </c>
      <c r="H1965" t="s">
        <v>3144</v>
      </c>
      <c r="I1965" t="s">
        <v>1233</v>
      </c>
      <c r="J1965" s="6" t="str">
        <f>HYPERLINK("https://www.biovista.com/db/link/%5B%5B%22Disease%7CPMM2%20deficiency%22%5D,%20%5B%22Human%20Phenotype%7CReduced%20tissue%20phosphomannomutase%20activity%22%5D%5D?strength-weight-map=%257B%2522MEDLINE_STRENGTH_AB%2522:1.0,%2522HPO%2522:100.0%257D", "Show Evidence...")</f>
        <v>Show Evidence...</v>
      </c>
    </row>
    <row r="1966" spans="1:10" ht="12.75">
      <c r="A1966" s="2" t="s">
        <v>50</v>
      </c>
      <c r="B1966" s="2" t="s">
        <v>2961</v>
      </c>
      <c r="C1966" s="2" t="s">
        <v>24</v>
      </c>
      <c r="D1966" s="2" t="s">
        <v>2962</v>
      </c>
      <c r="E1966" s="2" t="s">
        <v>431</v>
      </c>
      <c r="F1966" s="11" t="s">
        <v>3145</v>
      </c>
      <c r="G1966" t="s">
        <v>38</v>
      </c>
      <c r="H1966" t="s">
        <v>3146</v>
      </c>
      <c r="I1966" t="s">
        <v>1233</v>
      </c>
      <c r="J1966" s="6" t="str">
        <f>HYPERLINK("https://www.biovista.com/db/link/%5B%5B%22Disease%7CPMM2%20deficiency%22%5D,%20%5B%22Human%20Phenotype%7CType%20I%20transferrin%20isoform%20profile%22%5D%5D?strength-weight-map=%257B%2522MEDLINE_STRENGTH_AB%2522:1.0,%2522HPO%2522:100.0%257D", "Show Evidence...")</f>
        <v>Show Evidence...</v>
      </c>
    </row>
    <row r="1967" spans="1:10" ht="12.75">
      <c r="A1967" s="2" t="s">
        <v>50</v>
      </c>
      <c r="B1967" s="2" t="s">
        <v>2961</v>
      </c>
      <c r="C1967" s="2" t="s">
        <v>24</v>
      </c>
      <c r="D1967" s="2" t="s">
        <v>2962</v>
      </c>
      <c r="E1967" s="2" t="s">
        <v>431</v>
      </c>
      <c r="F1967" s="11" t="s">
        <v>3147</v>
      </c>
      <c r="G1967" t="s">
        <v>38</v>
      </c>
      <c r="H1967" t="s">
        <v>3148</v>
      </c>
      <c r="I1967" t="s">
        <v>3149</v>
      </c>
      <c r="J1967" s="6" t="str">
        <f>HYPERLINK("https://www.biovista.com/db/link/%5B%5B%22Disease%7CPMM2%20deficiency%22%5D,%20%5B%22Human%20Phenotype%7CStrabismus%22%5D%5D?strength-weight-map=%257B%2522MEDLINE_STRENGTH_AB%2522:1.0,%2522HPO%2522:100.0%257D", "Show Evidence...")</f>
        <v>Show Evidence...</v>
      </c>
    </row>
    <row r="1968" spans="1:10" ht="12.75">
      <c r="A1968" s="2" t="s">
        <v>50</v>
      </c>
      <c r="B1968" s="2" t="s">
        <v>2961</v>
      </c>
      <c r="C1968" s="2" t="s">
        <v>24</v>
      </c>
      <c r="D1968" s="2" t="s">
        <v>2962</v>
      </c>
      <c r="E1968" s="2" t="s">
        <v>431</v>
      </c>
      <c r="F1968" s="11" t="s">
        <v>532</v>
      </c>
      <c r="G1968" t="s">
        <v>38</v>
      </c>
      <c r="H1968" t="s">
        <v>533</v>
      </c>
      <c r="I1968" t="s">
        <v>3150</v>
      </c>
      <c r="J1968" s="6" t="str">
        <f>HYPERLINK("https://www.biovista.com/db/link/%5B%5B%22Disease%7CPMM2%20deficiency%22%5D,%20%5B%22Human%20Phenotype%7CHigh%20palate%22%5D%5D?strength-weight-map=%257B%2522MEDLINE_STRENGTH_AB%2522:1.0,%2522HPO%2522:100.0%257D", "Show Evidence...")</f>
        <v>Show Evidence...</v>
      </c>
    </row>
    <row r="1969" spans="1:10" ht="12.75">
      <c r="A1969" s="2" t="s">
        <v>50</v>
      </c>
      <c r="B1969" s="2" t="s">
        <v>2961</v>
      </c>
      <c r="C1969" s="2" t="s">
        <v>24</v>
      </c>
      <c r="D1969" s="2" t="s">
        <v>2962</v>
      </c>
      <c r="E1969" s="2" t="s">
        <v>431</v>
      </c>
      <c r="F1969" s="11" t="s">
        <v>3151</v>
      </c>
      <c r="G1969" t="s">
        <v>38</v>
      </c>
      <c r="H1969" t="s">
        <v>3152</v>
      </c>
      <c r="I1969" t="s">
        <v>455</v>
      </c>
      <c r="J1969" s="6" t="str">
        <f>HYPERLINK("https://www.biovista.com/db/link/%5B%5B%22Disease%7CPMM2%20deficiency%22%5D,%20%5B%22Human%20Phenotype%7CUpslanted%20palpebral%20fissure%22%5D%5D?strength-weight-map=%257B%2522MEDLINE_STRENGTH_AB%2522:1.0,%2522HPO%2522:100.0%257D", "Show Evidence...")</f>
        <v>Show Evidence...</v>
      </c>
    </row>
    <row r="1970" spans="1:10" ht="12.75">
      <c r="A1970" s="2" t="s">
        <v>50</v>
      </c>
      <c r="B1970" s="2" t="s">
        <v>2961</v>
      </c>
      <c r="C1970" s="2" t="s">
        <v>24</v>
      </c>
      <c r="D1970" s="2" t="s">
        <v>2962</v>
      </c>
      <c r="E1970" s="2" t="s">
        <v>431</v>
      </c>
      <c r="F1970" s="11" t="s">
        <v>514</v>
      </c>
      <c r="G1970" t="s">
        <v>38</v>
      </c>
      <c r="H1970" t="s">
        <v>515</v>
      </c>
      <c r="I1970" t="s">
        <v>3153</v>
      </c>
      <c r="J1970" s="6" t="str">
        <f>HYPERLINK("https://www.biovista.com/db/link/%5B%5B%22Disease%7CPMM2%20deficiency%22%5D,%20%5B%22Human%20Phenotype%7CHypotonia%22%5D%5D?strength-weight-map=%257B%2522MEDLINE_STRENGTH_AB%2522:1.0,%2522HPO%2522:100.0%257D", "Show Evidence...")</f>
        <v>Show Evidence...</v>
      </c>
    </row>
    <row r="1971" spans="1:10" ht="12.75">
      <c r="A1971" s="2" t="s">
        <v>50</v>
      </c>
      <c r="B1971" s="2" t="s">
        <v>2961</v>
      </c>
      <c r="C1971" s="2" t="s">
        <v>24</v>
      </c>
      <c r="D1971" s="2" t="s">
        <v>2962</v>
      </c>
      <c r="E1971" s="2" t="s">
        <v>431</v>
      </c>
      <c r="F1971" s="11" t="s">
        <v>2112</v>
      </c>
      <c r="G1971" t="s">
        <v>38</v>
      </c>
      <c r="H1971" t="s">
        <v>2113</v>
      </c>
      <c r="I1971" t="s">
        <v>3154</v>
      </c>
      <c r="J1971" s="6" t="str">
        <f>HYPERLINK("https://www.biovista.com/db/link/%5B%5B%22Disease%7CPMM2%20deficiency%22%5D,%20%5B%22Human%20Phenotype%7CFailure%20to%20thrive%22%5D%5D?strength-weight-map=%257B%2522MEDLINE_STRENGTH_AB%2522:1.0,%2522HPO%2522:100.0%257D", "Show Evidence...")</f>
        <v>Show Evidence...</v>
      </c>
    </row>
    <row r="1972" spans="1:10" ht="12.75">
      <c r="A1972" s="2" t="s">
        <v>50</v>
      </c>
      <c r="B1972" s="2" t="s">
        <v>2961</v>
      </c>
      <c r="C1972" s="2" t="s">
        <v>24</v>
      </c>
      <c r="D1972" s="2" t="s">
        <v>2962</v>
      </c>
      <c r="E1972" s="2" t="s">
        <v>431</v>
      </c>
      <c r="F1972" s="11" t="s">
        <v>3155</v>
      </c>
      <c r="G1972" t="s">
        <v>38</v>
      </c>
      <c r="H1972" t="s">
        <v>3156</v>
      </c>
      <c r="I1972" t="s">
        <v>3157</v>
      </c>
      <c r="J1972" s="6" t="str">
        <f>HYPERLINK("https://www.biovista.com/db/link/%5B%5B%22Disease%7CPMM2%20deficiency%22%5D,%20%5B%22Human%20Phenotype%7CCerebellar%20vermis%20hypoplasia%22%5D%5D?strength-weight-map=%257B%2522MEDLINE_STRENGTH_AB%2522:1.0,%2522HPO%2522:100.0%257D", "Show Evidence...")</f>
        <v>Show Evidence...</v>
      </c>
    </row>
    <row r="1973" spans="1:10" ht="12.75">
      <c r="A1973" s="2" t="s">
        <v>50</v>
      </c>
      <c r="B1973" s="2" t="s">
        <v>2961</v>
      </c>
      <c r="C1973" s="2" t="s">
        <v>24</v>
      </c>
      <c r="D1973" s="2" t="s">
        <v>2962</v>
      </c>
      <c r="E1973" s="2" t="s">
        <v>431</v>
      </c>
      <c r="F1973" s="11" t="s">
        <v>517</v>
      </c>
      <c r="G1973" t="s">
        <v>38</v>
      </c>
      <c r="H1973" t="s">
        <v>518</v>
      </c>
      <c r="I1973" t="s">
        <v>3158</v>
      </c>
      <c r="J1973" s="6" t="str">
        <f>HYPERLINK("https://www.biovista.com/db/link/%5B%5B%22Disease%7CPMM2%20deficiency%22%5D,%20%5B%22Human%20Phenotype%7CSeizure%22%5D%5D?strength-weight-map=%257B%2522MEDLINE_STRENGTH_AB%2522:1.0,%2522HPO%2522:100.0%257D", "Show Evidence...")</f>
        <v>Show Evidence...</v>
      </c>
    </row>
    <row r="1974" spans="1:10" ht="12.75">
      <c r="A1974" s="2" t="s">
        <v>50</v>
      </c>
      <c r="B1974" s="2" t="s">
        <v>2961</v>
      </c>
      <c r="C1974" s="2" t="s">
        <v>24</v>
      </c>
      <c r="D1974" s="2" t="s">
        <v>2962</v>
      </c>
      <c r="E1974" s="2" t="s">
        <v>431</v>
      </c>
      <c r="F1974" s="11" t="s">
        <v>1249</v>
      </c>
      <c r="G1974" t="s">
        <v>38</v>
      </c>
      <c r="H1974" t="s">
        <v>1250</v>
      </c>
      <c r="I1974" t="s">
        <v>3159</v>
      </c>
      <c r="J1974" s="6" t="str">
        <f>HYPERLINK("https://www.biovista.com/db/link/%5B%5B%22Disease%7CPMM2%20deficiency%22%5D,%20%5B%22Human%20Phenotype%7CInfantile%20onset%22%5D%5D?strength-weight-map=%257B%2522MEDLINE_STRENGTH_AB%2522:1.0,%2522HPO%2522:100.0%257D", "Show Evidence...")</f>
        <v>Show Evidence...</v>
      </c>
    </row>
    <row r="1975" spans="1:10" ht="12.75">
      <c r="A1975" s="2" t="s">
        <v>50</v>
      </c>
      <c r="B1975" s="2" t="s">
        <v>2961</v>
      </c>
      <c r="C1975" s="2" t="s">
        <v>24</v>
      </c>
      <c r="D1975" s="2" t="s">
        <v>2962</v>
      </c>
      <c r="E1975" s="2" t="s">
        <v>431</v>
      </c>
      <c r="F1975" s="11" t="s">
        <v>1724</v>
      </c>
      <c r="G1975" t="s">
        <v>38</v>
      </c>
      <c r="H1975" t="s">
        <v>1725</v>
      </c>
      <c r="I1975" t="s">
        <v>3160</v>
      </c>
      <c r="J1975" s="6" t="str">
        <f>HYPERLINK("https://www.biovista.com/db/link/%5B%5B%22Disease%7CPMM2%20deficiency%22%5D,%20%5B%22Human%20Phenotype%7CVomiting%22%5D%5D?strength-weight-map=%257B%2522MEDLINE_STRENGTH_AB%2522:1.0,%2522HPO%2522:100.0%257D", "Show Evidence...")</f>
        <v>Show Evidence...</v>
      </c>
    </row>
    <row r="1976" spans="1:10" ht="12.75">
      <c r="A1976" s="2" t="s">
        <v>50</v>
      </c>
      <c r="B1976" s="2" t="s">
        <v>2961</v>
      </c>
      <c r="C1976" s="2" t="s">
        <v>24</v>
      </c>
      <c r="D1976" s="2" t="s">
        <v>2962</v>
      </c>
      <c r="E1976" s="2" t="s">
        <v>431</v>
      </c>
      <c r="F1976" s="11" t="s">
        <v>3161</v>
      </c>
      <c r="G1976" t="s">
        <v>38</v>
      </c>
      <c r="H1976" t="s">
        <v>3162</v>
      </c>
      <c r="I1976" t="s">
        <v>3163</v>
      </c>
      <c r="J1976" s="6" t="str">
        <f>HYPERLINK("https://www.biovista.com/db/link/%5B%5B%22Disease%7CPMM2%20deficiency%22%5D,%20%5B%22Human%20Phenotype%7CRenal%20cyst%22%5D%5D?strength-weight-map=%257B%2522MEDLINE_STRENGTH_AB%2522:1.0,%2522HPO%2522:100.0%257D", "Show Evidence...")</f>
        <v>Show Evidence...</v>
      </c>
    </row>
    <row r="1977" spans="1:10" ht="12.75">
      <c r="A1977" s="2" t="s">
        <v>50</v>
      </c>
      <c r="B1977" s="2" t="s">
        <v>2961</v>
      </c>
      <c r="C1977" s="2" t="s">
        <v>24</v>
      </c>
      <c r="D1977" s="2" t="s">
        <v>2962</v>
      </c>
      <c r="E1977" s="2" t="s">
        <v>431</v>
      </c>
      <c r="F1977" s="11" t="s">
        <v>3164</v>
      </c>
      <c r="G1977" t="s">
        <v>38</v>
      </c>
      <c r="H1977" t="s">
        <v>3165</v>
      </c>
      <c r="I1977" t="s">
        <v>3166</v>
      </c>
      <c r="J1977" s="6" t="str">
        <f>HYPERLINK("https://www.biovista.com/db/link/%5B%5B%22Disease%7CPMM2%20deficiency%22%5D,%20%5B%22Human%20Phenotype%7CEsodeviation%22%5D%5D?strength-weight-map=%257B%2522MEDLINE_STRENGTH_AB%2522:1.0,%2522HPO%2522:100.0%257D", "Show Evidence...")</f>
        <v>Show Evidence...</v>
      </c>
    </row>
    <row r="1978" spans="1:10" ht="12.75">
      <c r="A1978" s="2" t="s">
        <v>50</v>
      </c>
      <c r="B1978" s="2" t="s">
        <v>2961</v>
      </c>
      <c r="C1978" s="2" t="s">
        <v>24</v>
      </c>
      <c r="D1978" s="2" t="s">
        <v>2962</v>
      </c>
      <c r="E1978" s="2" t="s">
        <v>431</v>
      </c>
      <c r="F1978" s="11" t="s">
        <v>3167</v>
      </c>
      <c r="G1978" t="s">
        <v>38</v>
      </c>
      <c r="H1978" t="s">
        <v>3168</v>
      </c>
      <c r="I1978" t="s">
        <v>3169</v>
      </c>
      <c r="J1978" s="6" t="str">
        <f>HYPERLINK("https://www.biovista.com/db/link/%5B%5B%22Disease%7CPMM2%20deficiency%22%5D,%20%5B%22Human%20Phenotype%7CDilated%20fourth%20ventricle%22%5D%5D?strength-weight-map=%257B%2522MEDLINE_STRENGTH_AB%2522:1.0,%2522HPO%2522:100.0%257D", "Show Evidence...")</f>
        <v>Show Evidence...</v>
      </c>
    </row>
    <row r="1979" spans="1:10" ht="12.75">
      <c r="A1979" s="2" t="s">
        <v>50</v>
      </c>
      <c r="B1979" s="2" t="s">
        <v>2961</v>
      </c>
      <c r="C1979" s="2" t="s">
        <v>24</v>
      </c>
      <c r="D1979" s="2" t="s">
        <v>2962</v>
      </c>
      <c r="E1979" s="2" t="s">
        <v>431</v>
      </c>
      <c r="F1979" s="11" t="s">
        <v>3170</v>
      </c>
      <c r="G1979" t="s">
        <v>38</v>
      </c>
      <c r="H1979" t="s">
        <v>3171</v>
      </c>
      <c r="I1979" t="s">
        <v>3172</v>
      </c>
      <c r="J1979" s="6" t="str">
        <f>HYPERLINK("https://www.biovista.com/db/link/%5B%5B%22Disease%7CPMM2%20deficiency%22%5D,%20%5B%22Human%20Phenotype%7CHepatomegaly%22%5D%5D?strength-weight-map=%257B%2522MEDLINE_STRENGTH_AB%2522:1.0,%2522HPO%2522:100.0%257D", "Show Evidence...")</f>
        <v>Show Evidence...</v>
      </c>
    </row>
    <row r="1980" spans="1:10" ht="12.75">
      <c r="A1980" s="2" t="s">
        <v>50</v>
      </c>
      <c r="B1980" s="2" t="s">
        <v>2961</v>
      </c>
      <c r="C1980" s="2" t="s">
        <v>24</v>
      </c>
      <c r="D1980" s="2" t="s">
        <v>2962</v>
      </c>
      <c r="E1980" s="2" t="s">
        <v>431</v>
      </c>
      <c r="F1980" s="11" t="s">
        <v>3173</v>
      </c>
      <c r="G1980" t="s">
        <v>38</v>
      </c>
      <c r="H1980" t="s">
        <v>3174</v>
      </c>
      <c r="I1980" t="s">
        <v>3175</v>
      </c>
      <c r="J1980" s="6" t="str">
        <f>HYPERLINK("https://www.biovista.com/db/link/%5B%5B%22Disease%7CPMM2%20deficiency%22%5D,%20%5B%22Human%20Phenotype%7CInverted%20nipples%22%5D%5D?strength-weight-map=%257B%2522MEDLINE_STRENGTH_AB%2522:1.0,%2522HPO%2522:100.0%257D", "Show Evidence...")</f>
        <v>Show Evidence...</v>
      </c>
    </row>
    <row r="1981" spans="1:10" ht="12.75">
      <c r="A1981" s="2" t="s">
        <v>50</v>
      </c>
      <c r="B1981" s="2" t="s">
        <v>2961</v>
      </c>
      <c r="C1981" s="2" t="s">
        <v>24</v>
      </c>
      <c r="D1981" s="2" t="s">
        <v>2962</v>
      </c>
      <c r="E1981" s="2" t="s">
        <v>431</v>
      </c>
      <c r="F1981" s="11" t="s">
        <v>444</v>
      </c>
      <c r="G1981" t="s">
        <v>38</v>
      </c>
      <c r="H1981" t="s">
        <v>445</v>
      </c>
      <c r="I1981" t="s">
        <v>3176</v>
      </c>
      <c r="J1981" s="6" t="str">
        <f>HYPERLINK("https://www.biovista.com/db/link/%5B%5B%22Disease%7CPMM2%20deficiency%22%5D,%20%5B%22Human%20Phenotype%7CFeeding%20difficulties%22%5D%5D?strength-weight-map=%257B%2522MEDLINE_STRENGTH_AB%2522:1.0,%2522HPO%2522:100.0%257D", "Show Evidence...")</f>
        <v>Show Evidence...</v>
      </c>
    </row>
    <row r="1982" spans="1:10" ht="12.75">
      <c r="A1982" s="2" t="s">
        <v>50</v>
      </c>
      <c r="B1982" s="2" t="s">
        <v>2961</v>
      </c>
      <c r="C1982" s="2" t="s">
        <v>24</v>
      </c>
      <c r="D1982" s="2" t="s">
        <v>2962</v>
      </c>
      <c r="E1982" s="2" t="s">
        <v>431</v>
      </c>
      <c r="F1982" s="11" t="s">
        <v>3177</v>
      </c>
      <c r="G1982" t="s">
        <v>38</v>
      </c>
      <c r="H1982" t="s">
        <v>3178</v>
      </c>
      <c r="I1982" t="s">
        <v>3179</v>
      </c>
      <c r="J1982" s="6" t="str">
        <f>HYPERLINK("https://www.biovista.com/db/link/%5B%5B%22Disease%7CPMM2%20deficiency%22%5D,%20%5B%22Human%20Phenotype%7CLipodystrophy%22%5D%5D?strength-weight-map=%257B%2522MEDLINE_STRENGTH_AB%2522:1.0,%2522HPO%2522:100.0%257D", "Show Evidence...")</f>
        <v>Show Evidence...</v>
      </c>
    </row>
    <row r="1983" spans="1:10" ht="12.75">
      <c r="A1983" s="2" t="s">
        <v>50</v>
      </c>
      <c r="B1983" s="2" t="s">
        <v>2961</v>
      </c>
      <c r="C1983" s="2" t="s">
        <v>24</v>
      </c>
      <c r="D1983" s="2" t="s">
        <v>2962</v>
      </c>
      <c r="E1983" s="2" t="s">
        <v>431</v>
      </c>
      <c r="F1983" s="11" t="s">
        <v>3180</v>
      </c>
      <c r="G1983" t="s">
        <v>38</v>
      </c>
      <c r="H1983" t="s">
        <v>3181</v>
      </c>
      <c r="I1983" t="s">
        <v>3182</v>
      </c>
      <c r="J1983" s="6" t="str">
        <f>HYPERLINK("https://www.biovista.com/db/link/%5B%5B%22Disease%7CPMM2%20deficiency%22%5D,%20%5B%22Human%20Phenotype%7COsteopenia%22%5D%5D?strength-weight-map=%257B%2522MEDLINE_STRENGTH_AB%2522:1.0,%2522HPO%2522:100.0%257D", "Show Evidence...")</f>
        <v>Show Evidence...</v>
      </c>
    </row>
    <row r="1984" spans="1:10" ht="12.75">
      <c r="A1984" s="2" t="s">
        <v>50</v>
      </c>
      <c r="B1984" s="2" t="s">
        <v>2961</v>
      </c>
      <c r="C1984" s="2" t="s">
        <v>24</v>
      </c>
      <c r="D1984" s="2" t="s">
        <v>2962</v>
      </c>
      <c r="E1984" s="2" t="s">
        <v>431</v>
      </c>
      <c r="F1984" s="11" t="s">
        <v>1713</v>
      </c>
      <c r="G1984" t="s">
        <v>38</v>
      </c>
      <c r="H1984" t="s">
        <v>1714</v>
      </c>
      <c r="I1984" t="s">
        <v>3183</v>
      </c>
      <c r="J1984" s="6" t="str">
        <f>HYPERLINK("https://www.biovista.com/db/link/%5B%5B%22Disease%7CPMM2%20deficiency%22%5D,%20%5B%22Human%20Phenotype%7CAxial%20hypotonia%22%5D%5D?strength-weight-map=%257B%2522MEDLINE_STRENGTH_AB%2522:1.0,%2522HPO%2522:100.0%257D", "Show Evidence...")</f>
        <v>Show Evidence...</v>
      </c>
    </row>
    <row r="1985" spans="1:10" ht="12.75">
      <c r="A1985" s="2" t="s">
        <v>50</v>
      </c>
      <c r="B1985" s="2" t="s">
        <v>2961</v>
      </c>
      <c r="C1985" s="2" t="s">
        <v>24</v>
      </c>
      <c r="D1985" s="2" t="s">
        <v>2962</v>
      </c>
      <c r="E1985" s="2" t="s">
        <v>431</v>
      </c>
      <c r="F1985" s="11" t="s">
        <v>2252</v>
      </c>
      <c r="G1985" t="s">
        <v>38</v>
      </c>
      <c r="H1985" t="s">
        <v>2253</v>
      </c>
      <c r="I1985" t="s">
        <v>3184</v>
      </c>
      <c r="J1985" s="6" t="str">
        <f>HYPERLINK("https://www.biovista.com/db/link/%5B%5B%22Disease%7CPMM2%20deficiency%22%5D,%20%5B%22Human%20Phenotype%7CAbnormal%20facial%20shape%22%5D%5D?strength-weight-map=%257B%2522MEDLINE_STRENGTH_AB%2522:1.0,%2522HPO%2522:100.0%257D", "Show Evidence...")</f>
        <v>Show Evidence...</v>
      </c>
    </row>
    <row r="1986" spans="1:10" ht="12.75">
      <c r="A1986" s="2" t="s">
        <v>50</v>
      </c>
      <c r="B1986" s="2" t="s">
        <v>2961</v>
      </c>
      <c r="C1986" s="2" t="s">
        <v>24</v>
      </c>
      <c r="D1986" s="2" t="s">
        <v>2962</v>
      </c>
      <c r="E1986" s="2" t="s">
        <v>431</v>
      </c>
      <c r="F1986" s="11" t="s">
        <v>596</v>
      </c>
      <c r="G1986" t="s">
        <v>38</v>
      </c>
      <c r="H1986" t="s">
        <v>597</v>
      </c>
      <c r="I1986" t="s">
        <v>3185</v>
      </c>
      <c r="J1986" s="6" t="str">
        <f>HYPERLINK("https://www.biovista.com/db/link/%5B%5B%22Disease%7CPMM2%20deficiency%22%5D,%20%5B%22Human%20Phenotype%7CEsotropia%22%5D%5D?strength-weight-map=%257B%2522MEDLINE_STRENGTH_AB%2522:1.0,%2522HPO%2522:100.0%257D", "Show Evidence...")</f>
        <v>Show Evidence...</v>
      </c>
    </row>
    <row r="1987" spans="1:10" ht="12.75">
      <c r="A1987" s="2" t="s">
        <v>50</v>
      </c>
      <c r="B1987" s="2" t="s">
        <v>2961</v>
      </c>
      <c r="C1987" s="2" t="s">
        <v>24</v>
      </c>
      <c r="D1987" s="2" t="s">
        <v>2962</v>
      </c>
      <c r="E1987" s="2" t="s">
        <v>431</v>
      </c>
      <c r="F1987" s="11" t="s">
        <v>572</v>
      </c>
      <c r="G1987" t="s">
        <v>38</v>
      </c>
      <c r="H1987" t="s">
        <v>573</v>
      </c>
      <c r="I1987" t="s">
        <v>3186</v>
      </c>
      <c r="J1987" s="6" t="str">
        <f>HYPERLINK("https://www.biovista.com/db/link/%5B%5B%22Disease%7CPMM2%20deficiency%22%5D,%20%5B%22Human%20Phenotype%7CJoint%20hypermobility%22%5D%5D?strength-weight-map=%257B%2522MEDLINE_STRENGTH_AB%2522:1.0,%2522HPO%2522:100.0%257D", "Show Evidence...")</f>
        <v>Show Evidence...</v>
      </c>
    </row>
    <row r="1988" spans="1:10" ht="12.75">
      <c r="A1988" s="2" t="s">
        <v>50</v>
      </c>
      <c r="B1988" s="2" t="s">
        <v>2961</v>
      </c>
      <c r="C1988" s="2" t="s">
        <v>24</v>
      </c>
      <c r="D1988" s="2" t="s">
        <v>2962</v>
      </c>
      <c r="E1988" s="2" t="s">
        <v>431</v>
      </c>
      <c r="F1988" s="11" t="s">
        <v>3187</v>
      </c>
      <c r="G1988" t="s">
        <v>38</v>
      </c>
      <c r="H1988" t="s">
        <v>3188</v>
      </c>
      <c r="I1988" t="s">
        <v>3186</v>
      </c>
      <c r="J1988" s="6" t="str">
        <f>HYPERLINK("https://www.biovista.com/db/link/%5B%5B%22Disease%7CPMM2%20deficiency%22%5D,%20%5B%22Human%20Phenotype%7COsteoporosis%22%5D%5D?strength-weight-map=%257B%2522MEDLINE_STRENGTH_AB%2522:1.0,%2522HPO%2522:100.0%257D", "Show Evidence...")</f>
        <v>Show Evidence...</v>
      </c>
    </row>
    <row r="1989" spans="1:10" ht="12.75">
      <c r="A1989" s="2" t="s">
        <v>50</v>
      </c>
      <c r="B1989" s="2" t="s">
        <v>2961</v>
      </c>
      <c r="C1989" s="2" t="s">
        <v>24</v>
      </c>
      <c r="D1989" s="2" t="s">
        <v>2962</v>
      </c>
      <c r="E1989" s="2" t="s">
        <v>431</v>
      </c>
      <c r="F1989" s="11" t="s">
        <v>606</v>
      </c>
      <c r="G1989" t="s">
        <v>38</v>
      </c>
      <c r="H1989" t="s">
        <v>607</v>
      </c>
      <c r="I1989" t="s">
        <v>3189</v>
      </c>
      <c r="J1989" s="6" t="str">
        <f>HYPERLINK("https://www.biovista.com/db/link/%5B%5B%22Disease%7CPMM2%20deficiency%22%5D,%20%5B%22Human%20Phenotype%7CHyporeflexia%22%5D%5D?strength-weight-map=%257B%2522MEDLINE_STRENGTH_AB%2522:1.0,%2522HPO%2522:100.0%257D", "Show Evidence...")</f>
        <v>Show Evidence...</v>
      </c>
    </row>
    <row r="1990" spans="1:10" ht="12.75">
      <c r="A1990" s="2" t="s">
        <v>50</v>
      </c>
      <c r="B1990" s="2" t="s">
        <v>2961</v>
      </c>
      <c r="C1990" s="2" t="s">
        <v>24</v>
      </c>
      <c r="D1990" s="2" t="s">
        <v>2962</v>
      </c>
      <c r="E1990" s="2" t="s">
        <v>431</v>
      </c>
      <c r="F1990" s="11" t="s">
        <v>535</v>
      </c>
      <c r="G1990" t="s">
        <v>38</v>
      </c>
      <c r="H1990" t="s">
        <v>536</v>
      </c>
      <c r="I1990" t="s">
        <v>3190</v>
      </c>
      <c r="J1990" s="6" t="str">
        <f>HYPERLINK("https://www.biovista.com/db/link/%5B%5B%22Disease%7CPMM2%20deficiency%22%5D,%20%5B%22Human%20Phenotype%7CKyphoscoliosis%22%5D%5D?strength-weight-map=%257B%2522MEDLINE_STRENGTH_AB%2522:1.0,%2522HPO%2522:100.0%257D", "Show Evidence...")</f>
        <v>Show Evidence...</v>
      </c>
    </row>
    <row r="1991" spans="1:10" ht="12.75">
      <c r="A1991" s="2" t="s">
        <v>50</v>
      </c>
      <c r="B1991" s="2" t="s">
        <v>2961</v>
      </c>
      <c r="C1991" s="2" t="s">
        <v>24</v>
      </c>
      <c r="D1991" s="2" t="s">
        <v>2962</v>
      </c>
      <c r="E1991" s="2" t="s">
        <v>431</v>
      </c>
      <c r="F1991" s="11" t="s">
        <v>3191</v>
      </c>
      <c r="G1991" t="s">
        <v>38</v>
      </c>
      <c r="H1991" t="s">
        <v>3192</v>
      </c>
      <c r="I1991" t="s">
        <v>3190</v>
      </c>
      <c r="J1991" s="6" t="str">
        <f>HYPERLINK("https://www.biovista.com/db/link/%5B%5B%22Disease%7CPMM2%20deficiency%22%5D,%20%5B%22Human%20Phenotype%7CLong%20fingers%22%5D%5D?strength-weight-map=%257B%2522MEDLINE_STRENGTH_AB%2522:1.0,%2522HPO%2522:100.0%257D", "Show Evidence...")</f>
        <v>Show Evidence...</v>
      </c>
    </row>
    <row r="1992" spans="1:10" ht="12.75">
      <c r="A1992" s="2" t="s">
        <v>50</v>
      </c>
      <c r="B1992" s="2" t="s">
        <v>2961</v>
      </c>
      <c r="C1992" s="2" t="s">
        <v>24</v>
      </c>
      <c r="D1992" s="2" t="s">
        <v>2962</v>
      </c>
      <c r="E1992" s="2" t="s">
        <v>431</v>
      </c>
      <c r="F1992" s="11" t="s">
        <v>3193</v>
      </c>
      <c r="G1992" t="s">
        <v>38</v>
      </c>
      <c r="H1992" t="s">
        <v>3194</v>
      </c>
      <c r="I1992" t="s">
        <v>3190</v>
      </c>
      <c r="J1992" s="6" t="str">
        <f>HYPERLINK("https://www.biovista.com/db/link/%5B%5B%22Disease%7CPMM2%20deficiency%22%5D,%20%5B%22Human%20Phenotype%7CLong%20philtrum%22%5D%5D?strength-weight-map=%257B%2522MEDLINE_STRENGTH_AB%2522:1.0,%2522HPO%2522:100.0%257D", "Show Evidence...")</f>
        <v>Show Evidence...</v>
      </c>
    </row>
    <row r="1993" spans="1:10" ht="12.75">
      <c r="A1993" s="2" t="s">
        <v>50</v>
      </c>
      <c r="B1993" s="2" t="s">
        <v>2961</v>
      </c>
      <c r="C1993" s="2" t="s">
        <v>24</v>
      </c>
      <c r="D1993" s="2" t="s">
        <v>2962</v>
      </c>
      <c r="E1993" s="2" t="s">
        <v>431</v>
      </c>
      <c r="F1993" s="11" t="s">
        <v>3195</v>
      </c>
      <c r="G1993" t="s">
        <v>38</v>
      </c>
      <c r="H1993" t="s">
        <v>3196</v>
      </c>
      <c r="I1993" t="s">
        <v>3190</v>
      </c>
      <c r="J1993" s="6" t="str">
        <f>HYPERLINK("https://www.biovista.com/db/link/%5B%5B%22Disease%7CPMM2%20deficiency%22%5D,%20%5B%22Human%20Phenotype%7CWide%20mouth%22%5D%5D?strength-weight-map=%257B%2522MEDLINE_STRENGTH_AB%2522:1.0,%2522HPO%2522:100.0%257D", "Show Evidence...")</f>
        <v>Show Evidence...</v>
      </c>
    </row>
    <row r="1994" spans="1:10" ht="12.75">
      <c r="A1994" s="2" t="s">
        <v>50</v>
      </c>
      <c r="B1994" s="2" t="s">
        <v>2961</v>
      </c>
      <c r="C1994" s="2" t="s">
        <v>24</v>
      </c>
      <c r="D1994" s="2" t="s">
        <v>2962</v>
      </c>
      <c r="E1994" s="2" t="s">
        <v>431</v>
      </c>
      <c r="F1994" s="11" t="s">
        <v>3197</v>
      </c>
      <c r="G1994" t="s">
        <v>38</v>
      </c>
      <c r="H1994" t="s">
        <v>3198</v>
      </c>
      <c r="I1994" t="s">
        <v>3199</v>
      </c>
      <c r="J1994" s="6" t="str">
        <f>HYPERLINK("https://www.biovista.com/db/link/%5B%5B%22Disease%7CPMM2%20deficiency%22%5D,%20%5B%22Human%20Phenotype%7CAbnormal%20subcutaneous%20fat%20tissue%20distribution%22%5D%5D?strength-weight-map=%257B%2522MEDLINE_STRENGTH_AB%2522:1.0,%2522HPO%2522:100.0%257D", "Show Evidence...")</f>
        <v>Show Evidence...</v>
      </c>
    </row>
    <row r="1995" spans="1:10" ht="12.75">
      <c r="A1995" s="2" t="s">
        <v>50</v>
      </c>
      <c r="B1995" s="2" t="s">
        <v>2961</v>
      </c>
      <c r="C1995" s="2" t="s">
        <v>24</v>
      </c>
      <c r="D1995" s="2" t="s">
        <v>2962</v>
      </c>
      <c r="E1995" s="2" t="s">
        <v>431</v>
      </c>
      <c r="F1995" s="11" t="s">
        <v>3200</v>
      </c>
      <c r="G1995" t="s">
        <v>38</v>
      </c>
      <c r="H1995" t="s">
        <v>3201</v>
      </c>
      <c r="I1995" t="s">
        <v>3199</v>
      </c>
      <c r="J1995" s="6" t="str">
        <f>HYPERLINK("https://www.biovista.com/db/link/%5B%5B%22Disease%7CPMM2%20deficiency%22%5D,%20%5B%22Human%20Phenotype%7CProminent%20forehead%22%5D%5D?strength-weight-map=%257B%2522MEDLINE_STRENGTH_AB%2522:1.0,%2522HPO%2522:100.0%257D", "Show Evidence...")</f>
        <v>Show Evidence...</v>
      </c>
    </row>
    <row r="1996" spans="1:10" ht="12.75">
      <c r="A1996" s="2" t="s">
        <v>50</v>
      </c>
      <c r="B1996" s="2" t="s">
        <v>2961</v>
      </c>
      <c r="C1996" s="2" t="s">
        <v>24</v>
      </c>
      <c r="D1996" s="2" t="s">
        <v>2962</v>
      </c>
      <c r="E1996" s="2" t="s">
        <v>431</v>
      </c>
      <c r="F1996" s="11" t="s">
        <v>3202</v>
      </c>
      <c r="G1996" t="s">
        <v>38</v>
      </c>
      <c r="H1996" t="s">
        <v>3203</v>
      </c>
      <c r="I1996" t="s">
        <v>3199</v>
      </c>
      <c r="J1996" s="6" t="str">
        <f>HYPERLINK("https://www.biovista.com/db/link/%5B%5B%22Disease%7CPMM2%20deficiency%22%5D,%20%5B%22Human%20Phenotype%7CThin%20upper%20lip%20vermilion%22%5D%5D?strength-weight-map=%257B%2522MEDLINE_STRENGTH_AB%2522:1.0,%2522HPO%2522:100.0%257D", "Show Evidence...")</f>
        <v>Show Evidence...</v>
      </c>
    </row>
    <row r="1997" spans="1:10" ht="12.75">
      <c r="A1997" s="2" t="s">
        <v>50</v>
      </c>
      <c r="B1997" s="2" t="s">
        <v>2961</v>
      </c>
      <c r="C1997" s="2" t="s">
        <v>24</v>
      </c>
      <c r="D1997" s="2" t="s">
        <v>2962</v>
      </c>
      <c r="E1997" s="2" t="s">
        <v>431</v>
      </c>
      <c r="F1997" s="11" t="s">
        <v>3204</v>
      </c>
      <c r="G1997" t="s">
        <v>38</v>
      </c>
      <c r="H1997" t="s">
        <v>3205</v>
      </c>
      <c r="I1997" t="s">
        <v>499</v>
      </c>
      <c r="J1997" s="6" t="str">
        <f>HYPERLINK("https://www.biovista.com/db/link/%5B%5B%22Disease%7CPMM2%20deficiency%22%5D,%20%5B%22Human%20Phenotype%7CAnteverted%20nares%22%5D%5D?strength-weight-map=%257B%2522MEDLINE_STRENGTH_AB%2522:1.0,%2522HPO%2522:100.0%257D", "Show Evidence...")</f>
        <v>Show Evidence...</v>
      </c>
    </row>
    <row r="1998" spans="1:10" ht="12.75">
      <c r="A1998" s="2" t="s">
        <v>50</v>
      </c>
      <c r="B1998" s="2" t="s">
        <v>2961</v>
      </c>
      <c r="C1998" s="2" t="s">
        <v>24</v>
      </c>
      <c r="D1998" s="2" t="s">
        <v>2962</v>
      </c>
      <c r="E1998" s="2" t="s">
        <v>431</v>
      </c>
      <c r="F1998" s="11" t="s">
        <v>529</v>
      </c>
      <c r="G1998" t="s">
        <v>38</v>
      </c>
      <c r="H1998" t="s">
        <v>530</v>
      </c>
      <c r="I1998" t="s">
        <v>499</v>
      </c>
      <c r="J1998" s="6" t="str">
        <f>HYPERLINK("https://www.biovista.com/db/link/%5B%5B%22Disease%7CPMM2%20deficiency%22%5D,%20%5B%22Human%20Phenotype%7CAreflexia%22%5D%5D?strength-weight-map=%257B%2522MEDLINE_STRENGTH_AB%2522:1.0,%2522HPO%2522:100.0%257D", "Show Evidence...")</f>
        <v>Show Evidence...</v>
      </c>
    </row>
    <row r="1999" spans="1:10" ht="12.75">
      <c r="A1999" s="2" t="s">
        <v>50</v>
      </c>
      <c r="B1999" s="2" t="s">
        <v>2961</v>
      </c>
      <c r="C1999" s="2" t="s">
        <v>24</v>
      </c>
      <c r="D1999" s="2" t="s">
        <v>2962</v>
      </c>
      <c r="E1999" s="2" t="s">
        <v>431</v>
      </c>
      <c r="F1999" s="11" t="s">
        <v>3206</v>
      </c>
      <c r="G1999" t="s">
        <v>38</v>
      </c>
      <c r="H1999" t="s">
        <v>3207</v>
      </c>
      <c r="I1999" t="s">
        <v>499</v>
      </c>
      <c r="J1999" s="6" t="str">
        <f>HYPERLINK("https://www.biovista.com/db/link/%5B%5B%22Disease%7CPMM2%20deficiency%22%5D,%20%5B%22Human%20Phenotype%7CDelayed%20myelination%22%5D%5D?strength-weight-map=%257B%2522MEDLINE_STRENGTH_AB%2522:1.0,%2522HPO%2522:100.0%257D", "Show Evidence...")</f>
        <v>Show Evidence...</v>
      </c>
    </row>
    <row r="2000" spans="1:10" ht="12.75">
      <c r="A2000" s="2" t="s">
        <v>50</v>
      </c>
      <c r="B2000" s="2" t="s">
        <v>2961</v>
      </c>
      <c r="C2000" s="2" t="s">
        <v>24</v>
      </c>
      <c r="D2000" s="2" t="s">
        <v>2962</v>
      </c>
      <c r="E2000" s="2" t="s">
        <v>431</v>
      </c>
      <c r="F2000" s="11" t="s">
        <v>3208</v>
      </c>
      <c r="G2000" t="s">
        <v>38</v>
      </c>
      <c r="H2000" t="s">
        <v>3209</v>
      </c>
      <c r="I2000" t="s">
        <v>499</v>
      </c>
      <c r="J2000" s="6" t="str">
        <f>HYPERLINK("https://www.biovista.com/db/link/%5B%5B%22Disease%7CPMM2%20deficiency%22%5D,%20%5B%22Human%20Phenotype%7CEpicanthus%22%5D%5D?strength-weight-map=%257B%2522MEDLINE_STRENGTH_AB%2522:1.0,%2522HPO%2522:100.0%257D", "Show Evidence...")</f>
        <v>Show Evidence...</v>
      </c>
    </row>
    <row r="2001" spans="1:10" ht="12.75">
      <c r="A2001" s="2" t="s">
        <v>50</v>
      </c>
      <c r="B2001" s="2" t="s">
        <v>2961</v>
      </c>
      <c r="C2001" s="2" t="s">
        <v>24</v>
      </c>
      <c r="D2001" s="2" t="s">
        <v>2962</v>
      </c>
      <c r="E2001" s="2" t="s">
        <v>431</v>
      </c>
      <c r="F2001" s="11" t="s">
        <v>3210</v>
      </c>
      <c r="G2001" t="s">
        <v>38</v>
      </c>
      <c r="H2001" t="s">
        <v>3211</v>
      </c>
      <c r="I2001" t="s">
        <v>499</v>
      </c>
      <c r="J2001" s="6" t="str">
        <f>HYPERLINK("https://www.biovista.com/db/link/%5B%5B%22Disease%7CPMM2%20deficiency%22%5D,%20%5B%22Human%20Phenotype%7CHypertelorism%22%5D%5D?strength-weight-map=%257B%2522MEDLINE_STRENGTH_AB%2522:1.0,%2522HPO%2522:100.0%257D", "Show Evidence...")</f>
        <v>Show Evidence...</v>
      </c>
    </row>
    <row r="2002" spans="1:10" ht="12.75">
      <c r="A2002" s="2" t="s">
        <v>50</v>
      </c>
      <c r="B2002" s="2" t="s">
        <v>2961</v>
      </c>
      <c r="C2002" s="2" t="s">
        <v>24</v>
      </c>
      <c r="D2002" s="2" t="s">
        <v>2962</v>
      </c>
      <c r="E2002" s="2" t="s">
        <v>431</v>
      </c>
      <c r="F2002" s="11" t="s">
        <v>558</v>
      </c>
      <c r="G2002" t="s">
        <v>38</v>
      </c>
      <c r="H2002" t="s">
        <v>559</v>
      </c>
      <c r="I2002" t="s">
        <v>499</v>
      </c>
      <c r="J2002" s="6" t="str">
        <f>HYPERLINK("https://www.biovista.com/db/link/%5B%5B%22Disease%7CPMM2%20deficiency%22%5D,%20%5B%22Human%20Phenotype%7CLong%20face%22%5D%5D?strength-weight-map=%257B%2522MEDLINE_STRENGTH_AB%2522:1.0,%2522HPO%2522:100.0%257D", "Show Evidence...")</f>
        <v>Show Evidence...</v>
      </c>
    </row>
    <row r="2003" spans="1:10" ht="12.75">
      <c r="A2003" s="2" t="s">
        <v>50</v>
      </c>
      <c r="B2003" s="2" t="s">
        <v>2961</v>
      </c>
      <c r="C2003" s="2" t="s">
        <v>24</v>
      </c>
      <c r="D2003" s="2" t="s">
        <v>2962</v>
      </c>
      <c r="E2003" s="2" t="s">
        <v>431</v>
      </c>
      <c r="F2003" s="11" t="s">
        <v>3212</v>
      </c>
      <c r="G2003" t="s">
        <v>38</v>
      </c>
      <c r="H2003" t="s">
        <v>3213</v>
      </c>
      <c r="I2003" t="s">
        <v>499</v>
      </c>
      <c r="J2003" s="6" t="str">
        <f>HYPERLINK("https://www.biovista.com/db/link/%5B%5B%22Disease%7CPMM2%20deficiency%22%5D,%20%5B%22Human%20Phenotype%7CMandibular%20prognathia%22%5D%5D?strength-weight-map=%257B%2522MEDLINE_STRENGTH_AB%2522:1.0,%2522HPO%2522:100.0%257D", "Show Evidence...")</f>
        <v>Show Evidence...</v>
      </c>
    </row>
    <row r="2004" spans="1:10" ht="12.75">
      <c r="A2004" s="2" t="s">
        <v>50</v>
      </c>
      <c r="B2004" s="2" t="s">
        <v>2961</v>
      </c>
      <c r="C2004" s="2" t="s">
        <v>24</v>
      </c>
      <c r="D2004" s="2" t="s">
        <v>2962</v>
      </c>
      <c r="E2004" s="2" t="s">
        <v>431</v>
      </c>
      <c r="F2004" s="11" t="s">
        <v>3214</v>
      </c>
      <c r="G2004" t="s">
        <v>38</v>
      </c>
      <c r="H2004" t="s">
        <v>3215</v>
      </c>
      <c r="I2004" t="s">
        <v>499</v>
      </c>
      <c r="J2004" s="6" t="str">
        <f>HYPERLINK("https://www.biovista.com/db/link/%5B%5B%22Disease%7CPMM2%20deficiency%22%5D,%20%5B%22Human%20Phenotype%7CPes%20planus%22%5D%5D?strength-weight-map=%257B%2522MEDLINE_STRENGTH_AB%2522:1.0,%2522HPO%2522:100.0%257D", "Show Evidence...")</f>
        <v>Show Evidence...</v>
      </c>
    </row>
    <row r="2005" spans="1:10" ht="12.75">
      <c r="A2005" s="2" t="s">
        <v>50</v>
      </c>
      <c r="B2005" s="2" t="s">
        <v>2961</v>
      </c>
      <c r="C2005" s="2" t="s">
        <v>24</v>
      </c>
      <c r="D2005" s="2" t="s">
        <v>2962</v>
      </c>
      <c r="E2005" s="2" t="s">
        <v>431</v>
      </c>
      <c r="F2005" s="11" t="s">
        <v>3216</v>
      </c>
      <c r="G2005" t="s">
        <v>38</v>
      </c>
      <c r="H2005" t="s">
        <v>3217</v>
      </c>
      <c r="I2005" t="s">
        <v>499</v>
      </c>
      <c r="J2005" s="6" t="str">
        <f>HYPERLINK("https://www.biovista.com/db/link/%5B%5B%22Disease%7CPMM2%20deficiency%22%5D,%20%5B%22Human%20Phenotype%7CProminent%20nose%22%5D%5D?strength-weight-map=%257B%2522MEDLINE_STRENGTH_AB%2522:1.0,%2522HPO%2522:100.0%257D", "Show Evidence...")</f>
        <v>Show Evidence...</v>
      </c>
    </row>
    <row r="2006" spans="1:10" ht="12.75">
      <c r="A2006" s="2" t="s">
        <v>50</v>
      </c>
      <c r="B2006" s="2" t="s">
        <v>2961</v>
      </c>
      <c r="C2006" s="2" t="s">
        <v>24</v>
      </c>
      <c r="D2006" s="2" t="s">
        <v>2962</v>
      </c>
      <c r="E2006" s="2" t="s">
        <v>431</v>
      </c>
      <c r="F2006" s="11" t="s">
        <v>3218</v>
      </c>
      <c r="G2006" t="s">
        <v>38</v>
      </c>
      <c r="H2006" t="s">
        <v>3219</v>
      </c>
      <c r="I2006" t="s">
        <v>499</v>
      </c>
      <c r="J2006" s="6" t="str">
        <f>HYPERLINK("https://www.biovista.com/db/link/%5B%5B%22Disease%7CPMM2%20deficiency%22%5D,%20%5B%22Human%20Phenotype%7CRetrognathia%22%5D%5D?strength-weight-map=%257B%2522MEDLINE_STRENGTH_AB%2522:1.0,%2522HPO%2522:100.0%257D", "Show Evidence...")</f>
        <v>Show Evidence...</v>
      </c>
    </row>
    <row r="2007" spans="1:10" ht="12.75">
      <c r="A2007" s="2" t="s">
        <v>50</v>
      </c>
      <c r="B2007" s="2" t="s">
        <v>2961</v>
      </c>
      <c r="C2007" s="2" t="s">
        <v>24</v>
      </c>
      <c r="D2007" s="2" t="s">
        <v>2962</v>
      </c>
      <c r="E2007" s="2" t="s">
        <v>431</v>
      </c>
      <c r="F2007" s="11" t="s">
        <v>3220</v>
      </c>
      <c r="G2007" t="s">
        <v>38</v>
      </c>
      <c r="H2007" t="s">
        <v>3221</v>
      </c>
      <c r="I2007" t="s">
        <v>3222</v>
      </c>
      <c r="J2007" s="6" t="str">
        <f>HYPERLINK("https://www.biovista.com/db/link/%5B%5B%22Disease%7CPMM2%20deficiency%22%5D,%20%5B%22Human%20Phenotype%7CEnlarged%20cisterna%20magna%22%5D%5D?strength-weight-map=%257B%2522MEDLINE_STRENGTH_AB%2522:1.0,%2522HPO%2522:100.0%257D", "Show Evidence...")</f>
        <v>Show Evidence...</v>
      </c>
    </row>
    <row r="2008" spans="1:10" ht="12.75">
      <c r="A2008" s="2" t="s">
        <v>50</v>
      </c>
      <c r="B2008" s="2" t="s">
        <v>2961</v>
      </c>
      <c r="C2008" s="2" t="s">
        <v>24</v>
      </c>
      <c r="D2008" s="2" t="s">
        <v>2962</v>
      </c>
      <c r="E2008" s="2" t="s">
        <v>431</v>
      </c>
      <c r="F2008" s="11" t="s">
        <v>3223</v>
      </c>
      <c r="G2008" t="s">
        <v>38</v>
      </c>
      <c r="H2008" t="s">
        <v>3224</v>
      </c>
      <c r="I2008" t="s">
        <v>3225</v>
      </c>
      <c r="J2008" s="6" t="str">
        <f>HYPERLINK("https://www.biovista.com/db/link/%5B%5B%22Disease%7CPMM2%20deficiency%22%5D,%20%5B%22Human%20Phenotype%7CVillous%20atrophy%22%5D%5D?strength-weight-map=%257B%2522MEDLINE_STRENGTH_AB%2522:1.0,%2522HPO%2522:100.0%257D", "Show Evidence...")</f>
        <v>Show Evidence...</v>
      </c>
    </row>
    <row r="2009" spans="1:10" ht="12.75">
      <c r="A2009" s="2" t="s">
        <v>50</v>
      </c>
      <c r="B2009" s="2" t="s">
        <v>2961</v>
      </c>
      <c r="C2009" s="2" t="s">
        <v>24</v>
      </c>
      <c r="D2009" s="2" t="s">
        <v>2962</v>
      </c>
      <c r="E2009" s="2" t="s">
        <v>431</v>
      </c>
      <c r="F2009" s="11" t="s">
        <v>2239</v>
      </c>
      <c r="G2009" t="s">
        <v>38</v>
      </c>
      <c r="H2009" t="s">
        <v>2240</v>
      </c>
      <c r="I2009" t="s">
        <v>3226</v>
      </c>
      <c r="J2009" s="6" t="str">
        <f>HYPERLINK("https://www.biovista.com/db/link/%5B%5B%22Disease%7CPMM2%20deficiency%22%5D,%20%5B%22Human%20Phenotype%7CCerebellar%20atrophy%22%5D%5D?strength-weight-map=%257B%2522MEDLINE_STRENGTH_AB%2522:1.0,%2522HPO%2522:100.0%257D", "Show Evidence...")</f>
        <v>Show Evidence...</v>
      </c>
    </row>
    <row r="2010" spans="1:10" ht="12.75">
      <c r="A2010" s="2" t="s">
        <v>50</v>
      </c>
      <c r="B2010" s="2" t="s">
        <v>2961</v>
      </c>
      <c r="C2010" s="2" t="s">
        <v>24</v>
      </c>
      <c r="D2010" s="2" t="s">
        <v>2962</v>
      </c>
      <c r="E2010" s="2" t="s">
        <v>431</v>
      </c>
      <c r="F2010" s="11" t="s">
        <v>1266</v>
      </c>
      <c r="G2010" t="s">
        <v>38</v>
      </c>
      <c r="H2010" t="s">
        <v>1267</v>
      </c>
      <c r="I2010" t="s">
        <v>3227</v>
      </c>
      <c r="J2010" s="6" t="str">
        <f>HYPERLINK("https://www.biovista.com/db/link/%5B%5B%22Disease%7CPMM2%20deficiency%22%5D,%20%5B%22Human%20Phenotype%7CDysarthria%22%5D%5D?strength-weight-map=%257B%2522MEDLINE_STRENGTH_AB%2522:1.0,%2522HPO%2522:100.0%257D", "Show Evidence...")</f>
        <v>Show Evidence...</v>
      </c>
    </row>
    <row r="2011" spans="1:10" ht="12.75">
      <c r="A2011" s="2" t="s">
        <v>50</v>
      </c>
      <c r="B2011" s="2" t="s">
        <v>2961</v>
      </c>
      <c r="C2011" s="2" t="s">
        <v>24</v>
      </c>
      <c r="D2011" s="2" t="s">
        <v>2962</v>
      </c>
      <c r="E2011" s="2" t="s">
        <v>431</v>
      </c>
      <c r="F2011" s="11" t="s">
        <v>3228</v>
      </c>
      <c r="G2011" t="s">
        <v>38</v>
      </c>
      <c r="H2011" t="s">
        <v>3229</v>
      </c>
      <c r="I2011" t="s">
        <v>3227</v>
      </c>
      <c r="J2011" s="6" t="str">
        <f>HYPERLINK("https://www.biovista.com/db/link/%5B%5B%22Disease%7CPMM2%20deficiency%22%5D,%20%5B%22Human%20Phenotype%7CDysmetria%22%5D%5D?strength-weight-map=%257B%2522MEDLINE_STRENGTH_AB%2522:1.0,%2522HPO%2522:100.0%257D", "Show Evidence...")</f>
        <v>Show Evidence...</v>
      </c>
    </row>
    <row r="2012" spans="1:10" ht="12.75">
      <c r="A2012" s="2" t="s">
        <v>50</v>
      </c>
      <c r="B2012" s="2" t="s">
        <v>2961</v>
      </c>
      <c r="C2012" s="2" t="s">
        <v>24</v>
      </c>
      <c r="D2012" s="2" t="s">
        <v>2962</v>
      </c>
      <c r="E2012" s="2" t="s">
        <v>431</v>
      </c>
      <c r="F2012" s="11" t="s">
        <v>1319</v>
      </c>
      <c r="G2012" t="s">
        <v>38</v>
      </c>
      <c r="H2012" t="s">
        <v>1320</v>
      </c>
      <c r="I2012" t="s">
        <v>3227</v>
      </c>
      <c r="J2012" s="6" t="str">
        <f>HYPERLINK("https://www.biovista.com/db/link/%5B%5B%22Disease%7CPMM2%20deficiency%22%5D,%20%5B%22Human%20Phenotype%7CTremor%22%5D%5D?strength-weight-map=%257B%2522MEDLINE_STRENGTH_AB%2522:1.0,%2522HPO%2522:100.0%257D", "Show Evidence...")</f>
        <v>Show Evidence...</v>
      </c>
    </row>
    <row r="2013" spans="1:10" ht="12.75">
      <c r="A2013" s="2" t="s">
        <v>50</v>
      </c>
      <c r="B2013" s="2" t="s">
        <v>2961</v>
      </c>
      <c r="C2013" s="2" t="s">
        <v>24</v>
      </c>
      <c r="D2013" s="2" t="s">
        <v>2962</v>
      </c>
      <c r="E2013" s="2" t="s">
        <v>431</v>
      </c>
      <c r="F2013" s="11" t="s">
        <v>1309</v>
      </c>
      <c r="G2013" t="s">
        <v>38</v>
      </c>
      <c r="H2013" t="s">
        <v>1310</v>
      </c>
      <c r="I2013" t="s">
        <v>3230</v>
      </c>
      <c r="J2013" s="6" t="str">
        <f>HYPERLINK("https://www.biovista.com/db/link/%5B%5B%22Disease%7CPMM2%20deficiency%22%5D,%20%5B%22Human%20Phenotype%7CChildhood%20onset%22%5D%5D?strength-weight-map=%257B%2522MEDLINE_STRENGTH_AB%2522:1.0,%2522HPO%2522:100.0%257D", "Show Evidence...")</f>
        <v>Show Evidence...</v>
      </c>
    </row>
    <row r="2014" spans="1:10" ht="12.75">
      <c r="A2014" s="2" t="s">
        <v>50</v>
      </c>
      <c r="B2014" s="2" t="s">
        <v>2961</v>
      </c>
      <c r="C2014" s="2" t="s">
        <v>24</v>
      </c>
      <c r="D2014" s="2" t="s">
        <v>2962</v>
      </c>
      <c r="E2014" s="2" t="s">
        <v>431</v>
      </c>
      <c r="F2014" s="11" t="s">
        <v>3231</v>
      </c>
      <c r="G2014" t="s">
        <v>38</v>
      </c>
      <c r="H2014" t="s">
        <v>3232</v>
      </c>
      <c r="I2014" t="s">
        <v>3230</v>
      </c>
      <c r="J2014" s="6" t="str">
        <f>HYPERLINK("https://www.biovista.com/db/link/%5B%5B%22Disease%7CPMM2%20deficiency%22%5D,%20%5B%22Human%20Phenotype%7CCongenital%20onset%22%5D%5D?strength-weight-map=%257B%2522MEDLINE_STRENGTH_AB%2522:1.0,%2522HPO%2522:100.0%257D", "Show Evidence...")</f>
        <v>Show Evidence...</v>
      </c>
    </row>
    <row r="2015" spans="1:10" ht="12.75">
      <c r="A2015" s="2" t="s">
        <v>50</v>
      </c>
      <c r="B2015" s="2" t="s">
        <v>2961</v>
      </c>
      <c r="C2015" s="2" t="s">
        <v>24</v>
      </c>
      <c r="D2015" s="2" t="s">
        <v>2962</v>
      </c>
      <c r="E2015" s="2" t="s">
        <v>431</v>
      </c>
      <c r="F2015" s="11" t="s">
        <v>3233</v>
      </c>
      <c r="G2015" t="s">
        <v>38</v>
      </c>
      <c r="H2015" t="s">
        <v>3234</v>
      </c>
      <c r="I2015" t="s">
        <v>3230</v>
      </c>
      <c r="J2015" s="6" t="str">
        <f>HYPERLINK("https://www.biovista.com/db/link/%5B%5B%22Disease%7CPMM2%20deficiency%22%5D,%20%5B%22Human%20Phenotype%7CGeneralized-onset%20seizure%22%5D%5D?strength-weight-map=%257B%2522MEDLINE_STRENGTH_AB%2522:1.0,%2522HPO%2522:100.0%257D", "Show Evidence...")</f>
        <v>Show Evidence...</v>
      </c>
    </row>
    <row r="2016" spans="1:10" ht="12.75">
      <c r="A2016" s="2" t="s">
        <v>50</v>
      </c>
      <c r="B2016" s="2" t="s">
        <v>2961</v>
      </c>
      <c r="C2016" s="2" t="s">
        <v>24</v>
      </c>
      <c r="D2016" s="2" t="s">
        <v>2962</v>
      </c>
      <c r="E2016" s="2" t="s">
        <v>431</v>
      </c>
      <c r="F2016" s="11" t="s">
        <v>3235</v>
      </c>
      <c r="G2016" t="s">
        <v>38</v>
      </c>
      <c r="H2016" t="s">
        <v>3236</v>
      </c>
      <c r="I2016" t="s">
        <v>3230</v>
      </c>
      <c r="J2016" s="6" t="str">
        <f>HYPERLINK("https://www.biovista.com/db/link/%5B%5B%22Disease%7CPMM2%20deficiency%22%5D,%20%5B%22Human%20Phenotype%7CHyperreflexia%22%5D%5D?strength-weight-map=%257B%2522MEDLINE_STRENGTH_AB%2522:1.0,%2522HPO%2522:100.0%257D", "Show Evidence...")</f>
        <v>Show Evidence...</v>
      </c>
    </row>
    <row r="2017" spans="1:10" ht="12.75">
      <c r="A2017" s="2" t="s">
        <v>50</v>
      </c>
      <c r="B2017" s="2" t="s">
        <v>2961</v>
      </c>
      <c r="C2017" s="2" t="s">
        <v>24</v>
      </c>
      <c r="D2017" s="2" t="s">
        <v>2962</v>
      </c>
      <c r="E2017" s="2" t="s">
        <v>431</v>
      </c>
      <c r="F2017" s="11" t="s">
        <v>3237</v>
      </c>
      <c r="G2017" t="s">
        <v>38</v>
      </c>
      <c r="H2017" t="s">
        <v>3238</v>
      </c>
      <c r="I2017" t="s">
        <v>3230</v>
      </c>
      <c r="J2017" s="6" t="str">
        <f>HYPERLINK("https://www.biovista.com/db/link/%5B%5B%22Disease%7CPMM2%20deficiency%22%5D,%20%5B%22Human%20Phenotype%7CIntention%20tremor%22%5D%5D?strength-weight-map=%257B%2522MEDLINE_STRENGTH_AB%2522:1.0,%2522HPO%2522:100.0%257D", "Show Evidence...")</f>
        <v>Show Evidence...</v>
      </c>
    </row>
    <row r="2018" spans="1:10" ht="12.75">
      <c r="A2018" s="2" t="s">
        <v>50</v>
      </c>
      <c r="B2018" s="2" t="s">
        <v>2961</v>
      </c>
      <c r="C2018" s="2" t="s">
        <v>24</v>
      </c>
      <c r="D2018" s="2" t="s">
        <v>2962</v>
      </c>
      <c r="E2018" s="2" t="s">
        <v>431</v>
      </c>
      <c r="F2018" s="11" t="s">
        <v>3239</v>
      </c>
      <c r="G2018" t="s">
        <v>38</v>
      </c>
      <c r="H2018" t="s">
        <v>3240</v>
      </c>
      <c r="I2018" t="s">
        <v>3241</v>
      </c>
      <c r="J2018" s="6" t="str">
        <f>HYPERLINK("https://www.biovista.com/db/link/%5B%5B%22Disease%7CPMM2%20deficiency%22%5D,%20%5B%22Human%20Phenotype%7CPericarditis%22%5D%5D?strength-weight-map=%257B%2522MEDLINE_STRENGTH_AB%2522:1.0,%2522HPO%2522:100.0%257D", "Show Evidence...")</f>
        <v>Show Evidence...</v>
      </c>
    </row>
    <row r="2019" spans="1:10" ht="12.75">
      <c r="A2019" s="2" t="s">
        <v>50</v>
      </c>
      <c r="B2019" s="2" t="s">
        <v>2961</v>
      </c>
      <c r="C2019" s="2" t="s">
        <v>24</v>
      </c>
      <c r="D2019" s="2" t="s">
        <v>2962</v>
      </c>
      <c r="E2019" s="2" t="s">
        <v>431</v>
      </c>
      <c r="F2019" s="11" t="s">
        <v>2736</v>
      </c>
      <c r="G2019" t="s">
        <v>38</v>
      </c>
      <c r="H2019" t="s">
        <v>2737</v>
      </c>
      <c r="I2019" t="s">
        <v>3242</v>
      </c>
      <c r="J2019" s="6" t="str">
        <f>HYPERLINK("https://www.biovista.com/db/link/%5B%5B%22Disease%7CPMM2%20deficiency%22%5D,%20%5B%22Human%20Phenotype%7CDiarrhea%22%5D%5D?strength-weight-map=%257B%2522MEDLINE_STRENGTH_AB%2522:1.0,%2522HPO%2522:100.0%257D", "Show Evidence...")</f>
        <v>Show Evidence...</v>
      </c>
    </row>
    <row r="2020" spans="1:10" ht="12.75">
      <c r="A2020" s="2" t="s">
        <v>50</v>
      </c>
      <c r="B2020" s="2" t="s">
        <v>2961</v>
      </c>
      <c r="C2020" s="2" t="s">
        <v>24</v>
      </c>
      <c r="D2020" s="2" t="s">
        <v>2962</v>
      </c>
      <c r="E2020" s="2" t="s">
        <v>431</v>
      </c>
      <c r="F2020" s="11" t="s">
        <v>3243</v>
      </c>
      <c r="G2020" t="s">
        <v>38</v>
      </c>
      <c r="H2020" t="s">
        <v>3244</v>
      </c>
      <c r="I2020" t="s">
        <v>3245</v>
      </c>
      <c r="J2020" s="6" t="str">
        <f>HYPERLINK("https://www.biovista.com/db/link/%5B%5B%22Disease%7CPMM2%20deficiency%22%5D,%20%5B%22Human%20Phenotype%7CDeath%20in%20infancy%22%5D%5D?strength-weight-map=%257B%2522MEDLINE_STRENGTH_AB%2522:1.0,%2522HPO%2522:100.0%257D", "Show Evidence...")</f>
        <v>Show Evidence...</v>
      </c>
    </row>
    <row r="2021" spans="1:10" ht="12.75">
      <c r="A2021" s="2" t="s">
        <v>50</v>
      </c>
      <c r="B2021" s="2" t="s">
        <v>2961</v>
      </c>
      <c r="C2021" s="2" t="s">
        <v>24</v>
      </c>
      <c r="D2021" s="2" t="s">
        <v>2962</v>
      </c>
      <c r="E2021" s="2" t="s">
        <v>431</v>
      </c>
      <c r="F2021" s="11" t="s">
        <v>470</v>
      </c>
      <c r="G2021" t="s">
        <v>38</v>
      </c>
      <c r="H2021" t="s">
        <v>471</v>
      </c>
      <c r="I2021" t="s">
        <v>3246</v>
      </c>
      <c r="J2021" s="6" t="str">
        <f>HYPERLINK("https://www.biovista.com/db/link/%5B%5B%22Disease%7CPMM2%20deficiency%22%5D,%20%5B%22Human%20Phenotype%7CIntellectual%20disability%22%5D%5D?strength-weight-map=%257B%2522MEDLINE_STRENGTH_AB%2522:1.0,%2522HPO%2522:100.0%257D", "Show Evidence...")</f>
        <v>Show Evidence...</v>
      </c>
    </row>
    <row r="2022" spans="1:10" ht="12.75">
      <c r="A2022" s="2" t="s">
        <v>50</v>
      </c>
      <c r="B2022" s="2" t="s">
        <v>2961</v>
      </c>
      <c r="C2022" s="2" t="s">
        <v>24</v>
      </c>
      <c r="D2022" s="2" t="s">
        <v>2962</v>
      </c>
      <c r="E2022" s="2" t="s">
        <v>431</v>
      </c>
      <c r="F2022" s="11" t="s">
        <v>1359</v>
      </c>
      <c r="G2022" t="s">
        <v>38</v>
      </c>
      <c r="H2022" t="s">
        <v>1360</v>
      </c>
      <c r="I2022" t="s">
        <v>3247</v>
      </c>
      <c r="J2022" s="6" t="str">
        <f>HYPERLINK("https://www.biovista.com/db/link/%5B%5B%22Disease%7CPMM2%20deficiency%22%5D,%20%5B%22Human%20Phenotype%7CPeripheral%20neuropathy%22%5D%5D?strength-weight-map=%257B%2522MEDLINE_STRENGTH_AB%2522:1.0,%2522HPO%2522:100.0%257D", "Show Evidence...")</f>
        <v>Show Evidence...</v>
      </c>
    </row>
    <row r="2023" spans="1:10" ht="12.75">
      <c r="A2023" s="2" t="s">
        <v>50</v>
      </c>
      <c r="B2023" s="2" t="s">
        <v>2961</v>
      </c>
      <c r="C2023" s="2" t="s">
        <v>24</v>
      </c>
      <c r="D2023" s="2" t="s">
        <v>2962</v>
      </c>
      <c r="E2023" s="2" t="s">
        <v>431</v>
      </c>
      <c r="F2023" s="11" t="s">
        <v>3248</v>
      </c>
      <c r="G2023" t="s">
        <v>38</v>
      </c>
      <c r="H2023" t="s">
        <v>3249</v>
      </c>
      <c r="I2023" t="s">
        <v>3250</v>
      </c>
      <c r="J2023" s="6" t="str">
        <f>HYPERLINK("https://www.biovista.com/db/link/%5B%5B%22Disease%7CPMM2%20deficiency%22%5D,%20%5B%22Human%20Phenotype%7CPericardial%20effusion%22%5D%5D?strength-weight-map=%257B%2522MEDLINE_STRENGTH_AB%2522:1.0,%2522HPO%2522:100.0%257D", "Show Evidence...")</f>
        <v>Show Evidence...</v>
      </c>
    </row>
    <row r="2024" spans="1:10" ht="12.75">
      <c r="A2024" s="2" t="s">
        <v>50</v>
      </c>
      <c r="B2024" s="2" t="s">
        <v>2961</v>
      </c>
      <c r="C2024" s="2" t="s">
        <v>24</v>
      </c>
      <c r="D2024" s="2" t="s">
        <v>2962</v>
      </c>
      <c r="E2024" s="2" t="s">
        <v>431</v>
      </c>
      <c r="F2024" s="11" t="s">
        <v>3251</v>
      </c>
      <c r="G2024" t="s">
        <v>38</v>
      </c>
      <c r="H2024" t="s">
        <v>3252</v>
      </c>
      <c r="I2024" t="s">
        <v>3253</v>
      </c>
      <c r="J2024" s="6" t="str">
        <f>HYPERLINK("https://www.biovista.com/db/link/%5B%5B%22Disease%7CPMM2%20deficiency%22%5D,%20%5B%22Human%20Phenotype%7CRod-cone%20dystrophy%22%5D%5D?strength-weight-map=%257B%2522MEDLINE_STRENGTH_AB%2522:1.0,%2522HPO%2522:100.0%257D", "Show Evidence...")</f>
        <v>Show Evidence...</v>
      </c>
    </row>
    <row r="2025" spans="1:10" ht="12.75">
      <c r="A2025" s="2" t="s">
        <v>50</v>
      </c>
      <c r="B2025" s="2" t="s">
        <v>2961</v>
      </c>
      <c r="C2025" s="2" t="s">
        <v>24</v>
      </c>
      <c r="D2025" s="2" t="s">
        <v>2962</v>
      </c>
      <c r="E2025" s="2" t="s">
        <v>431</v>
      </c>
      <c r="F2025" s="11" t="s">
        <v>3254</v>
      </c>
      <c r="G2025" t="s">
        <v>38</v>
      </c>
      <c r="H2025" t="s">
        <v>3255</v>
      </c>
      <c r="I2025" t="s">
        <v>3256</v>
      </c>
      <c r="J2025" s="6" t="str">
        <f>HYPERLINK("https://www.biovista.com/db/link/%5B%5B%22Disease%7CPMM2%20deficiency%22%5D,%20%5B%22Human%20Phenotype%7CHypoalbuminemia%22%5D%5D?strength-weight-map=%257B%2522MEDLINE_STRENGTH_AB%2522:1.0,%2522HPO%2522:100.0%257D", "Show Evidence...")</f>
        <v>Show Evidence...</v>
      </c>
    </row>
    <row r="2026" spans="1:10" ht="12.75">
      <c r="A2026" s="2" t="s">
        <v>50</v>
      </c>
      <c r="B2026" s="2" t="s">
        <v>2961</v>
      </c>
      <c r="C2026" s="2" t="s">
        <v>24</v>
      </c>
      <c r="D2026" s="2" t="s">
        <v>2962</v>
      </c>
      <c r="E2026" s="2" t="s">
        <v>431</v>
      </c>
      <c r="F2026" s="11" t="s">
        <v>2242</v>
      </c>
      <c r="G2026" t="s">
        <v>38</v>
      </c>
      <c r="H2026" t="s">
        <v>2243</v>
      </c>
      <c r="I2026" t="s">
        <v>3257</v>
      </c>
      <c r="J2026" s="6" t="str">
        <f>HYPERLINK("https://www.biovista.com/db/link/%5B%5B%22Disease%7CPMM2%20deficiency%22%5D,%20%5B%22Human%20Phenotype%7CCataract%22%5D%5D?strength-weight-map=%257B%2522MEDLINE_STRENGTH_AB%2522:1.0,%2522HPO%2522:100.0%257D", "Show Evidence...")</f>
        <v>Show Evidence...</v>
      </c>
    </row>
    <row r="2027" spans="1:10" ht="12.75">
      <c r="A2027" s="2" t="s">
        <v>50</v>
      </c>
      <c r="B2027" s="2" t="s">
        <v>2961</v>
      </c>
      <c r="C2027" s="2" t="s">
        <v>24</v>
      </c>
      <c r="D2027" s="2" t="s">
        <v>2962</v>
      </c>
      <c r="E2027" s="2" t="s">
        <v>431</v>
      </c>
      <c r="F2027" s="11" t="s">
        <v>2772</v>
      </c>
      <c r="G2027" t="s">
        <v>38</v>
      </c>
      <c r="H2027" t="s">
        <v>2773</v>
      </c>
      <c r="I2027" t="s">
        <v>3258</v>
      </c>
      <c r="J2027" s="6" t="s">
        <v>3259</v>
      </c>
    </row>
    <row r="2028" spans="1:10" ht="12.75">
      <c r="A2028" s="2" t="s">
        <v>50</v>
      </c>
      <c r="B2028" s="2" t="s">
        <v>2961</v>
      </c>
      <c r="C2028" s="2" t="s">
        <v>24</v>
      </c>
      <c r="D2028" s="2" t="s">
        <v>2962</v>
      </c>
      <c r="E2028" s="2" t="s">
        <v>431</v>
      </c>
      <c r="F2028" s="11" t="s">
        <v>2260</v>
      </c>
      <c r="G2028" t="s">
        <v>38</v>
      </c>
      <c r="H2028" t="s">
        <v>2261</v>
      </c>
      <c r="I2028" t="s">
        <v>3258</v>
      </c>
      <c r="J2028" s="6" t="str">
        <f>HYPERLINK("https://www.biovista.com/db/link/%5B%5B%22Disease%7CPMM2%20deficiency%22%5D,%20%5B%22Human%20Phenotype%7CNephrotic%20syndrome%22%5D%5D?strength-weight-map=%257B%2522MEDLINE_STRENGTH_AB%2522:1.0,%2522HPO%2522:100.0%257D", "Show Evidence...")</f>
        <v>Show Evidence...</v>
      </c>
    </row>
    <row r="2029" spans="1:10" ht="12.75">
      <c r="A2029" s="2" t="s">
        <v>50</v>
      </c>
      <c r="B2029" s="2" t="s">
        <v>2961</v>
      </c>
      <c r="C2029" s="2" t="s">
        <v>24</v>
      </c>
      <c r="D2029" s="2" t="s">
        <v>2962</v>
      </c>
      <c r="E2029" s="2" t="s">
        <v>431</v>
      </c>
      <c r="F2029" s="11" t="s">
        <v>3260</v>
      </c>
      <c r="G2029" t="s">
        <v>38</v>
      </c>
      <c r="H2029" t="s">
        <v>3261</v>
      </c>
      <c r="I2029" t="s">
        <v>3258</v>
      </c>
      <c r="J2029" s="6" t="str">
        <f>HYPERLINK("https://www.biovista.com/db/link/%5B%5B%22Disease%7CPMM2%20deficiency%22%5D,%20%5B%22Human%20Phenotype%7CReduced%20antithrombin%20III%20activity%22%5D%5D?strength-weight-map=%257B%2522MEDLINE_STRENGTH_AB%2522:1.0,%2522HPO%2522:100.0%257D", "Show Evidence...")</f>
        <v>Show Evidence...</v>
      </c>
    </row>
    <row r="2030" spans="1:10" ht="12.75">
      <c r="A2030" s="2" t="s">
        <v>50</v>
      </c>
      <c r="B2030" s="2" t="s">
        <v>2961</v>
      </c>
      <c r="C2030" s="2" t="s">
        <v>24</v>
      </c>
      <c r="D2030" s="2" t="s">
        <v>2962</v>
      </c>
      <c r="E2030" s="2" t="s">
        <v>431</v>
      </c>
      <c r="F2030" s="11" t="s">
        <v>3262</v>
      </c>
      <c r="G2030" t="s">
        <v>38</v>
      </c>
      <c r="H2030" t="s">
        <v>3263</v>
      </c>
      <c r="I2030" t="s">
        <v>3264</v>
      </c>
      <c r="J2030" s="6" t="str">
        <f>HYPERLINK("https://www.biovista.com/db/link/%5B%5B%22Disease%7CPMM2%20deficiency%22%5D,%20%5B%22Human%20Phenotype%7CMyopia%22%5D%5D?strength-weight-map=%257B%2522MEDLINE_STRENGTH_AB%2522:1.0,%2522HPO%2522:100.0%257D", "Show Evidence...")</f>
        <v>Show Evidence...</v>
      </c>
    </row>
    <row r="2031" spans="1:10" ht="12.75">
      <c r="A2031" s="2" t="s">
        <v>50</v>
      </c>
      <c r="B2031" s="2" t="s">
        <v>2961</v>
      </c>
      <c r="C2031" s="2" t="s">
        <v>24</v>
      </c>
      <c r="D2031" s="2" t="s">
        <v>2962</v>
      </c>
      <c r="E2031" s="2" t="s">
        <v>431</v>
      </c>
      <c r="F2031" s="11" t="s">
        <v>3265</v>
      </c>
      <c r="G2031" t="s">
        <v>38</v>
      </c>
      <c r="H2031" t="s">
        <v>3266</v>
      </c>
      <c r="I2031" t="s">
        <v>3267</v>
      </c>
      <c r="J2031" s="6" t="str">
        <f>HYPERLINK("https://www.biovista.com/db/link/%5B%5B%22Disease%7CPMM2%20deficiency%22%5D,%20%5B%22Human%20Phenotype%7CProteinuria%22%5D%5D?strength-weight-map=%257B%2522MEDLINE_STRENGTH_AB%2522:1.0,%2522HPO%2522:100.0%257D", "Show Evidence...")</f>
        <v>Show Evidence...</v>
      </c>
    </row>
    <row r="2032" spans="1:10" ht="12.75">
      <c r="A2032" s="2" t="s">
        <v>50</v>
      </c>
      <c r="B2032" s="2" t="s">
        <v>2961</v>
      </c>
      <c r="C2032" s="2" t="s">
        <v>24</v>
      </c>
      <c r="D2032" s="2" t="s">
        <v>2962</v>
      </c>
      <c r="E2032" s="2" t="s">
        <v>431</v>
      </c>
      <c r="F2032" s="11" t="s">
        <v>3268</v>
      </c>
      <c r="G2032" t="s">
        <v>38</v>
      </c>
      <c r="H2032" t="s">
        <v>3269</v>
      </c>
      <c r="I2032" t="s">
        <v>3267</v>
      </c>
      <c r="J2032" s="6" t="str">
        <f>HYPERLINK("https://www.biovista.com/db/link/%5B%5B%22Disease%7CPMM2%20deficiency%22%5D,%20%5B%22Human%20Phenotype%7CReduced%20factor%20XI%20activity%22%5D%5D?strength-weight-map=%257B%2522MEDLINE_STRENGTH_AB%2522:1.0,%2522HPO%2522:100.0%257D", "Show Evidence...")</f>
        <v>Show Evidence...</v>
      </c>
    </row>
    <row r="2033" spans="1:10" ht="12.75">
      <c r="A2033" s="2" t="s">
        <v>50</v>
      </c>
      <c r="B2033" s="2" t="s">
        <v>2961</v>
      </c>
      <c r="C2033" s="2" t="s">
        <v>24</v>
      </c>
      <c r="D2033" s="2" t="s">
        <v>2962</v>
      </c>
      <c r="E2033" s="2" t="s">
        <v>431</v>
      </c>
      <c r="F2033" s="11" t="s">
        <v>1413</v>
      </c>
      <c r="G2033" t="s">
        <v>38</v>
      </c>
      <c r="H2033" t="s">
        <v>1414</v>
      </c>
      <c r="I2033" t="s">
        <v>3270</v>
      </c>
      <c r="J2033" s="6" t="str">
        <f>HYPERLINK("https://www.biovista.com/db/link/%5B%5B%22Disease%7CPMM2%20deficiency%22%5D,%20%5B%22Human%20Phenotype%7CFever%22%5D%5D?strength-weight-map=%257B%2522MEDLINE_STRENGTH_AB%2522:1.0,%2522HPO%2522:100.0%257D", "Show Evidence...")</f>
        <v>Show Evidence...</v>
      </c>
    </row>
    <row r="2034" spans="1:10" ht="12.75">
      <c r="A2034" s="2" t="s">
        <v>50</v>
      </c>
      <c r="B2034" s="2" t="s">
        <v>2961</v>
      </c>
      <c r="C2034" s="2" t="s">
        <v>24</v>
      </c>
      <c r="D2034" s="2" t="s">
        <v>2962</v>
      </c>
      <c r="E2034" s="2" t="s">
        <v>431</v>
      </c>
      <c r="F2034" s="11" t="s">
        <v>3271</v>
      </c>
      <c r="G2034" t="s">
        <v>38</v>
      </c>
      <c r="H2034" t="s">
        <v>3272</v>
      </c>
      <c r="I2034" t="s">
        <v>3273</v>
      </c>
      <c r="J2034" s="6" t="str">
        <f>HYPERLINK("https://www.biovista.com/db/link/%5B%5B%22Disease%7CPMM2%20deficiency%22%5D,%20%5B%22Human%20Phenotype%7CDecreased%20testicular%20size%22%5D%5D?strength-weight-map=%257B%2522MEDLINE_STRENGTH_AB%2522:1.0,%2522HPO%2522:100.0%257D", "Show Evidence...")</f>
        <v>Show Evidence...</v>
      </c>
    </row>
    <row r="2035" spans="1:10" ht="12.75">
      <c r="A2035" s="2" t="s">
        <v>50</v>
      </c>
      <c r="B2035" s="2" t="s">
        <v>2961</v>
      </c>
      <c r="C2035" s="2" t="s">
        <v>24</v>
      </c>
      <c r="D2035" s="2" t="s">
        <v>2962</v>
      </c>
      <c r="E2035" s="2" t="s">
        <v>431</v>
      </c>
      <c r="F2035" s="11" t="s">
        <v>2729</v>
      </c>
      <c r="G2035" t="s">
        <v>38</v>
      </c>
      <c r="H2035" t="s">
        <v>2730</v>
      </c>
      <c r="I2035" t="s">
        <v>3273</v>
      </c>
      <c r="J2035" s="6" t="str">
        <f>HYPERLINK("https://www.biovista.com/db/link/%5B%5B%22Disease%7CPMM2%20deficiency%22%5D,%20%5B%22Human%20Phenotype%7CHyperinsulinemia%22%5D%5D?strength-weight-map=%257B%2522MEDLINE_STRENGTH_AB%2522:1.0,%2522HPO%2522:100.0%257D", "Show Evidence...")</f>
        <v>Show Evidence...</v>
      </c>
    </row>
    <row r="2036" spans="1:10" ht="12.75">
      <c r="A2036" s="2" t="s">
        <v>50</v>
      </c>
      <c r="B2036" s="2" t="s">
        <v>2961</v>
      </c>
      <c r="C2036" s="2" t="s">
        <v>24</v>
      </c>
      <c r="D2036" s="2" t="s">
        <v>2962</v>
      </c>
      <c r="E2036" s="2" t="s">
        <v>431</v>
      </c>
      <c r="F2036" s="11" t="s">
        <v>3274</v>
      </c>
      <c r="G2036" t="s">
        <v>38</v>
      </c>
      <c r="H2036" t="s">
        <v>3275</v>
      </c>
      <c r="I2036" t="s">
        <v>3273</v>
      </c>
      <c r="J2036" s="6" t="str">
        <f>HYPERLINK("https://www.biovista.com/db/link/%5B%5B%22Disease%7CPMM2%20deficiency%22%5D,%20%5B%22Human%20Phenotype%7CHypogonadotropic%20hypogonadism%22%5D%5D?strength-weight-map=%257B%2522MEDLINE_STRENGTH_AB%2522:1.0,%2522HPO%2522:100.0%257D", "Show Evidence...")</f>
        <v>Show Evidence...</v>
      </c>
    </row>
    <row r="2037" spans="1:10" ht="12.75">
      <c r="A2037" s="2" t="s">
        <v>50</v>
      </c>
      <c r="B2037" s="2" t="s">
        <v>2961</v>
      </c>
      <c r="C2037" s="2" t="s">
        <v>24</v>
      </c>
      <c r="D2037" s="2" t="s">
        <v>2962</v>
      </c>
      <c r="E2037" s="2" t="s">
        <v>431</v>
      </c>
      <c r="F2037" s="11" t="s">
        <v>2277</v>
      </c>
      <c r="G2037" t="s">
        <v>38</v>
      </c>
      <c r="H2037" t="s">
        <v>2278</v>
      </c>
      <c r="I2037" t="s">
        <v>2197</v>
      </c>
      <c r="J2037" s="6" t="str">
        <f>HYPERLINK("https://www.biovista.com/db/link/%5B%5B%22Disease%7CPMM2%20deficiency%22%5D,%20%5B%22Human%20Phenotype%7CMacrotia%22%5D%5D?strength-weight-map=%257B%2522MEDLINE_STRENGTH_AB%2522:1.0,%2522HPO%2522:100.0%257D", "Show Evidence...")</f>
        <v>Show Evidence...</v>
      </c>
    </row>
    <row r="2038" spans="1:10" ht="12.75">
      <c r="A2038" s="2" t="s">
        <v>50</v>
      </c>
      <c r="B2038" s="2" t="s">
        <v>2961</v>
      </c>
      <c r="C2038" s="2" t="s">
        <v>24</v>
      </c>
      <c r="D2038" s="2" t="s">
        <v>2962</v>
      </c>
      <c r="E2038" s="2" t="s">
        <v>431</v>
      </c>
      <c r="F2038" s="11" t="s">
        <v>3276</v>
      </c>
      <c r="G2038" t="s">
        <v>38</v>
      </c>
      <c r="H2038" t="s">
        <v>3277</v>
      </c>
      <c r="I2038" t="s">
        <v>552</v>
      </c>
      <c r="J2038" s="6" t="str">
        <f>HYPERLINK("https://www.biovista.com/db/link/%5B%5B%22Disease%7CPMM2%20deficiency%22%5D,%20%5B%22Human%20Phenotype%7CAbnormal%20liver%20parenchyma%20morphology%22%5D%5D?strength-weight-map=%257B%2522MEDLINE_STRENGTH_AB%2522:1.0,%2522HPO%2522:100.0%257D", "Show Evidence...")</f>
        <v>Show Evidence...</v>
      </c>
    </row>
    <row r="2039" spans="1:10" ht="12.75">
      <c r="A2039" s="2" t="s">
        <v>50</v>
      </c>
      <c r="B2039" s="2" t="s">
        <v>2961</v>
      </c>
      <c r="C2039" s="2" t="s">
        <v>24</v>
      </c>
      <c r="D2039" s="2" t="s">
        <v>2962</v>
      </c>
      <c r="E2039" s="2" t="s">
        <v>431</v>
      </c>
      <c r="F2039" s="11" t="s">
        <v>3278</v>
      </c>
      <c r="G2039" t="s">
        <v>38</v>
      </c>
      <c r="H2039" t="s">
        <v>3279</v>
      </c>
      <c r="I2039" t="s">
        <v>552</v>
      </c>
      <c r="J2039" s="6" t="str">
        <f>HYPERLINK("https://www.biovista.com/db/link/%5B%5B%22Disease%7CPMM2%20deficiency%22%5D,%20%5B%22Human%20Phenotype%7CAbnormal%20pinna%20morphology%22%5D%5D?strength-weight-map=%257B%2522MEDLINE_STRENGTH_AB%2522:1.0,%2522HPO%2522:100.0%257D", "Show Evidence...")</f>
        <v>Show Evidence...</v>
      </c>
    </row>
    <row r="2040" spans="1:10" ht="12.75">
      <c r="A2040" s="2" t="s">
        <v>50</v>
      </c>
      <c r="B2040" s="2" t="s">
        <v>2961</v>
      </c>
      <c r="C2040" s="2" t="s">
        <v>24</v>
      </c>
      <c r="D2040" s="2" t="s">
        <v>2962</v>
      </c>
      <c r="E2040" s="2" t="s">
        <v>431</v>
      </c>
      <c r="F2040" s="11" t="s">
        <v>3280</v>
      </c>
      <c r="G2040" t="s">
        <v>38</v>
      </c>
      <c r="H2040" t="s">
        <v>3281</v>
      </c>
      <c r="I2040" t="s">
        <v>552</v>
      </c>
      <c r="J2040" s="6" t="str">
        <f>HYPERLINK("https://www.biovista.com/db/link/%5B%5B%22Disease%7CPMM2%20deficiency%22%5D,%20%5B%22Human%20Phenotype%7CAbnormal%20renal%20tubule%20morphology%22%5D%5D?strength-weight-map=%257B%2522MEDLINE_STRENGTH_AB%2522:1.0,%2522HPO%2522:100.0%257D", "Show Evidence...")</f>
        <v>Show Evidence...</v>
      </c>
    </row>
    <row r="2041" spans="1:10" ht="12.75">
      <c r="A2041" s="2" t="s">
        <v>50</v>
      </c>
      <c r="B2041" s="2" t="s">
        <v>2961</v>
      </c>
      <c r="C2041" s="2" t="s">
        <v>24</v>
      </c>
      <c r="D2041" s="2" t="s">
        <v>2962</v>
      </c>
      <c r="E2041" s="2" t="s">
        <v>431</v>
      </c>
      <c r="F2041" s="11" t="s">
        <v>3282</v>
      </c>
      <c r="G2041" t="s">
        <v>38</v>
      </c>
      <c r="H2041" t="s">
        <v>3283</v>
      </c>
      <c r="I2041" t="s">
        <v>552</v>
      </c>
      <c r="J2041" s="6" t="str">
        <f>HYPERLINK("https://www.biovista.com/db/link/%5B%5B%22Disease%7CPMM2%20deficiency%22%5D,%20%5B%22Human%20Phenotype%7CAbnormal%20skeletal%20morphology%22%5D%5D?strength-weight-map=%257B%2522MEDLINE_STRENGTH_AB%2522:1.0,%2522HPO%2522:100.0%257D", "Show Evidence...")</f>
        <v>Show Evidence...</v>
      </c>
    </row>
    <row r="2042" spans="1:10" ht="12.75">
      <c r="A2042" s="2" t="s">
        <v>50</v>
      </c>
      <c r="B2042" s="2" t="s">
        <v>2961</v>
      </c>
      <c r="C2042" s="2" t="s">
        <v>24</v>
      </c>
      <c r="D2042" s="2" t="s">
        <v>2962</v>
      </c>
      <c r="E2042" s="2" t="s">
        <v>431</v>
      </c>
      <c r="F2042" s="11" t="s">
        <v>3284</v>
      </c>
      <c r="G2042" t="s">
        <v>38</v>
      </c>
      <c r="H2042" t="s">
        <v>3285</v>
      </c>
      <c r="I2042" t="s">
        <v>552</v>
      </c>
      <c r="J2042" s="6" t="str">
        <f>HYPERLINK("https://www.biovista.com/db/link/%5B%5B%22Disease%7CPMM2%20deficiency%22%5D,%20%5B%22Human%20Phenotype%7CAbnormality%20of%20coordination%22%5D%5D?strength-weight-map=%257B%2522MEDLINE_STRENGTH_AB%2522:1.0,%2522HPO%2522:100.0%257D", "Show Evidence...")</f>
        <v>Show Evidence...</v>
      </c>
    </row>
    <row r="2043" spans="1:10" ht="12.75">
      <c r="A2043" s="2" t="s">
        <v>50</v>
      </c>
      <c r="B2043" s="2" t="s">
        <v>2961</v>
      </c>
      <c r="C2043" s="2" t="s">
        <v>24</v>
      </c>
      <c r="D2043" s="2" t="s">
        <v>2962</v>
      </c>
      <c r="E2043" s="2" t="s">
        <v>431</v>
      </c>
      <c r="F2043" s="11" t="s">
        <v>3286</v>
      </c>
      <c r="G2043" t="s">
        <v>38</v>
      </c>
      <c r="H2043" t="s">
        <v>3287</v>
      </c>
      <c r="I2043" t="s">
        <v>552</v>
      </c>
      <c r="J2043" s="6" t="str">
        <f>HYPERLINK("https://www.biovista.com/db/link/%5B%5B%22Disease%7CPMM2%20deficiency%22%5D,%20%5B%22Human%20Phenotype%7CAplasia%20of%20the%20ovary%22%5D%5D?strength-weight-map=%257B%2522MEDLINE_STRENGTH_AB%2522:1.0,%2522HPO%2522:100.0%257D", "Show Evidence...")</f>
        <v>Show Evidence...</v>
      </c>
    </row>
    <row r="2044" spans="1:10" ht="12.75">
      <c r="A2044" s="2" t="s">
        <v>50</v>
      </c>
      <c r="B2044" s="2" t="s">
        <v>2961</v>
      </c>
      <c r="C2044" s="2" t="s">
        <v>24</v>
      </c>
      <c r="D2044" s="2" t="s">
        <v>2962</v>
      </c>
      <c r="E2044" s="2" t="s">
        <v>431</v>
      </c>
      <c r="F2044" s="11" t="s">
        <v>3288</v>
      </c>
      <c r="G2044" t="s">
        <v>38</v>
      </c>
      <c r="H2044" t="s">
        <v>3289</v>
      </c>
      <c r="I2044" t="s">
        <v>552</v>
      </c>
      <c r="J2044" s="6" t="str">
        <f>HYPERLINK("https://www.biovista.com/db/link/%5B%5B%22Disease%7CPMM2%20deficiency%22%5D,%20%5B%22Human%20Phenotype%7CAspiration%20pneumonia%22%5D%5D?strength-weight-map=%257B%2522MEDLINE_STRENGTH_AB%2522:1.0,%2522HPO%2522:100.0%257D", "Show Evidence...")</f>
        <v>Show Evidence...</v>
      </c>
    </row>
    <row r="2045" spans="1:10" ht="12.75">
      <c r="A2045" s="2" t="s">
        <v>50</v>
      </c>
      <c r="B2045" s="2" t="s">
        <v>2961</v>
      </c>
      <c r="C2045" s="2" t="s">
        <v>24</v>
      </c>
      <c r="D2045" s="2" t="s">
        <v>2962</v>
      </c>
      <c r="E2045" s="2" t="s">
        <v>431</v>
      </c>
      <c r="F2045" s="11" t="s">
        <v>3290</v>
      </c>
      <c r="G2045" t="s">
        <v>38</v>
      </c>
      <c r="H2045" t="s">
        <v>3291</v>
      </c>
      <c r="I2045" t="s">
        <v>552</v>
      </c>
      <c r="J2045" s="6" t="str">
        <f>HYPERLINK("https://www.biovista.com/db/link/%5B%5B%22Disease%7CPMM2%20deficiency%22%5D,%20%5B%22Human%20Phenotype%7CElevated%20circulating%20growth%20hormone%20concentration%22%5D%5D?strength-weight-map=%257B%2522MEDLINE_STRENGTH_AB%2522:1.0,%2522HPO%2522:100.0%257D", "Show Evidence...")</f>
        <v>Show Evidence...</v>
      </c>
    </row>
    <row r="2046" spans="1:10" ht="12.75">
      <c r="A2046" s="2" t="s">
        <v>50</v>
      </c>
      <c r="B2046" s="2" t="s">
        <v>2961</v>
      </c>
      <c r="C2046" s="2" t="s">
        <v>24</v>
      </c>
      <c r="D2046" s="2" t="s">
        <v>2962</v>
      </c>
      <c r="E2046" s="2" t="s">
        <v>431</v>
      </c>
      <c r="F2046" s="11" t="s">
        <v>3292</v>
      </c>
      <c r="G2046" t="s">
        <v>38</v>
      </c>
      <c r="H2046" t="s">
        <v>3293</v>
      </c>
      <c r="I2046" t="s">
        <v>552</v>
      </c>
      <c r="J2046" s="6" t="s">
        <v>3294</v>
      </c>
    </row>
    <row r="2047" spans="1:10" ht="12.75">
      <c r="A2047" s="2" t="s">
        <v>50</v>
      </c>
      <c r="B2047" s="2" t="s">
        <v>2961</v>
      </c>
      <c r="C2047" s="2" t="s">
        <v>24</v>
      </c>
      <c r="D2047" s="2" t="s">
        <v>2962</v>
      </c>
      <c r="E2047" s="2" t="s">
        <v>431</v>
      </c>
      <c r="F2047" s="11" t="s">
        <v>3295</v>
      </c>
      <c r="G2047" t="s">
        <v>38</v>
      </c>
      <c r="H2047" t="s">
        <v>3296</v>
      </c>
      <c r="I2047" t="s">
        <v>552</v>
      </c>
      <c r="J2047" s="6" t="str">
        <f>HYPERLINK("https://www.biovista.com/db/link/%5B%5B%22Disease%7CPMM2%20deficiency%22%5D,%20%5B%22Human%20Phenotype%7CHyperplastic%20labia%20majora%22%5D%5D?strength-weight-map=%257B%2522MEDLINE_STRENGTH_AB%2522:1.0,%2522HPO%2522:100.0%257D", "Show Evidence...")</f>
        <v>Show Evidence...</v>
      </c>
    </row>
    <row r="2048" spans="1:10" ht="12.75">
      <c r="A2048" s="2" t="s">
        <v>50</v>
      </c>
      <c r="B2048" s="2" t="s">
        <v>2961</v>
      </c>
      <c r="C2048" s="2" t="s">
        <v>24</v>
      </c>
      <c r="D2048" s="2" t="s">
        <v>2962</v>
      </c>
      <c r="E2048" s="2" t="s">
        <v>431</v>
      </c>
      <c r="F2048" s="11" t="s">
        <v>3297</v>
      </c>
      <c r="G2048" t="s">
        <v>38</v>
      </c>
      <c r="H2048" t="s">
        <v>3298</v>
      </c>
      <c r="I2048" t="s">
        <v>552</v>
      </c>
      <c r="J2048" s="6" t="str">
        <f>HYPERLINK("https://www.biovista.com/db/link/%5B%5B%22Disease%7CPMM2%20deficiency%22%5D,%20%5B%22Human%20Phenotype%7CIncreased%20circulating%20prolactin%20concentration%22%5D%5D?strength-weight-map=%257B%2522MEDLINE_STRENGTH_AB%2522:1.0,%2522HPO%2522:100.0%257D", "Show Evidence...")</f>
        <v>Show Evidence...</v>
      </c>
    </row>
    <row r="2049" spans="1:10" ht="12.75">
      <c r="A2049" s="2" t="s">
        <v>50</v>
      </c>
      <c r="B2049" s="2" t="s">
        <v>2961</v>
      </c>
      <c r="C2049" s="2" t="s">
        <v>24</v>
      </c>
      <c r="D2049" s="2" t="s">
        <v>2962</v>
      </c>
      <c r="E2049" s="2" t="s">
        <v>431</v>
      </c>
      <c r="F2049" s="11" t="s">
        <v>2709</v>
      </c>
      <c r="G2049" t="s">
        <v>38</v>
      </c>
      <c r="H2049" t="s">
        <v>2710</v>
      </c>
      <c r="I2049" t="s">
        <v>552</v>
      </c>
      <c r="J2049" s="6" t="str">
        <f>HYPERLINK("https://www.biovista.com/db/link/%5B%5B%22Disease%7CPMM2%20deficiency%22%5D,%20%5B%22Human%20Phenotype%7CInsulin%20resistance%22%5D%5D?strength-weight-map=%257B%2522MEDLINE_STRENGTH_AB%2522:1.0,%2522HPO%2522:100.0%257D", "Show Evidence...")</f>
        <v>Show Evidence...</v>
      </c>
    </row>
    <row r="2050" spans="1:10" ht="12.75">
      <c r="A2050" s="2" t="s">
        <v>50</v>
      </c>
      <c r="B2050" s="2" t="s">
        <v>2961</v>
      </c>
      <c r="C2050" s="2" t="s">
        <v>24</v>
      </c>
      <c r="D2050" s="2" t="s">
        <v>2962</v>
      </c>
      <c r="E2050" s="2" t="s">
        <v>431</v>
      </c>
      <c r="F2050" s="11" t="s">
        <v>2224</v>
      </c>
      <c r="G2050" t="s">
        <v>38</v>
      </c>
      <c r="H2050" t="s">
        <v>2225</v>
      </c>
      <c r="I2050" t="s">
        <v>552</v>
      </c>
      <c r="J2050" s="6" t="str">
        <f>HYPERLINK("https://www.biovista.com/db/link/%5B%5B%22Disease%7CPMM2%20deficiency%22%5D,%20%5B%22Human%20Phenotype%7CMultiple%20joint%20contractures%22%5D%5D?strength-weight-map=%257B%2522MEDLINE_STRENGTH_AB%2522:1.0,%2522HPO%2522:100.0%257D", "Show Evidence...")</f>
        <v>Show Evidence...</v>
      </c>
    </row>
    <row r="2051" spans="1:10" ht="12.75">
      <c r="A2051" s="2" t="s">
        <v>50</v>
      </c>
      <c r="B2051" s="2" t="s">
        <v>2961</v>
      </c>
      <c r="C2051" s="2" t="s">
        <v>24</v>
      </c>
      <c r="D2051" s="2" t="s">
        <v>2962</v>
      </c>
      <c r="E2051" s="2" t="s">
        <v>431</v>
      </c>
      <c r="F2051" s="11" t="s">
        <v>3299</v>
      </c>
      <c r="G2051" t="s">
        <v>38</v>
      </c>
      <c r="H2051" t="s">
        <v>3300</v>
      </c>
      <c r="I2051" t="s">
        <v>552</v>
      </c>
      <c r="J2051" s="6" t="str">
        <f>HYPERLINK("https://www.biovista.com/db/link/%5B%5B%22Disease%7CPMM2%20deficiency%22%5D,%20%5B%22Human%20Phenotype%7CMultiple%20renal%20cysts%22%5D%5D?strength-weight-map=%257B%2522MEDLINE_STRENGTH_AB%2522:1.0,%2522HPO%2522:100.0%257D", "Show Evidence...")</f>
        <v>Show Evidence...</v>
      </c>
    </row>
    <row r="2052" spans="1:10" ht="12.75">
      <c r="A2052" s="2" t="s">
        <v>50</v>
      </c>
      <c r="B2052" s="2" t="s">
        <v>2961</v>
      </c>
      <c r="C2052" s="2" t="s">
        <v>24</v>
      </c>
      <c r="D2052" s="2" t="s">
        <v>2962</v>
      </c>
      <c r="E2052" s="2" t="s">
        <v>431</v>
      </c>
      <c r="F2052" s="11" t="s">
        <v>3301</v>
      </c>
      <c r="G2052" t="s">
        <v>38</v>
      </c>
      <c r="H2052" t="s">
        <v>3302</v>
      </c>
      <c r="I2052" t="s">
        <v>552</v>
      </c>
      <c r="J2052" s="6" t="str">
        <f>HYPERLINK("https://www.biovista.com/db/link/%5B%5B%22Disease%7CPMM2%20deficiency%22%5D,%20%5B%22Human%20Phenotype%7CPhotoreceptor%20layer%20loss%20on%20macular%20OCT%22%5D%5D?strength-weight-map=%257B%2522MEDLINE_STRENGTH_AB%2522:1.0,%2522HPO%2522:100.0%257D", "Show Evidence...")</f>
        <v>Show Evidence...</v>
      </c>
    </row>
    <row r="2053" spans="1:10" ht="12.75">
      <c r="A2053" s="2" t="s">
        <v>50</v>
      </c>
      <c r="B2053" s="2" t="s">
        <v>2961</v>
      </c>
      <c r="C2053" s="2" t="s">
        <v>24</v>
      </c>
      <c r="D2053" s="2" t="s">
        <v>2962</v>
      </c>
      <c r="E2053" s="2" t="s">
        <v>431</v>
      </c>
      <c r="F2053" s="11" t="s">
        <v>3303</v>
      </c>
      <c r="G2053" t="s">
        <v>38</v>
      </c>
      <c r="H2053" t="s">
        <v>3304</v>
      </c>
      <c r="I2053" t="s">
        <v>552</v>
      </c>
      <c r="J2053" s="6" t="str">
        <f>HYPERLINK("https://www.biovista.com/db/link/%5B%5B%22Disease%7CPMM2%20deficiency%22%5D,%20%5B%22Human%20Phenotype%7CProminent%20nasal%20bridge%22%5D%5D?strength-weight-map=%257B%2522MEDLINE_STRENGTH_AB%2522:1.0,%2522HPO%2522:100.0%257D", "Show Evidence...")</f>
        <v>Show Evidence...</v>
      </c>
    </row>
    <row r="2054" spans="1:10" ht="12.75">
      <c r="A2054" s="2" t="s">
        <v>50</v>
      </c>
      <c r="B2054" s="2" t="s">
        <v>2961</v>
      </c>
      <c r="C2054" s="2" t="s">
        <v>24</v>
      </c>
      <c r="D2054" s="2" t="s">
        <v>2962</v>
      </c>
      <c r="E2054" s="2" t="s">
        <v>431</v>
      </c>
      <c r="F2054" s="11" t="s">
        <v>3305</v>
      </c>
      <c r="G2054" t="s">
        <v>38</v>
      </c>
      <c r="H2054" t="s">
        <v>3306</v>
      </c>
      <c r="I2054" t="s">
        <v>552</v>
      </c>
      <c r="J2054" s="6" t="str">
        <f>HYPERLINK("https://www.biovista.com/db/link/%5B%5B%22Disease%7CPMM2%20deficiency%22%5D,%20%5B%22Human%20Phenotype%7CReduced%20factor%20IX%20activity%22%5D%5D?strength-weight-map=%257B%2522MEDLINE_STRENGTH_AB%2522:1.0,%2522HPO%2522:100.0%257D", "Show Evidence...")</f>
        <v>Show Evidence...</v>
      </c>
    </row>
    <row r="2055" spans="1:10" ht="12.75">
      <c r="A2055" s="2" t="s">
        <v>50</v>
      </c>
      <c r="B2055" s="2" t="s">
        <v>2961</v>
      </c>
      <c r="C2055" s="2" t="s">
        <v>24</v>
      </c>
      <c r="D2055" s="2" t="s">
        <v>2962</v>
      </c>
      <c r="E2055" s="2" t="s">
        <v>431</v>
      </c>
      <c r="F2055" s="11" t="s">
        <v>3307</v>
      </c>
      <c r="G2055" t="s">
        <v>38</v>
      </c>
      <c r="H2055" t="s">
        <v>3308</v>
      </c>
      <c r="I2055" t="s">
        <v>552</v>
      </c>
      <c r="J2055" s="6" t="str">
        <f>HYPERLINK("https://www.biovista.com/db/link/%5B%5B%22Disease%7CPMM2%20deficiency%22%5D,%20%5B%22Human%20Phenotype%7CReduced%20thyroxin-binding%20globulin%22%5D%5D?strength-weight-map=%257B%2522MEDLINE_STRENGTH_AB%2522:1.0,%2522HPO%2522:100.0%257D", "Show Evidence...")</f>
        <v>Show Evidence...</v>
      </c>
    </row>
    <row r="2056" spans="1:10" ht="12.75">
      <c r="A2056" s="2" t="s">
        <v>50</v>
      </c>
      <c r="B2056" s="2" t="s">
        <v>2961</v>
      </c>
      <c r="C2056" s="2" t="s">
        <v>24</v>
      </c>
      <c r="D2056" s="2" t="s">
        <v>2962</v>
      </c>
      <c r="E2056" s="2" t="s">
        <v>431</v>
      </c>
      <c r="F2056" s="11" t="s">
        <v>3309</v>
      </c>
      <c r="G2056" t="s">
        <v>38</v>
      </c>
      <c r="H2056" t="s">
        <v>3310</v>
      </c>
      <c r="I2056" t="s">
        <v>552</v>
      </c>
      <c r="J2056" s="6" t="str">
        <f>HYPERLINK("https://www.biovista.com/db/link/%5B%5B%22Disease%7CPMM2%20deficiency%22%5D,%20%5B%22Human%20Phenotype%7CRespiratory%20distress%22%5D%5D?strength-weight-map=%257B%2522MEDLINE_STRENGTH_AB%2522:1.0,%2522HPO%2522:100.0%257D", "Show Evidence...")</f>
        <v>Show Evidence...</v>
      </c>
    </row>
    <row r="2057" spans="1:10" ht="12.75">
      <c r="A2057" s="2" t="s">
        <v>50</v>
      </c>
      <c r="B2057" s="2" t="s">
        <v>2961</v>
      </c>
      <c r="C2057" s="2" t="s">
        <v>24</v>
      </c>
      <c r="D2057" s="2" t="s">
        <v>2962</v>
      </c>
      <c r="E2057" s="2" t="s">
        <v>431</v>
      </c>
      <c r="F2057" s="11" t="s">
        <v>3311</v>
      </c>
      <c r="G2057" t="s">
        <v>38</v>
      </c>
      <c r="H2057" t="s">
        <v>3312</v>
      </c>
      <c r="I2057" t="s">
        <v>3313</v>
      </c>
      <c r="J2057" s="6" t="str">
        <f>HYPERLINK("https://www.biovista.com/db/link/%5B%5B%22Disease%7CPMM2%20deficiency%22%5D,%20%5B%22Human%20Phenotype%7CCardiomyopathy%22%5D%5D?strength-weight-map=%257B%2522MEDLINE_STRENGTH_AB%2522:1.0,%2522HPO%2522:100.0%257D", "Show Evidence...")</f>
        <v>Show Evidence...</v>
      </c>
    </row>
    <row r="2058" spans="1:10" ht="12.75">
      <c r="A2058" s="2" t="s">
        <v>50</v>
      </c>
      <c r="B2058" s="2" t="s">
        <v>2961</v>
      </c>
      <c r="C2058" s="2" t="s">
        <v>24</v>
      </c>
      <c r="D2058" s="2" t="s">
        <v>2962</v>
      </c>
      <c r="E2058" s="2" t="s">
        <v>704</v>
      </c>
      <c r="F2058" s="11" t="s">
        <v>739</v>
      </c>
      <c r="G2058" t="s">
        <v>37</v>
      </c>
      <c r="H2058" t="s">
        <v>740</v>
      </c>
      <c r="I2058" t="s">
        <v>3314</v>
      </c>
      <c r="J2058" s="6" t="str">
        <f>HYPERLINK("https://www.biovista.com/db/link/%5B%5B%22Disease%7CPMM2%20deficiency%22%5D,%20%5B%22Pathway%7Cglycosylation%22%5D%5D?strength-weight-map=%257B%2522MEDLINE_STRENGTH_AB%2522:1.0,%2522HPO%2522:100.0%257D", "Show Evidence...")</f>
        <v>Show Evidence...</v>
      </c>
    </row>
    <row r="2059" spans="1:10" ht="12.75">
      <c r="A2059" s="2" t="s">
        <v>50</v>
      </c>
      <c r="B2059" s="2" t="s">
        <v>2961</v>
      </c>
      <c r="C2059" s="2" t="s">
        <v>24</v>
      </c>
      <c r="D2059" s="2" t="s">
        <v>2962</v>
      </c>
      <c r="E2059" s="2" t="s">
        <v>704</v>
      </c>
      <c r="F2059" s="11" t="s">
        <v>888</v>
      </c>
      <c r="G2059" t="s">
        <v>37</v>
      </c>
      <c r="H2059" t="s">
        <v>889</v>
      </c>
      <c r="I2059" t="s">
        <v>3315</v>
      </c>
      <c r="J2059" s="6" t="str">
        <f>HYPERLINK("https://www.biovista.com/db/link/%5B%5B%22Disease%7CPMM2%20deficiency%22%5D,%20%5B%22Pathway%7Ccoagulation%22%5D%5D?strength-weight-map=%257B%2522MEDLINE_STRENGTH_AB%2522:1.0,%2522HPO%2522:100.0%257D", "Show Evidence...")</f>
        <v>Show Evidence...</v>
      </c>
    </row>
    <row r="2060" spans="1:10" ht="12.75">
      <c r="A2060" s="2" t="s">
        <v>50</v>
      </c>
      <c r="B2060" s="2" t="s">
        <v>2961</v>
      </c>
      <c r="C2060" s="2" t="s">
        <v>24</v>
      </c>
      <c r="D2060" s="2" t="s">
        <v>2962</v>
      </c>
      <c r="E2060" s="2" t="s">
        <v>704</v>
      </c>
      <c r="F2060" s="11" t="s">
        <v>860</v>
      </c>
      <c r="G2060" t="s">
        <v>37</v>
      </c>
      <c r="H2060" t="s">
        <v>861</v>
      </c>
      <c r="I2060" t="s">
        <v>3316</v>
      </c>
      <c r="J2060" s="6" t="str">
        <f>HYPERLINK("https://www.biovista.com/db/link/%5B%5B%22Disease%7CPMM2%20deficiency%22%5D,%20%5B%22Pathway%7Cprotein%20glycosylation%22%5D%5D?strength-weight-map=%257B%2522MEDLINE_STRENGTH_AB%2522:1.0,%2522HPO%2522:100.0%257D", "Show Evidence...")</f>
        <v>Show Evidence...</v>
      </c>
    </row>
    <row r="2061" spans="1:10" ht="12.75">
      <c r="A2061" s="2" t="s">
        <v>50</v>
      </c>
      <c r="B2061" s="2" t="s">
        <v>2961</v>
      </c>
      <c r="C2061" s="2" t="s">
        <v>24</v>
      </c>
      <c r="D2061" s="2" t="s">
        <v>2962</v>
      </c>
      <c r="E2061" s="2" t="s">
        <v>704</v>
      </c>
      <c r="F2061" s="11" t="s">
        <v>737</v>
      </c>
      <c r="G2061" t="s">
        <v>37</v>
      </c>
      <c r="H2061" t="s">
        <v>738</v>
      </c>
      <c r="I2061" t="s">
        <v>2968</v>
      </c>
      <c r="J2061" s="6" t="str">
        <f>HYPERLINK("https://www.biovista.com/db/link/%5B%5B%22Disease%7CPMM2%20deficiency%22%5D,%20%5B%22Pathway%7CmRNA%20cis%20splicing,%20via%20spliceosome%22%5D%5D?strength-weight-map=%257B%2522MEDLINE_STRENGTH_AB%2522:1.0,%2522HPO%2522:100.0%257D", "Show Evidence...")</f>
        <v>Show Evidence...</v>
      </c>
    </row>
    <row r="2062" spans="1:10" ht="12.75">
      <c r="A2062" s="2" t="s">
        <v>50</v>
      </c>
      <c r="B2062" s="2" t="s">
        <v>2961</v>
      </c>
      <c r="C2062" s="2" t="s">
        <v>24</v>
      </c>
      <c r="D2062" s="2" t="s">
        <v>2962</v>
      </c>
      <c r="E2062" s="2" t="s">
        <v>704</v>
      </c>
      <c r="F2062" s="11" t="s">
        <v>3317</v>
      </c>
      <c r="G2062" t="s">
        <v>37</v>
      </c>
      <c r="H2062" t="s">
        <v>3318</v>
      </c>
      <c r="I2062" t="s">
        <v>2971</v>
      </c>
      <c r="J2062" s="6" t="str">
        <f>HYPERLINK("https://www.biovista.com/db/link/%5B%5B%22Disease%7CPMM2%20deficiency%22%5D,%20%5B%22Pathway%7Cblood%20coagulation%22%5D%5D?strength-weight-map=%257B%2522MEDLINE_STRENGTH_AB%2522:1.0,%2522HPO%2522:100.0%257D", "Show Evidence...")</f>
        <v>Show Evidence...</v>
      </c>
    </row>
    <row r="2063" spans="1:10" ht="12.75">
      <c r="A2063" s="2" t="s">
        <v>50</v>
      </c>
      <c r="B2063" s="2" t="s">
        <v>2961</v>
      </c>
      <c r="C2063" s="2" t="s">
        <v>24</v>
      </c>
      <c r="D2063" s="2" t="s">
        <v>2962</v>
      </c>
      <c r="E2063" s="2" t="s">
        <v>704</v>
      </c>
      <c r="F2063" s="11" t="s">
        <v>777</v>
      </c>
      <c r="G2063" t="s">
        <v>37</v>
      </c>
      <c r="H2063" t="s">
        <v>778</v>
      </c>
      <c r="I2063" t="s">
        <v>2971</v>
      </c>
      <c r="J2063" s="6" t="str">
        <f>HYPERLINK("https://www.biovista.com/db/link/%5B%5B%22Disease%7CPMM2%20deficiency%22%5D,%20%5B%22Pathway%7Cimmune%20response%22%5D%5D?strength-weight-map=%257B%2522MEDLINE_STRENGTH_AB%2522:1.0,%2522HPO%2522:100.0%257D", "Show Evidence...")</f>
        <v>Show Evidence...</v>
      </c>
    </row>
    <row r="2064" spans="1:10" ht="12.75">
      <c r="A2064" s="2" t="s">
        <v>50</v>
      </c>
      <c r="B2064" s="2" t="s">
        <v>2961</v>
      </c>
      <c r="C2064" s="2" t="s">
        <v>24</v>
      </c>
      <c r="D2064" s="2" t="s">
        <v>2962</v>
      </c>
      <c r="E2064" s="2" t="s">
        <v>704</v>
      </c>
      <c r="F2064" s="11" t="s">
        <v>3319</v>
      </c>
      <c r="G2064" t="s">
        <v>37</v>
      </c>
      <c r="H2064" t="s">
        <v>3320</v>
      </c>
      <c r="I2064" t="s">
        <v>2974</v>
      </c>
      <c r="J2064" s="6" t="str">
        <f>HYPERLINK("https://www.biovista.com/db/link/%5B%5B%22Disease%7CPMM2%20deficiency%22%5D,%20%5B%22Pathway%7Chemostasis%22%5D%5D?strength-weight-map=%257B%2522MEDLINE_STRENGTH_AB%2522:1.0,%2522HPO%2522:100.0%257D", "Show Evidence...")</f>
        <v>Show Evidence...</v>
      </c>
    </row>
    <row r="2065" spans="1:10" ht="12.75">
      <c r="A2065" s="2" t="s">
        <v>50</v>
      </c>
      <c r="B2065" s="2" t="s">
        <v>2961</v>
      </c>
      <c r="C2065" s="2" t="s">
        <v>24</v>
      </c>
      <c r="D2065" s="2" t="s">
        <v>2962</v>
      </c>
      <c r="E2065" s="2" t="s">
        <v>704</v>
      </c>
      <c r="F2065" s="11" t="s">
        <v>711</v>
      </c>
      <c r="G2065" t="s">
        <v>37</v>
      </c>
      <c r="H2065" t="s">
        <v>712</v>
      </c>
      <c r="I2065" t="s">
        <v>2974</v>
      </c>
      <c r="J2065" s="6" t="str">
        <f>HYPERLINK("https://www.biovista.com/db/link/%5B%5B%22Disease%7CPMM2%20deficiency%22%5D,%20%5B%22Pathway%7Cinflammatory%20response%22%5D%5D?strength-weight-map=%257B%2522MEDLINE_STRENGTH_AB%2522:1.0,%2522HPO%2522:100.0%257D", "Show Evidence...")</f>
        <v>Show Evidence...</v>
      </c>
    </row>
    <row r="2066" spans="1:10" ht="12.75">
      <c r="A2066" s="2" t="s">
        <v>50</v>
      </c>
      <c r="B2066" s="2" t="s">
        <v>2961</v>
      </c>
      <c r="C2066" s="2" t="s">
        <v>24</v>
      </c>
      <c r="D2066" s="2" t="s">
        <v>2962</v>
      </c>
      <c r="E2066" s="2" t="s">
        <v>704</v>
      </c>
      <c r="F2066" s="11" t="s">
        <v>3321</v>
      </c>
      <c r="G2066" t="s">
        <v>37</v>
      </c>
      <c r="H2066" t="s">
        <v>3322</v>
      </c>
      <c r="I2066" t="s">
        <v>2974</v>
      </c>
      <c r="J2066" s="6" t="str">
        <f>HYPERLINK("https://www.biovista.com/db/link/%5B%5B%22Disease%7CPMM2%20deficiency%22%5D,%20%5B%22Pathway%7Clipid%20glycosylation%22%5D%5D?strength-weight-map=%257B%2522MEDLINE_STRENGTH_AB%2522:1.0,%2522HPO%2522:100.0%257D", "Show Evidence...")</f>
        <v>Show Evidence...</v>
      </c>
    </row>
    <row r="2067" spans="1:10" ht="12.75">
      <c r="A2067" s="2" t="s">
        <v>50</v>
      </c>
      <c r="B2067" s="2" t="s">
        <v>2961</v>
      </c>
      <c r="C2067" s="2" t="s">
        <v>24</v>
      </c>
      <c r="D2067" s="2" t="s">
        <v>2962</v>
      </c>
      <c r="E2067" s="2" t="s">
        <v>704</v>
      </c>
      <c r="F2067" s="11" t="s">
        <v>3323</v>
      </c>
      <c r="G2067" t="s">
        <v>37</v>
      </c>
      <c r="H2067" t="s">
        <v>3324</v>
      </c>
      <c r="I2067" t="s">
        <v>2974</v>
      </c>
      <c r="J2067" s="6" t="str">
        <f>HYPERLINK("https://www.biovista.com/db/link/%5B%5B%22Disease%7CPMM2%20deficiency%22%5D,%20%5B%22Pathway%7Cprotein%20N-linked%20glycosylation%22%5D%5D?strength-weight-map=%257B%2522MEDLINE_STRENGTH_AB%2522:1.0,%2522HPO%2522:100.0%257D", "Show Evidence...")</f>
        <v>Show Evidence...</v>
      </c>
    </row>
    <row r="2068" spans="1:10" ht="12.75">
      <c r="A2068" s="2" t="s">
        <v>50</v>
      </c>
      <c r="B2068" s="2" t="s">
        <v>2961</v>
      </c>
      <c r="C2068" s="2" t="s">
        <v>24</v>
      </c>
      <c r="D2068" s="2" t="s">
        <v>2962</v>
      </c>
      <c r="E2068" s="2" t="s">
        <v>704</v>
      </c>
      <c r="F2068" s="11" t="s">
        <v>819</v>
      </c>
      <c r="G2068" t="s">
        <v>37</v>
      </c>
      <c r="H2068" t="s">
        <v>820</v>
      </c>
      <c r="I2068" t="s">
        <v>2979</v>
      </c>
      <c r="J2068" s="6" t="str">
        <f>HYPERLINK("https://www.biovista.com/db/link/%5B%5B%22Disease%7CPMM2%20deficiency%22%5D,%20%5B%22Pathway%7Ccell%20adhesion%22%5D%5D?strength-weight-map=%257B%2522MEDLINE_STRENGTH_AB%2522:1.0,%2522HPO%2522:100.0%257D", "Show Evidence...")</f>
        <v>Show Evidence...</v>
      </c>
    </row>
    <row r="2069" spans="1:10" ht="12.75">
      <c r="A2069" s="2" t="s">
        <v>50</v>
      </c>
      <c r="B2069" s="2" t="s">
        <v>2961</v>
      </c>
      <c r="C2069" s="2" t="s">
        <v>24</v>
      </c>
      <c r="D2069" s="2" t="s">
        <v>2962</v>
      </c>
      <c r="E2069" s="2" t="s">
        <v>704</v>
      </c>
      <c r="F2069" s="11" t="s">
        <v>2893</v>
      </c>
      <c r="G2069" t="s">
        <v>37</v>
      </c>
      <c r="H2069" t="s">
        <v>2894</v>
      </c>
      <c r="I2069" t="s">
        <v>2979</v>
      </c>
      <c r="J2069" s="6" t="str">
        <f>HYPERLINK("https://www.biovista.com/db/link/%5B%5B%22Disease%7CPMM2%20deficiency%22%5D,%20%5B%22Pathway%7Cinsulin%20secretion%22%5D%5D?strength-weight-map=%257B%2522MEDLINE_STRENGTH_AB%2522:1.0,%2522HPO%2522:100.0%257D", "Show Evidence...")</f>
        <v>Show Evidence...</v>
      </c>
    </row>
    <row r="2070" spans="1:10" ht="12.75">
      <c r="A2070" s="2" t="s">
        <v>50</v>
      </c>
      <c r="B2070" s="2" t="s">
        <v>2961</v>
      </c>
      <c r="C2070" s="2" t="s">
        <v>24</v>
      </c>
      <c r="D2070" s="2" t="s">
        <v>2962</v>
      </c>
      <c r="E2070" s="2" t="s">
        <v>704</v>
      </c>
      <c r="F2070" s="11" t="s">
        <v>1536</v>
      </c>
      <c r="G2070" t="s">
        <v>37</v>
      </c>
      <c r="H2070" t="s">
        <v>1537</v>
      </c>
      <c r="I2070" t="s">
        <v>2979</v>
      </c>
      <c r="J2070" s="6" t="str">
        <f>HYPERLINK("https://www.biovista.com/db/link/%5B%5B%22Disease%7CPMM2%20deficiency%22%5D,%20%5B%22Pathway%7Cprotein%20folding%22%5D%5D?strength-weight-map=%257B%2522MEDLINE_STRENGTH_AB%2522:1.0,%2522HPO%2522:100.0%257D", "Show Evidence...")</f>
        <v>Show Evidence...</v>
      </c>
    </row>
    <row r="2071" spans="1:10" ht="12.75">
      <c r="A2071" s="2" t="s">
        <v>50</v>
      </c>
      <c r="B2071" s="2" t="s">
        <v>2961</v>
      </c>
      <c r="C2071" s="2" t="s">
        <v>24</v>
      </c>
      <c r="D2071" s="2" t="s">
        <v>2962</v>
      </c>
      <c r="E2071" s="2" t="s">
        <v>704</v>
      </c>
      <c r="F2071" s="11" t="s">
        <v>795</v>
      </c>
      <c r="G2071" t="s">
        <v>37</v>
      </c>
      <c r="H2071" t="s">
        <v>796</v>
      </c>
      <c r="I2071" t="s">
        <v>2979</v>
      </c>
      <c r="J2071" s="6" t="str">
        <f>HYPERLINK("https://www.biovista.com/db/link/%5B%5B%22Disease%7CPMM2%20deficiency%22%5D,%20%5B%22Pathway%7CRNA%20splicing%22%5D%5D?strength-weight-map=%257B%2522MEDLINE_STRENGTH_AB%2522:1.0,%2522HPO%2522:100.0%257D", "Show Evidence...")</f>
        <v>Show Evidence...</v>
      </c>
    </row>
    <row r="2072" spans="1:10" ht="12.75">
      <c r="A2072" s="2" t="s">
        <v>50</v>
      </c>
      <c r="B2072" s="2" t="s">
        <v>2961</v>
      </c>
      <c r="C2072" s="2" t="s">
        <v>24</v>
      </c>
      <c r="D2072" s="2" t="s">
        <v>2962</v>
      </c>
      <c r="E2072" s="2" t="s">
        <v>704</v>
      </c>
      <c r="F2072" s="11" t="s">
        <v>801</v>
      </c>
      <c r="G2072" t="s">
        <v>37</v>
      </c>
      <c r="H2072" t="s">
        <v>802</v>
      </c>
      <c r="I2072" t="s">
        <v>2979</v>
      </c>
      <c r="J2072" s="6" t="str">
        <f>HYPERLINK("https://www.biovista.com/db/link/%5B%5B%22Disease%7CPMM2%20deficiency%22%5D,%20%5B%22Pathway%7Csecretion%22%5D%5D?strength-weight-map=%257B%2522MEDLINE_STRENGTH_AB%2522:1.0,%2522HPO%2522:100.0%257D", "Show Evidence...")</f>
        <v>Show Evidence...</v>
      </c>
    </row>
    <row r="2073" spans="1:10" ht="12.75">
      <c r="A2073" s="2" t="s">
        <v>50</v>
      </c>
      <c r="B2073" s="2" t="s">
        <v>2961</v>
      </c>
      <c r="C2073" s="2" t="s">
        <v>24</v>
      </c>
      <c r="D2073" s="2" t="s">
        <v>2962</v>
      </c>
      <c r="E2073" s="2" t="s">
        <v>704</v>
      </c>
      <c r="F2073" s="11" t="s">
        <v>783</v>
      </c>
      <c r="G2073" t="s">
        <v>37</v>
      </c>
      <c r="H2073" t="s">
        <v>784</v>
      </c>
      <c r="I2073" t="s">
        <v>2979</v>
      </c>
      <c r="J2073" s="6" t="str">
        <f>HYPERLINK("https://www.biovista.com/db/link/%5B%5B%22Disease%7CPMM2%20deficiency%22%5D,%20%5B%22Pathway%7Cvisual%20perception%22%5D%5D?strength-weight-map=%257B%2522MEDLINE_STRENGTH_AB%2522:1.0,%2522HPO%2522:100.0%257D", "Show Evidence...")</f>
        <v>Show Evidence...</v>
      </c>
    </row>
    <row r="2074" spans="1:10" ht="12.75">
      <c r="A2074" s="2" t="s">
        <v>50</v>
      </c>
      <c r="B2074" s="2" t="s">
        <v>2961</v>
      </c>
      <c r="C2074" s="2" t="s">
        <v>24</v>
      </c>
      <c r="D2074" s="2" t="s">
        <v>2962</v>
      </c>
      <c r="E2074" s="2" t="s">
        <v>704</v>
      </c>
      <c r="F2074" s="11" t="s">
        <v>821</v>
      </c>
      <c r="G2074" t="s">
        <v>37</v>
      </c>
      <c r="H2074" t="s">
        <v>822</v>
      </c>
      <c r="I2074" t="s">
        <v>3058</v>
      </c>
      <c r="J2074" s="6" t="str">
        <f>HYPERLINK("https://www.biovista.com/db/link/%5B%5B%22Disease%7CPMM2%20deficiency%22%5D,%20%5B%22Pathway%7Cfemale%20pregnancy%22%5D%5D?strength-weight-map=%257B%2522MEDLINE_STRENGTH_AB%2522:1.0,%2522HPO%2522:100.0%257D", "Show Evidence...")</f>
        <v>Show Evidence...</v>
      </c>
    </row>
    <row r="2075" spans="1:10" ht="12.75">
      <c r="A2075" s="2" t="s">
        <v>50</v>
      </c>
      <c r="B2075" s="2" t="s">
        <v>2961</v>
      </c>
      <c r="C2075" s="2" t="s">
        <v>24</v>
      </c>
      <c r="D2075" s="2" t="s">
        <v>2962</v>
      </c>
      <c r="E2075" s="2" t="s">
        <v>704</v>
      </c>
      <c r="F2075" s="11" t="s">
        <v>1504</v>
      </c>
      <c r="G2075" t="s">
        <v>37</v>
      </c>
      <c r="H2075" t="s">
        <v>1505</v>
      </c>
      <c r="I2075" t="s">
        <v>3058</v>
      </c>
      <c r="J2075" s="6" t="str">
        <f>HYPERLINK("https://www.biovista.com/db/link/%5B%5B%22Disease%7CPMM2%20deficiency%22%5D,%20%5B%22Pathway%7Cfucosylation%22%5D%5D?strength-weight-map=%257B%2522MEDLINE_STRENGTH_AB%2522:1.0,%2522HPO%2522:100.0%257D", "Show Evidence...")</f>
        <v>Show Evidence...</v>
      </c>
    </row>
    <row r="2076" spans="1:10" ht="12.75">
      <c r="A2076" s="2" t="s">
        <v>50</v>
      </c>
      <c r="B2076" s="2" t="s">
        <v>2961</v>
      </c>
      <c r="C2076" s="2" t="s">
        <v>24</v>
      </c>
      <c r="D2076" s="2" t="s">
        <v>2962</v>
      </c>
      <c r="E2076" s="2" t="s">
        <v>704</v>
      </c>
      <c r="F2076" s="11" t="s">
        <v>3325</v>
      </c>
      <c r="G2076" t="s">
        <v>37</v>
      </c>
      <c r="H2076" t="s">
        <v>3326</v>
      </c>
      <c r="I2076" t="s">
        <v>3058</v>
      </c>
      <c r="J2076" s="6" t="str">
        <f>HYPERLINK("https://www.biovista.com/db/link/%5B%5B%22Disease%7CPMM2%20deficiency%22%5D,%20%5B%22Pathway%7Cglycoprotein%20biosynthetic%20process%22%5D%5D?strength-weight-map=%257B%2522MEDLINE_STRENGTH_AB%2522:1.0,%2522HPO%2522:100.0%257D", "Show Evidence...")</f>
        <v>Show Evidence...</v>
      </c>
    </row>
    <row r="2077" spans="1:10" ht="12.75">
      <c r="A2077" s="2" t="s">
        <v>50</v>
      </c>
      <c r="B2077" s="2" t="s">
        <v>2961</v>
      </c>
      <c r="C2077" s="2" t="s">
        <v>24</v>
      </c>
      <c r="D2077" s="2" t="s">
        <v>2962</v>
      </c>
      <c r="E2077" s="2" t="s">
        <v>704</v>
      </c>
      <c r="F2077" s="11" t="s">
        <v>760</v>
      </c>
      <c r="G2077" t="s">
        <v>37</v>
      </c>
      <c r="H2077" t="s">
        <v>761</v>
      </c>
      <c r="I2077" t="s">
        <v>3058</v>
      </c>
      <c r="J2077" s="6" t="str">
        <f>HYPERLINK("https://www.biovista.com/db/link/%5B%5B%22Disease%7CPMM2%20deficiency%22%5D,%20%5B%22Pathway%7Chomeostatic%20process%22%5D%5D?strength-weight-map=%257B%2522MEDLINE_STRENGTH_AB%2522:1.0,%2522HPO%2522:100.0%257D", "Show Evidence...")</f>
        <v>Show Evidence...</v>
      </c>
    </row>
    <row r="2078" spans="1:10" ht="12.75">
      <c r="A2078" s="2" t="s">
        <v>50</v>
      </c>
      <c r="B2078" s="2" t="s">
        <v>2961</v>
      </c>
      <c r="C2078" s="2" t="s">
        <v>24</v>
      </c>
      <c r="D2078" s="2" t="s">
        <v>2962</v>
      </c>
      <c r="E2078" s="2" t="s">
        <v>704</v>
      </c>
      <c r="F2078" s="11" t="s">
        <v>916</v>
      </c>
      <c r="G2078" t="s">
        <v>37</v>
      </c>
      <c r="H2078" t="s">
        <v>917</v>
      </c>
      <c r="I2078" t="s">
        <v>3058</v>
      </c>
      <c r="J2078" s="6" t="str">
        <f>HYPERLINK("https://www.biovista.com/db/link/%5B%5B%22Disease%7CPMM2%20deficiency%22%5D,%20%5B%22Pathway%7Cproteolysis%22%5D%5D?strength-weight-map=%257B%2522MEDLINE_STRENGTH_AB%2522:1.0,%2522HPO%2522:100.0%257D", "Show Evidence...")</f>
        <v>Show Evidence...</v>
      </c>
    </row>
    <row r="2079" spans="1:10" ht="12.75">
      <c r="A2079" s="2" t="s">
        <v>50</v>
      </c>
      <c r="B2079" s="2" t="s">
        <v>2961</v>
      </c>
      <c r="C2079" s="2" t="s">
        <v>24</v>
      </c>
      <c r="D2079" s="2" t="s">
        <v>2962</v>
      </c>
      <c r="E2079" s="2" t="s">
        <v>704</v>
      </c>
      <c r="F2079" s="11" t="s">
        <v>3327</v>
      </c>
      <c r="G2079" t="s">
        <v>37</v>
      </c>
      <c r="H2079" t="s">
        <v>3328</v>
      </c>
      <c r="I2079" t="s">
        <v>3058</v>
      </c>
      <c r="J2079" s="6" t="str">
        <f>HYPERLINK("https://www.biovista.com/db/link/%5B%5B%22Disease%7CPMM2%20deficiency%22%5D,%20%5B%22Pathway%7Cresponse%20to%20endoplasmic%20reticulum%20stress%22%5D%5D?strength-weight-map=%257B%2522MEDLINE_STRENGTH_AB%2522:1.0,%2522HPO%2522:100.0%257D", "Show Evidence...")</f>
        <v>Show Evidence...</v>
      </c>
    </row>
    <row r="2080" spans="1:10" ht="12.75">
      <c r="A2080" s="2" t="s">
        <v>50</v>
      </c>
      <c r="B2080" s="2" t="s">
        <v>2961</v>
      </c>
      <c r="C2080" s="2" t="s">
        <v>24</v>
      </c>
      <c r="D2080" s="2" t="s">
        <v>2962</v>
      </c>
      <c r="E2080" s="2" t="s">
        <v>704</v>
      </c>
      <c r="F2080" s="11" t="s">
        <v>723</v>
      </c>
      <c r="G2080" t="s">
        <v>37</v>
      </c>
      <c r="H2080" t="s">
        <v>724</v>
      </c>
      <c r="I2080" t="s">
        <v>3058</v>
      </c>
      <c r="J2080" s="6" t="str">
        <f>HYPERLINK("https://www.biovista.com/db/link/%5B%5B%22Disease%7CPMM2%20deficiency%22%5D,%20%5B%22Pathway%7Ctranslation%22%5D%5D?strength-weight-map=%257B%2522MEDLINE_STRENGTH_AB%2522:1.0,%2522HPO%2522:100.0%257D", "Show Evidence...")</f>
        <v>Show Evidence...</v>
      </c>
    </row>
    <row r="2081" spans="1:10" ht="12.75">
      <c r="A2081" s="2" t="s">
        <v>50</v>
      </c>
      <c r="B2081" s="2" t="s">
        <v>2961</v>
      </c>
      <c r="C2081" s="2" t="s">
        <v>24</v>
      </c>
      <c r="D2081" s="2" t="s">
        <v>2962</v>
      </c>
      <c r="E2081" s="2" t="s">
        <v>717</v>
      </c>
      <c r="F2081" s="11" t="s">
        <v>718</v>
      </c>
      <c r="G2081" t="s">
        <v>37</v>
      </c>
      <c r="H2081" t="s">
        <v>719</v>
      </c>
      <c r="I2081" t="s">
        <v>2984</v>
      </c>
      <c r="J2081" s="6" t="str">
        <f>HYPERLINK("https://www.biovista.com/db/link/%5B%5B%22Disease%7CPMM2%20deficiency%22%5D,%20%5B%22Pathway%7Caging%22%5D%5D?strength-weight-map=%257B%2522MEDLINE_STRENGTH_AB%2522:1.0,%2522HPO%2522:100.0%257D", "Show Evidence...")</f>
        <v>Show Evidence...</v>
      </c>
    </row>
    <row r="2082" spans="1:10" ht="12.75">
      <c r="A2082" s="2" t="s">
        <v>50</v>
      </c>
      <c r="B2082" s="2" t="s">
        <v>2961</v>
      </c>
      <c r="C2082" s="2" t="s">
        <v>24</v>
      </c>
      <c r="D2082" s="2" t="s">
        <v>2962</v>
      </c>
      <c r="E2082" s="2" t="s">
        <v>704</v>
      </c>
      <c r="F2082" s="11" t="s">
        <v>720</v>
      </c>
      <c r="G2082" t="s">
        <v>37</v>
      </c>
      <c r="H2082" t="s">
        <v>721</v>
      </c>
      <c r="I2082" t="s">
        <v>2984</v>
      </c>
      <c r="J2082" s="6" t="str">
        <f>HYPERLINK("https://www.biovista.com/db/link/%5B%5B%22Disease%7CPMM2%20deficiency%22%5D,%20%5B%22Pathway%7Capoptotic%20process%22%5D%5D?strength-weight-map=%257B%2522MEDLINE_STRENGTH_AB%2522:1.0,%2522HPO%2522:100.0%257D", "Show Evidence...")</f>
        <v>Show Evidence...</v>
      </c>
    </row>
    <row r="2083" spans="1:10" ht="12.75">
      <c r="A2083" s="2" t="s">
        <v>50</v>
      </c>
      <c r="B2083" s="2" t="s">
        <v>2961</v>
      </c>
      <c r="C2083" s="2" t="s">
        <v>24</v>
      </c>
      <c r="D2083" s="2" t="s">
        <v>2962</v>
      </c>
      <c r="E2083" s="2" t="s">
        <v>704</v>
      </c>
      <c r="F2083" s="11" t="s">
        <v>836</v>
      </c>
      <c r="G2083" t="s">
        <v>37</v>
      </c>
      <c r="H2083" t="s">
        <v>837</v>
      </c>
      <c r="I2083" t="s">
        <v>2984</v>
      </c>
      <c r="J2083" s="6" t="str">
        <f>HYPERLINK("https://www.biovista.com/db/link/%5B%5B%22Disease%7CPMM2%20deficiency%22%5D,%20%5B%22Pathway%7Cautophagy%22%5D%5D?strength-weight-map=%257B%2522MEDLINE_STRENGTH_AB%2522:1.0,%2522HPO%2522:100.0%257D", "Show Evidence...")</f>
        <v>Show Evidence...</v>
      </c>
    </row>
    <row r="2084" spans="1:10" ht="12.75">
      <c r="A2084" s="2" t="s">
        <v>50</v>
      </c>
      <c r="B2084" s="2" t="s">
        <v>2961</v>
      </c>
      <c r="C2084" s="2" t="s">
        <v>24</v>
      </c>
      <c r="D2084" s="2" t="s">
        <v>2962</v>
      </c>
      <c r="E2084" s="2" t="s">
        <v>704</v>
      </c>
      <c r="F2084" s="11" t="s">
        <v>841</v>
      </c>
      <c r="G2084" t="s">
        <v>37</v>
      </c>
      <c r="H2084" t="s">
        <v>842</v>
      </c>
      <c r="I2084" t="s">
        <v>2984</v>
      </c>
      <c r="J2084" s="6" t="str">
        <f>HYPERLINK("https://www.biovista.com/db/link/%5B%5B%22Disease%7CPMM2%20deficiency%22%5D,%20%5B%22Pathway%7Ccarbohydrate%20metabolic%20process%22%5D%5D?strength-weight-map=%257B%2522MEDLINE_STRENGTH_AB%2522:1.0,%2522HPO%2522:100.0%257D", "Show Evidence...")</f>
        <v>Show Evidence...</v>
      </c>
    </row>
    <row r="2085" spans="1:10" ht="12.75">
      <c r="A2085" s="2" t="s">
        <v>50</v>
      </c>
      <c r="B2085" s="2" t="s">
        <v>2961</v>
      </c>
      <c r="C2085" s="2" t="s">
        <v>24</v>
      </c>
      <c r="D2085" s="2" t="s">
        <v>2962</v>
      </c>
      <c r="E2085" s="2" t="s">
        <v>704</v>
      </c>
      <c r="F2085" s="11" t="s">
        <v>750</v>
      </c>
      <c r="G2085" t="s">
        <v>37</v>
      </c>
      <c r="H2085" t="s">
        <v>751</v>
      </c>
      <c r="I2085" t="s">
        <v>2984</v>
      </c>
      <c r="J2085" s="6" t="str">
        <f>HYPERLINK("https://www.biovista.com/db/link/%5B%5B%22Disease%7CPMM2%20deficiency%22%5D,%20%5B%22Pathway%7Ccell%20death%22%5D%5D?strength-weight-map=%257B%2522MEDLINE_STRENGTH_AB%2522:1.0,%2522HPO%2522:100.0%257D", "Show Evidence...")</f>
        <v>Show Evidence...</v>
      </c>
    </row>
    <row r="2086" spans="1:10" ht="12.75">
      <c r="A2086" s="2" t="s">
        <v>50</v>
      </c>
      <c r="B2086" s="2" t="s">
        <v>2961</v>
      </c>
      <c r="C2086" s="2" t="s">
        <v>24</v>
      </c>
      <c r="D2086" s="2" t="s">
        <v>2962</v>
      </c>
      <c r="E2086" s="2" t="s">
        <v>704</v>
      </c>
      <c r="F2086" s="11" t="s">
        <v>733</v>
      </c>
      <c r="G2086" t="s">
        <v>37</v>
      </c>
      <c r="H2086" t="s">
        <v>734</v>
      </c>
      <c r="I2086" t="s">
        <v>2984</v>
      </c>
      <c r="J2086" s="6" t="str">
        <f>HYPERLINK("https://www.biovista.com/db/link/%5B%5B%22Disease%7CPMM2%20deficiency%22%5D,%20%5B%22Pathway%7Ccellular%20respiration%22%5D%5D?strength-weight-map=%257B%2522MEDLINE_STRENGTH_AB%2522:1.0,%2522HPO%2522:100.0%257D", "Show Evidence...")</f>
        <v>Show Evidence...</v>
      </c>
    </row>
    <row r="2087" spans="1:10" ht="12.75">
      <c r="A2087" s="2" t="s">
        <v>50</v>
      </c>
      <c r="B2087" s="2" t="s">
        <v>2961</v>
      </c>
      <c r="C2087" s="2" t="s">
        <v>24</v>
      </c>
      <c r="D2087" s="2" t="s">
        <v>2962</v>
      </c>
      <c r="E2087" s="2" t="s">
        <v>704</v>
      </c>
      <c r="F2087" s="11" t="s">
        <v>3329</v>
      </c>
      <c r="G2087" t="s">
        <v>37</v>
      </c>
      <c r="H2087" t="s">
        <v>3330</v>
      </c>
      <c r="I2087" t="s">
        <v>2984</v>
      </c>
      <c r="J2087" s="6" t="str">
        <f>HYPERLINK("https://www.biovista.com/db/link/%5B%5B%22Disease%7CPMM2%20deficiency%22%5D,%20%5B%22Pathway%7Ccytolysis%22%5D%5D?strength-weight-map=%257B%2522MEDLINE_STRENGTH_AB%2522:1.0,%2522HPO%2522:100.0%257D", "Show Evidence...")</f>
        <v>Show Evidence...</v>
      </c>
    </row>
    <row r="2088" spans="1:10" ht="12.75">
      <c r="A2088" s="2" t="s">
        <v>50</v>
      </c>
      <c r="B2088" s="2" t="s">
        <v>2961</v>
      </c>
      <c r="C2088" s="2" t="s">
        <v>24</v>
      </c>
      <c r="D2088" s="2" t="s">
        <v>2962</v>
      </c>
      <c r="E2088" s="2" t="s">
        <v>704</v>
      </c>
      <c r="F2088" s="11" t="s">
        <v>3331</v>
      </c>
      <c r="G2088" t="s">
        <v>37</v>
      </c>
      <c r="H2088" t="s">
        <v>3332</v>
      </c>
      <c r="I2088" t="s">
        <v>2984</v>
      </c>
      <c r="J2088" s="6" t="str">
        <f>HYPERLINK("https://www.biovista.com/db/link/%5B%5B%22Disease%7CPMM2%20deficiency%22%5D,%20%5B%22Pathway%7Cdolichol%20metabolic%20process%22%5D%5D?strength-weight-map=%257B%2522MEDLINE_STRENGTH_AB%2522:1.0,%2522HPO%2522:100.0%257D", "Show Evidence...")</f>
        <v>Show Evidence...</v>
      </c>
    </row>
    <row r="2089" spans="1:10" ht="12.75">
      <c r="A2089" s="2" t="s">
        <v>50</v>
      </c>
      <c r="B2089" s="2" t="s">
        <v>2961</v>
      </c>
      <c r="C2089" s="2" t="s">
        <v>24</v>
      </c>
      <c r="D2089" s="2" t="s">
        <v>2962</v>
      </c>
      <c r="E2089" s="2" t="s">
        <v>704</v>
      </c>
      <c r="F2089" s="11" t="s">
        <v>791</v>
      </c>
      <c r="G2089" t="s">
        <v>37</v>
      </c>
      <c r="H2089" t="s">
        <v>792</v>
      </c>
      <c r="I2089" t="s">
        <v>2984</v>
      </c>
      <c r="J2089" s="6" t="str">
        <f>HYPERLINK("https://www.biovista.com/db/link/%5B%5B%22Disease%7CPMM2%20deficiency%22%5D,%20%5B%22Pathway%7Celectron%20transport%20chain%22%5D%5D?strength-weight-map=%257B%2522MEDLINE_STRENGTH_AB%2522:1.0,%2522HPO%2522:100.0%257D", "Show Evidence...")</f>
        <v>Show Evidence...</v>
      </c>
    </row>
    <row r="2090" spans="1:10" ht="12.75">
      <c r="A2090" s="2" t="s">
        <v>50</v>
      </c>
      <c r="B2090" s="2" t="s">
        <v>2961</v>
      </c>
      <c r="C2090" s="2" t="s">
        <v>24</v>
      </c>
      <c r="D2090" s="2" t="s">
        <v>2962</v>
      </c>
      <c r="E2090" s="2" t="s">
        <v>704</v>
      </c>
      <c r="F2090" s="11" t="s">
        <v>799</v>
      </c>
      <c r="G2090" t="s">
        <v>37</v>
      </c>
      <c r="H2090" t="s">
        <v>800</v>
      </c>
      <c r="I2090" t="s">
        <v>2984</v>
      </c>
      <c r="J2090" s="6" t="str">
        <f>HYPERLINK("https://www.biovista.com/db/link/%5B%5B%22Disease%7CPMM2%20deficiency%22%5D,%20%5B%22Pathway%7Clipid%20metabolic%20process%22%5D%5D?strength-weight-map=%257B%2522MEDLINE_STRENGTH_AB%2522:1.0,%2522HPO%2522:100.0%257D", "Show Evidence...")</f>
        <v>Show Evidence...</v>
      </c>
    </row>
    <row r="2091" spans="1:10" ht="12.75">
      <c r="A2091" s="2" t="s">
        <v>50</v>
      </c>
      <c r="B2091" s="2" t="s">
        <v>2961</v>
      </c>
      <c r="C2091" s="2" t="s">
        <v>24</v>
      </c>
      <c r="D2091" s="2" t="s">
        <v>2962</v>
      </c>
      <c r="E2091" s="2" t="s">
        <v>704</v>
      </c>
      <c r="F2091" s="11" t="s">
        <v>3333</v>
      </c>
      <c r="G2091" t="s">
        <v>37</v>
      </c>
      <c r="H2091" t="s">
        <v>3334</v>
      </c>
      <c r="I2091" t="s">
        <v>2984</v>
      </c>
      <c r="J2091" s="6" t="str">
        <f>HYPERLINK("https://www.biovista.com/db/link/%5B%5B%22Disease%7CPMM2%20deficiency%22%5D,%20%5B%22Pathway%7Cmannosylation%22%5D%5D?strength-weight-map=%257B%2522MEDLINE_STRENGTH_AB%2522:1.0,%2522HPO%2522:100.0%257D", "Show Evidence...")</f>
        <v>Show Evidence...</v>
      </c>
    </row>
    <row r="2092" spans="1:10" ht="12.75">
      <c r="A2092" s="2" t="s">
        <v>50</v>
      </c>
      <c r="B2092" s="2" t="s">
        <v>2961</v>
      </c>
      <c r="C2092" s="2" t="s">
        <v>24</v>
      </c>
      <c r="D2092" s="2" t="s">
        <v>2962</v>
      </c>
      <c r="E2092" s="2" t="s">
        <v>704</v>
      </c>
      <c r="F2092" s="11" t="s">
        <v>3335</v>
      </c>
      <c r="G2092" t="s">
        <v>37</v>
      </c>
      <c r="H2092" t="s">
        <v>3336</v>
      </c>
      <c r="I2092" t="s">
        <v>2984</v>
      </c>
      <c r="J2092" s="6" t="str">
        <f>HYPERLINK("https://www.biovista.com/db/link/%5B%5B%22Disease%7CPMM2%20deficiency%22%5D,%20%5B%22Pathway%7CN-glycan%20processing%22%5D%5D?strength-weight-map=%257B%2522MEDLINE_STRENGTH_AB%2522:1.0,%2522HPO%2522:100.0%257D", "Show Evidence...")</f>
        <v>Show Evidence...</v>
      </c>
    </row>
    <row r="2093" spans="1:10" ht="12.75">
      <c r="A2093" s="2" t="s">
        <v>50</v>
      </c>
      <c r="B2093" s="2" t="s">
        <v>2961</v>
      </c>
      <c r="C2093" s="2" t="s">
        <v>24</v>
      </c>
      <c r="D2093" s="2" t="s">
        <v>2962</v>
      </c>
      <c r="E2093" s="2" t="s">
        <v>704</v>
      </c>
      <c r="F2093" s="11" t="s">
        <v>3337</v>
      </c>
      <c r="G2093" t="s">
        <v>37</v>
      </c>
      <c r="H2093" t="s">
        <v>3338</v>
      </c>
      <c r="I2093" t="s">
        <v>2984</v>
      </c>
      <c r="J2093" s="6" t="str">
        <f>HYPERLINK("https://www.biovista.com/db/link/%5B%5B%22Disease%7CPMM2%20deficiency%22%5D,%20%5B%22Pathway%7Cpolysaccharide%20biosynthetic%20process%22%5D%5D?strength-weight-map=%257B%2522MEDLINE_STRENGTH_AB%2522:1.0,%2522HPO%2522:100.0%257D", "Show Evidence...")</f>
        <v>Show Evidence...</v>
      </c>
    </row>
    <row r="2094" spans="1:10" ht="12.75">
      <c r="A2094" s="2" t="s">
        <v>50</v>
      </c>
      <c r="B2094" s="2" t="s">
        <v>2961</v>
      </c>
      <c r="C2094" s="2" t="s">
        <v>24</v>
      </c>
      <c r="D2094" s="2" t="s">
        <v>2962</v>
      </c>
      <c r="E2094" s="2" t="s">
        <v>704</v>
      </c>
      <c r="F2094" s="11" t="s">
        <v>1534</v>
      </c>
      <c r="G2094" t="s">
        <v>37</v>
      </c>
      <c r="H2094" t="s">
        <v>1535</v>
      </c>
      <c r="I2094" t="s">
        <v>2984</v>
      </c>
      <c r="J2094" s="6" t="str">
        <f>HYPERLINK("https://www.biovista.com/db/link/%5B%5B%22Disease%7CPMM2%20deficiency%22%5D,%20%5B%22Pathway%7Cpost-translational%20protein%20modification%22%5D%5D?strength-weight-map=%257B%2522MEDLINE_STRENGTH_AB%2522:1.0,%2522HPO%2522:100.0%257D", "Show Evidence...")</f>
        <v>Show Evidence...</v>
      </c>
    </row>
    <row r="2095" spans="1:10" ht="12.75">
      <c r="A2095" s="2" t="s">
        <v>50</v>
      </c>
      <c r="B2095" s="2" t="s">
        <v>2961</v>
      </c>
      <c r="C2095" s="2" t="s">
        <v>24</v>
      </c>
      <c r="D2095" s="2" t="s">
        <v>2962</v>
      </c>
      <c r="E2095" s="2" t="s">
        <v>704</v>
      </c>
      <c r="F2095" s="11" t="s">
        <v>2324</v>
      </c>
      <c r="G2095" t="s">
        <v>37</v>
      </c>
      <c r="H2095" t="s">
        <v>2325</v>
      </c>
      <c r="I2095" t="s">
        <v>2984</v>
      </c>
      <c r="J2095" s="6" t="str">
        <f>HYPERLINK("https://www.biovista.com/db/link/%5B%5B%22Disease%7CPMM2%20deficiency%22%5D,%20%5B%22Pathway%7Cprotein%20complex%20oligomerization%22%5D%5D?strength-weight-map=%257B%2522MEDLINE_STRENGTH_AB%2522:1.0,%2522HPO%2522:100.0%257D", "Show Evidence...")</f>
        <v>Show Evidence...</v>
      </c>
    </row>
    <row r="2096" spans="1:10" ht="12.75">
      <c r="A2096" s="2" t="s">
        <v>50</v>
      </c>
      <c r="B2096" s="2" t="s">
        <v>2961</v>
      </c>
      <c r="C2096" s="2" t="s">
        <v>24</v>
      </c>
      <c r="D2096" s="2" t="s">
        <v>2962</v>
      </c>
      <c r="E2096" s="2" t="s">
        <v>704</v>
      </c>
      <c r="F2096" s="11" t="s">
        <v>1470</v>
      </c>
      <c r="G2096" t="s">
        <v>37</v>
      </c>
      <c r="H2096" t="s">
        <v>1471</v>
      </c>
      <c r="I2096" t="s">
        <v>2987</v>
      </c>
      <c r="J2096" s="6" t="str">
        <f>HYPERLINK("https://www.biovista.com/db/link/%5B%5B%22Disease%7CPMM2%20deficiency%22%5D,%20%5B%22Pathway%7Cbrain%20development%22%5D%5D?strength-weight-map=%257B%2522MEDLINE_STRENGTH_AB%2522:1.0,%2522HPO%2522:100.0%257D", "Show Evidence...")</f>
        <v>Show Evidence...</v>
      </c>
    </row>
    <row r="2097" spans="1:10" ht="12.75">
      <c r="A2097" s="2" t="s">
        <v>50</v>
      </c>
      <c r="B2097" s="2" t="s">
        <v>2961</v>
      </c>
      <c r="C2097" s="2" t="s">
        <v>24</v>
      </c>
      <c r="D2097" s="2" t="s">
        <v>2962</v>
      </c>
      <c r="E2097" s="2" t="s">
        <v>704</v>
      </c>
      <c r="F2097" s="11" t="s">
        <v>886</v>
      </c>
      <c r="G2097" t="s">
        <v>37</v>
      </c>
      <c r="H2097" t="s">
        <v>887</v>
      </c>
      <c r="I2097" t="s">
        <v>2987</v>
      </c>
      <c r="J2097" s="6" t="str">
        <f>HYPERLINK("https://www.biovista.com/db/link/%5B%5B%22Disease%7CPMM2%20deficiency%22%5D,%20%5B%22Pathway%7Ccalcium-mediated%20signaling%22%5D%5D?strength-weight-map=%257B%2522MEDLINE_STRENGTH_AB%2522:1.0,%2522HPO%2522:100.0%257D", "Show Evidence...")</f>
        <v>Show Evidence...</v>
      </c>
    </row>
    <row r="2098" spans="1:10" ht="12.75">
      <c r="A2098" s="2" t="s">
        <v>50</v>
      </c>
      <c r="B2098" s="2" t="s">
        <v>2961</v>
      </c>
      <c r="C2098" s="2" t="s">
        <v>24</v>
      </c>
      <c r="D2098" s="2" t="s">
        <v>2962</v>
      </c>
      <c r="E2098" s="2" t="s">
        <v>704</v>
      </c>
      <c r="F2098" s="11" t="s">
        <v>3339</v>
      </c>
      <c r="G2098" t="s">
        <v>37</v>
      </c>
      <c r="H2098" t="s">
        <v>3340</v>
      </c>
      <c r="I2098" t="s">
        <v>2987</v>
      </c>
      <c r="J2098" s="6" t="str">
        <f>HYPERLINK("https://www.biovista.com/db/link/%5B%5B%22Disease%7CPMM2%20deficiency%22%5D,%20%5B%22Pathway%7Ccartilage%20development%22%5D%5D?strength-weight-map=%257B%2522MEDLINE_STRENGTH_AB%2522:1.0,%2522HPO%2522:100.0%257D", "Show Evidence...")</f>
        <v>Show Evidence...</v>
      </c>
    </row>
    <row r="2099" spans="1:10" ht="12.75">
      <c r="A2099" s="2" t="s">
        <v>50</v>
      </c>
      <c r="B2099" s="2" t="s">
        <v>2961</v>
      </c>
      <c r="C2099" s="2" t="s">
        <v>24</v>
      </c>
      <c r="D2099" s="2" t="s">
        <v>2962</v>
      </c>
      <c r="E2099" s="2" t="s">
        <v>704</v>
      </c>
      <c r="F2099" s="11" t="s">
        <v>3341</v>
      </c>
      <c r="G2099" t="s">
        <v>37</v>
      </c>
      <c r="H2099" t="s">
        <v>3342</v>
      </c>
      <c r="I2099" t="s">
        <v>2987</v>
      </c>
      <c r="J2099" s="6" t="str">
        <f>HYPERLINK("https://www.biovista.com/db/link/%5B%5B%22Disease%7CPMM2%20deficiency%22%5D,%20%5B%22Pathway%7Ccell%20budding%22%5D%5D?strength-weight-map=%257B%2522MEDLINE_STRENGTH_AB%2522:1.0,%2522HPO%2522:100.0%257D", "Show Evidence...")</f>
        <v>Show Evidence...</v>
      </c>
    </row>
    <row r="2100" spans="1:10" ht="12.75">
      <c r="A2100" s="2" t="s">
        <v>50</v>
      </c>
      <c r="B2100" s="2" t="s">
        <v>2961</v>
      </c>
      <c r="C2100" s="2" t="s">
        <v>24</v>
      </c>
      <c r="D2100" s="2" t="s">
        <v>2962</v>
      </c>
      <c r="E2100" s="2" t="s">
        <v>704</v>
      </c>
      <c r="F2100" s="11" t="s">
        <v>803</v>
      </c>
      <c r="G2100" t="s">
        <v>37</v>
      </c>
      <c r="H2100" t="s">
        <v>804</v>
      </c>
      <c r="I2100" t="s">
        <v>2987</v>
      </c>
      <c r="J2100" s="6" t="str">
        <f>HYPERLINK("https://www.biovista.com/db/link/%5B%5B%22Disease%7CPMM2%20deficiency%22%5D,%20%5B%22Pathway%7Ccell%20cycle%22%5D%5D?strength-weight-map=%257B%2522MEDLINE_STRENGTH_AB%2522:1.0,%2522HPO%2522:100.0%257D", "Show Evidence...")</f>
        <v>Show Evidence...</v>
      </c>
    </row>
    <row r="2101" spans="1:10" ht="12.75">
      <c r="A2101" s="2" t="s">
        <v>50</v>
      </c>
      <c r="B2101" s="2" t="s">
        <v>2961</v>
      </c>
      <c r="C2101" s="2" t="s">
        <v>24</v>
      </c>
      <c r="D2101" s="2" t="s">
        <v>2962</v>
      </c>
      <c r="E2101" s="2" t="s">
        <v>704</v>
      </c>
      <c r="F2101" s="11" t="s">
        <v>813</v>
      </c>
      <c r="G2101" t="s">
        <v>37</v>
      </c>
      <c r="H2101" t="s">
        <v>814</v>
      </c>
      <c r="I2101" t="s">
        <v>2987</v>
      </c>
      <c r="J2101" s="6" t="str">
        <f>HYPERLINK("https://www.biovista.com/db/link/%5B%5B%22Disease%7CPMM2%20deficiency%22%5D,%20%5B%22Pathway%7Ccell%20division%22%5D%5D?strength-weight-map=%257B%2522MEDLINE_STRENGTH_AB%2522:1.0,%2522HPO%2522:100.0%257D", "Show Evidence...")</f>
        <v>Show Evidence...</v>
      </c>
    </row>
    <row r="2102" spans="1:10" ht="12.75">
      <c r="A2102" s="2" t="s">
        <v>50</v>
      </c>
      <c r="B2102" s="2" t="s">
        <v>2961</v>
      </c>
      <c r="C2102" s="2" t="s">
        <v>24</v>
      </c>
      <c r="D2102" s="2" t="s">
        <v>2962</v>
      </c>
      <c r="E2102" s="2" t="s">
        <v>704</v>
      </c>
      <c r="F2102" s="11" t="s">
        <v>1562</v>
      </c>
      <c r="G2102" t="s">
        <v>37</v>
      </c>
      <c r="H2102" t="s">
        <v>1563</v>
      </c>
      <c r="I2102" t="s">
        <v>2987</v>
      </c>
      <c r="J2102" s="6" t="str">
        <f>HYPERLINK("https://www.biovista.com/db/link/%5B%5B%22Disease%7CPMM2%20deficiency%22%5D,%20%5B%22Pathway%7Ccell%20migration%22%5D%5D?strength-weight-map=%257B%2522MEDLINE_STRENGTH_AB%2522:1.0,%2522HPO%2522:100.0%257D", "Show Evidence...")</f>
        <v>Show Evidence...</v>
      </c>
    </row>
    <row r="2103" spans="1:10" ht="12.75">
      <c r="A2103" s="2" t="s">
        <v>50</v>
      </c>
      <c r="B2103" s="2" t="s">
        <v>2961</v>
      </c>
      <c r="C2103" s="2" t="s">
        <v>24</v>
      </c>
      <c r="D2103" s="2" t="s">
        <v>2962</v>
      </c>
      <c r="E2103" s="2" t="s">
        <v>704</v>
      </c>
      <c r="F2103" s="11" t="s">
        <v>839</v>
      </c>
      <c r="G2103" t="s">
        <v>37</v>
      </c>
      <c r="H2103" t="s">
        <v>840</v>
      </c>
      <c r="I2103" t="s">
        <v>2987</v>
      </c>
      <c r="J2103" s="6" t="str">
        <f>HYPERLINK("https://www.biovista.com/db/link/%5B%5B%22Disease%7CPMM2%20deficiency%22%5D,%20%5B%22Pathway%7Ccell%20motility%22%5D%5D?strength-weight-map=%257B%2522MEDLINE_STRENGTH_AB%2522:1.0,%2522HPO%2522:100.0%257D", "Show Evidence...")</f>
        <v>Show Evidence...</v>
      </c>
    </row>
    <row r="2104" spans="1:10" ht="12.75">
      <c r="A2104" s="2" t="s">
        <v>50</v>
      </c>
      <c r="B2104" s="2" t="s">
        <v>2961</v>
      </c>
      <c r="C2104" s="2" t="s">
        <v>24</v>
      </c>
      <c r="D2104" s="2" t="s">
        <v>2962</v>
      </c>
      <c r="E2104" s="2" t="s">
        <v>704</v>
      </c>
      <c r="F2104" s="11" t="s">
        <v>708</v>
      </c>
      <c r="G2104" t="s">
        <v>37</v>
      </c>
      <c r="H2104" t="s">
        <v>709</v>
      </c>
      <c r="I2104" t="s">
        <v>2987</v>
      </c>
      <c r="J2104" s="6" t="str">
        <f>HYPERLINK("https://www.biovista.com/db/link/%5B%5B%22Disease%7CPMM2%20deficiency%22%5D,%20%5B%22Pathway%7Cchemical%20synaptic%20transmission%22%5D%5D?strength-weight-map=%257B%2522MEDLINE_STRENGTH_AB%2522:1.0,%2522HPO%2522:100.0%257D", "Show Evidence...")</f>
        <v>Show Evidence...</v>
      </c>
    </row>
    <row r="2105" spans="1:10" ht="12.75">
      <c r="A2105" s="2" t="s">
        <v>50</v>
      </c>
      <c r="B2105" s="2" t="s">
        <v>2961</v>
      </c>
      <c r="C2105" s="2" t="s">
        <v>24</v>
      </c>
      <c r="D2105" s="2" t="s">
        <v>2962</v>
      </c>
      <c r="E2105" s="2" t="s">
        <v>704</v>
      </c>
      <c r="F2105" s="11" t="s">
        <v>726</v>
      </c>
      <c r="G2105" t="s">
        <v>37</v>
      </c>
      <c r="H2105" t="s">
        <v>727</v>
      </c>
      <c r="I2105" t="s">
        <v>2987</v>
      </c>
      <c r="J2105" s="6" t="str">
        <f>HYPERLINK("https://www.biovista.com/db/link/%5B%5B%22Disease%7CPMM2%20deficiency%22%5D,%20%5B%22Pathway%7Ccognition%22%5D%5D?strength-weight-map=%257B%2522MEDLINE_STRENGTH_AB%2522:1.0,%2522HPO%2522:100.0%257D", "Show Evidence...")</f>
        <v>Show Evidence...</v>
      </c>
    </row>
    <row r="2106" spans="1:10" ht="12.75">
      <c r="A2106" s="2" t="s">
        <v>50</v>
      </c>
      <c r="B2106" s="2" t="s">
        <v>2961</v>
      </c>
      <c r="C2106" s="2" t="s">
        <v>24</v>
      </c>
      <c r="D2106" s="2" t="s">
        <v>2962</v>
      </c>
      <c r="E2106" s="2" t="s">
        <v>704</v>
      </c>
      <c r="F2106" s="11" t="s">
        <v>2939</v>
      </c>
      <c r="G2106" t="s">
        <v>37</v>
      </c>
      <c r="H2106" t="s">
        <v>2940</v>
      </c>
      <c r="I2106" t="s">
        <v>2987</v>
      </c>
      <c r="J2106" s="6" t="str">
        <f>HYPERLINK("https://www.biovista.com/db/link/%5B%5B%22Disease%7CPMM2%20deficiency%22%5D,%20%5B%22Pathway%7Cdevelopmental%20process%20involved%20in%20reproduction%22%5D%5D?strength-weight-map=%257B%2522MEDLINE_STRENGTH_AB%2522:1.0,%2522HPO%2522:100.0%257D", "Show Evidence...")</f>
        <v>Show Evidence...</v>
      </c>
    </row>
    <row r="2107" spans="1:10" ht="12.75">
      <c r="A2107" s="2" t="s">
        <v>50</v>
      </c>
      <c r="B2107" s="2" t="s">
        <v>2961</v>
      </c>
      <c r="C2107" s="2" t="s">
        <v>24</v>
      </c>
      <c r="D2107" s="2" t="s">
        <v>2962</v>
      </c>
      <c r="E2107" s="2" t="s">
        <v>704</v>
      </c>
      <c r="F2107" s="11" t="s">
        <v>3343</v>
      </c>
      <c r="G2107" t="s">
        <v>37</v>
      </c>
      <c r="H2107" t="s">
        <v>3344</v>
      </c>
      <c r="I2107" t="s">
        <v>2987</v>
      </c>
      <c r="J2107" s="6" t="str">
        <f>HYPERLINK("https://www.biovista.com/db/link/%5B%5B%22Disease%7CPMM2%20deficiency%22%5D,%20%5B%22Pathway%7Cdolichol-linked%20oligosaccharide%20biosynthetic%20process%22%5D%5D?strength-weight-map=%257B%2522MEDLINE_STRENGTH_AB%2522:1.0,%2522HPO%2522:100.0%257D", "Show Evidence...")</f>
        <v>Show Evidence...</v>
      </c>
    </row>
    <row r="2108" spans="1:10" ht="12.75">
      <c r="A2108" s="2" t="s">
        <v>50</v>
      </c>
      <c r="B2108" s="2" t="s">
        <v>2961</v>
      </c>
      <c r="C2108" s="2" t="s">
        <v>24</v>
      </c>
      <c r="D2108" s="2" t="s">
        <v>2962</v>
      </c>
      <c r="E2108" s="2" t="s">
        <v>704</v>
      </c>
      <c r="F2108" s="11" t="s">
        <v>890</v>
      </c>
      <c r="G2108" t="s">
        <v>37</v>
      </c>
      <c r="H2108" t="s">
        <v>891</v>
      </c>
      <c r="I2108" t="s">
        <v>2987</v>
      </c>
      <c r="J2108" s="6" t="str">
        <f>HYPERLINK("https://www.biovista.com/db/link/%5B%5B%22Disease%7CPMM2%20deficiency%22%5D,%20%5B%22Pathway%7Cembryo%20development%22%5D%5D?strength-weight-map=%257B%2522MEDLINE_STRENGTH_AB%2522:1.0,%2522HPO%2522:100.0%257D", "Show Evidence...")</f>
        <v>Show Evidence...</v>
      </c>
    </row>
    <row r="2109" spans="1:10" ht="12.75">
      <c r="A2109" s="2" t="s">
        <v>50</v>
      </c>
      <c r="B2109" s="2" t="s">
        <v>2961</v>
      </c>
      <c r="C2109" s="2" t="s">
        <v>24</v>
      </c>
      <c r="D2109" s="2" t="s">
        <v>2962</v>
      </c>
      <c r="E2109" s="2" t="s">
        <v>704</v>
      </c>
      <c r="F2109" s="11" t="s">
        <v>3345</v>
      </c>
      <c r="G2109" t="s">
        <v>37</v>
      </c>
      <c r="H2109" t="s">
        <v>3346</v>
      </c>
      <c r="I2109" t="s">
        <v>2987</v>
      </c>
      <c r="J2109" s="6" t="str">
        <f>HYPERLINK("https://www.biovista.com/db/link/%5B%5B%22Disease%7CPMM2%20deficiency%22%5D,%20%5B%22Pathway%7CERAD%20pathway%22%5D%5D?strength-weight-map=%257B%2522MEDLINE_STRENGTH_AB%2522:1.0,%2522HPO%2522:100.0%257D", "Show Evidence...")</f>
        <v>Show Evidence...</v>
      </c>
    </row>
    <row r="2110" spans="1:10" ht="12.75">
      <c r="A2110" s="2" t="s">
        <v>50</v>
      </c>
      <c r="B2110" s="2" t="s">
        <v>2961</v>
      </c>
      <c r="C2110" s="2" t="s">
        <v>24</v>
      </c>
      <c r="D2110" s="2" t="s">
        <v>2962</v>
      </c>
      <c r="E2110" s="2" t="s">
        <v>704</v>
      </c>
      <c r="F2110" s="11" t="s">
        <v>3347</v>
      </c>
      <c r="G2110" t="s">
        <v>37</v>
      </c>
      <c r="H2110" t="s">
        <v>3348</v>
      </c>
      <c r="I2110" t="s">
        <v>2987</v>
      </c>
      <c r="J2110" s="6" t="str">
        <f>HYPERLINK("https://www.biovista.com/db/link/%5B%5B%22Disease%7CPMM2%20deficiency%22%5D,%20%5B%22Pathway%7Cfibrinolysis%22%5D%5D?strength-weight-map=%257B%2522MEDLINE_STRENGTH_AB%2522:1.0,%2522HPO%2522:100.0%257D", "Show Evidence...")</f>
        <v>Show Evidence...</v>
      </c>
    </row>
    <row r="2111" spans="1:10" ht="12.75">
      <c r="A2111" s="2" t="s">
        <v>50</v>
      </c>
      <c r="B2111" s="2" t="s">
        <v>2961</v>
      </c>
      <c r="C2111" s="2" t="s">
        <v>24</v>
      </c>
      <c r="D2111" s="2" t="s">
        <v>2962</v>
      </c>
      <c r="E2111" s="2" t="s">
        <v>704</v>
      </c>
      <c r="F2111" s="11" t="s">
        <v>3349</v>
      </c>
      <c r="G2111" t="s">
        <v>37</v>
      </c>
      <c r="H2111" t="s">
        <v>3350</v>
      </c>
      <c r="I2111" t="s">
        <v>2987</v>
      </c>
      <c r="J2111" s="6" t="str">
        <f>HYPERLINK("https://www.biovista.com/db/link/%5B%5B%22Disease%7CPMM2%20deficiency%22%5D,%20%5B%22Pathway%7Cglycogen%20catabolic%20process%22%5D%5D?strength-weight-map=%257B%2522MEDLINE_STRENGTH_AB%2522:1.0,%2522HPO%2522:100.0%257D", "Show Evidence...")</f>
        <v>Show Evidence...</v>
      </c>
    </row>
    <row r="2112" spans="1:10" ht="12.75">
      <c r="A2112" s="2" t="s">
        <v>50</v>
      </c>
      <c r="B2112" s="2" t="s">
        <v>2961</v>
      </c>
      <c r="C2112" s="2" t="s">
        <v>24</v>
      </c>
      <c r="D2112" s="2" t="s">
        <v>2962</v>
      </c>
      <c r="E2112" s="2" t="s">
        <v>704</v>
      </c>
      <c r="F2112" s="11" t="s">
        <v>1526</v>
      </c>
      <c r="G2112" t="s">
        <v>37</v>
      </c>
      <c r="H2112" t="s">
        <v>1527</v>
      </c>
      <c r="I2112" t="s">
        <v>2987</v>
      </c>
      <c r="J2112" s="6" t="str">
        <f>HYPERLINK("https://www.biovista.com/db/link/%5B%5B%22Disease%7CPMM2%20deficiency%22%5D,%20%5B%22Pathway%7Cglycolipid%20biosynthetic%20process%22%5D%5D?strength-weight-map=%257B%2522MEDLINE_STRENGTH_AB%2522:1.0,%2522HPO%2522:100.0%257D", "Show Evidence...")</f>
        <v>Show Evidence...</v>
      </c>
    </row>
    <row r="2113" spans="1:10" ht="12.75">
      <c r="A2113" s="2" t="s">
        <v>50</v>
      </c>
      <c r="B2113" s="2" t="s">
        <v>2961</v>
      </c>
      <c r="C2113" s="2" t="s">
        <v>24</v>
      </c>
      <c r="D2113" s="2" t="s">
        <v>2962</v>
      </c>
      <c r="E2113" s="2" t="s">
        <v>704</v>
      </c>
      <c r="F2113" s="11" t="s">
        <v>823</v>
      </c>
      <c r="G2113" t="s">
        <v>37</v>
      </c>
      <c r="H2113" t="s">
        <v>824</v>
      </c>
      <c r="I2113" t="s">
        <v>2987</v>
      </c>
      <c r="J2113" s="6" t="str">
        <f>HYPERLINK("https://www.biovista.com/db/link/%5B%5B%22Disease%7CPMM2%20deficiency%22%5D,%20%5B%22Pathway%7Cglycolytic%20process%22%5D%5D?strength-weight-map=%257B%2522MEDLINE_STRENGTH_AB%2522:1.0,%2522HPO%2522:100.0%257D", "Show Evidence...")</f>
        <v>Show Evidence...</v>
      </c>
    </row>
    <row r="2114" spans="1:10" ht="12.75">
      <c r="A2114" s="2" t="s">
        <v>50</v>
      </c>
      <c r="B2114" s="2" t="s">
        <v>2961</v>
      </c>
      <c r="C2114" s="2" t="s">
        <v>24</v>
      </c>
      <c r="D2114" s="2" t="s">
        <v>2962</v>
      </c>
      <c r="E2114" s="2" t="s">
        <v>704</v>
      </c>
      <c r="F2114" s="8" t="s">
        <v>3351</v>
      </c>
      <c r="G2114" t="s">
        <v>37</v>
      </c>
      <c r="H2114" t="s">
        <v>3352</v>
      </c>
      <c r="I2114" t="s">
        <v>2987</v>
      </c>
      <c r="J2114" s="6" t="str">
        <f>HYPERLINK("https://www.biovista.com/db/link/%5B%5B%22Disease%7CPMM2%20deficiency%22%5D,%20%5B%22Pathway%7Cglycoprotein%20metabolic%20process%22%5D%5D?strength-weight-map=%257B%2522MEDLINE_STRENGTH_AB%2522:1.0,%2522HPO%2522:100.0%257D", "Show Evidence...")</f>
        <v>Show Evidence...</v>
      </c>
    </row>
    <row r="2115" spans="1:10" ht="12.75">
      <c r="A2115" s="2" t="s">
        <v>50</v>
      </c>
      <c r="B2115" s="2" t="s">
        <v>2961</v>
      </c>
      <c r="C2115" s="2" t="s">
        <v>24</v>
      </c>
      <c r="D2115" s="2" t="s">
        <v>2962</v>
      </c>
      <c r="E2115" s="2" t="s">
        <v>704</v>
      </c>
      <c r="F2115" s="11" t="s">
        <v>3353</v>
      </c>
      <c r="G2115" t="s">
        <v>37</v>
      </c>
      <c r="H2115" t="s">
        <v>3354</v>
      </c>
      <c r="I2115" t="s">
        <v>2987</v>
      </c>
      <c r="J2115" s="6" t="str">
        <f>HYPERLINK("https://www.biovista.com/db/link/%5B%5B%22Disease%7CPMM2%20deficiency%22%5D,%20%5B%22Pathway%7Cglycosphingolipid%20biosynthetic%20process%22%5D%5D?strength-weight-map=%257B%2522MEDLINE_STRENGTH_AB%2522:1.0,%2522HPO%2522:100.0%257D", "Show Evidence...")</f>
        <v>Show Evidence...</v>
      </c>
    </row>
    <row r="2116" spans="1:10" ht="12.75">
      <c r="A2116" s="2" t="s">
        <v>50</v>
      </c>
      <c r="B2116" s="2" t="s">
        <v>2961</v>
      </c>
      <c r="C2116" s="2" t="s">
        <v>24</v>
      </c>
      <c r="D2116" s="2" t="s">
        <v>2962</v>
      </c>
      <c r="E2116" s="2" t="s">
        <v>704</v>
      </c>
      <c r="F2116" s="11" t="s">
        <v>3355</v>
      </c>
      <c r="G2116" t="s">
        <v>37</v>
      </c>
      <c r="H2116" t="s">
        <v>3356</v>
      </c>
      <c r="I2116" t="s">
        <v>2987</v>
      </c>
      <c r="J2116" s="6" t="str">
        <f>HYPERLINK("https://www.biovista.com/db/link/%5B%5B%22Disease%7CPMM2%20deficiency%22%5D,%20%5B%22Pathway%7Cinnate%20immune%20response%22%5D%5D?strength-weight-map=%257B%2522MEDLINE_STRENGTH_AB%2522:1.0,%2522HPO%2522:100.0%257D", "Show Evidence...")</f>
        <v>Show Evidence...</v>
      </c>
    </row>
    <row r="2117" spans="1:10" ht="12.75">
      <c r="A2117" s="2" t="s">
        <v>50</v>
      </c>
      <c r="B2117" s="2" t="s">
        <v>2961</v>
      </c>
      <c r="C2117" s="2" t="s">
        <v>24</v>
      </c>
      <c r="D2117" s="2" t="s">
        <v>2962</v>
      </c>
      <c r="E2117" s="2" t="s">
        <v>704</v>
      </c>
      <c r="F2117" s="8" t="s">
        <v>3357</v>
      </c>
      <c r="G2117" t="s">
        <v>37</v>
      </c>
      <c r="H2117" t="s">
        <v>3358</v>
      </c>
      <c r="I2117" t="s">
        <v>2987</v>
      </c>
      <c r="J2117" s="6" t="str">
        <f>HYPERLINK("https://www.biovista.com/db/link/%5B%5B%22Disease%7CPMM2%20deficiency%22%5D,%20%5B%22Pathway%7Cintracellular%20transport%22%5D%5D?strength-weight-map=%257B%2522MEDLINE_STRENGTH_AB%2522:1.0,%2522HPO%2522:100.0%257D", "Show Evidence...")</f>
        <v>Show Evidence...</v>
      </c>
    </row>
    <row r="2118" spans="1:10" ht="12.75">
      <c r="A2118" s="2" t="s">
        <v>50</v>
      </c>
      <c r="B2118" s="2" t="s">
        <v>2961</v>
      </c>
      <c r="C2118" s="2" t="s">
        <v>24</v>
      </c>
      <c r="D2118" s="2" t="s">
        <v>2962</v>
      </c>
      <c r="E2118" s="2" t="s">
        <v>704</v>
      </c>
      <c r="F2118" s="11" t="s">
        <v>3359</v>
      </c>
      <c r="G2118" t="s">
        <v>37</v>
      </c>
      <c r="H2118" t="s">
        <v>3360</v>
      </c>
      <c r="I2118" t="s">
        <v>2987</v>
      </c>
      <c r="J2118" s="6" t="str">
        <f>HYPERLINK("https://www.biovista.com/db/link/%5B%5B%22Disease%7CPMM2%20deficiency%22%5D,%20%5B%22Pathway%7Cisotype%20switching%22%5D%5D?strength-weight-map=%257B%2522MEDLINE_STRENGTH_AB%2522:1.0,%2522HPO%2522:100.0%257D", "Show Evidence...")</f>
        <v>Show Evidence...</v>
      </c>
    </row>
    <row r="2119" spans="1:10" ht="12.75">
      <c r="A2119" s="2" t="s">
        <v>50</v>
      </c>
      <c r="B2119" s="2" t="s">
        <v>2961</v>
      </c>
      <c r="C2119" s="2" t="s">
        <v>24</v>
      </c>
      <c r="D2119" s="2" t="s">
        <v>2962</v>
      </c>
      <c r="E2119" s="2" t="s">
        <v>704</v>
      </c>
      <c r="F2119" s="11" t="s">
        <v>3361</v>
      </c>
      <c r="G2119" t="s">
        <v>37</v>
      </c>
      <c r="H2119" t="s">
        <v>3362</v>
      </c>
      <c r="I2119" t="s">
        <v>2987</v>
      </c>
      <c r="J2119" s="6" t="str">
        <f>HYPERLINK("https://www.biovista.com/db/link/%5B%5B%22Disease%7CPMM2%20deficiency%22%5D,%20%5B%22Pathway%7Clipid%20transport%22%5D%5D?strength-weight-map=%257B%2522MEDLINE_STRENGTH_AB%2522:1.0,%2522HPO%2522:100.0%257D", "Show Evidence...")</f>
        <v>Show Evidence...</v>
      </c>
    </row>
    <row r="2120" spans="1:10" ht="12.75">
      <c r="A2120" s="2" t="s">
        <v>50</v>
      </c>
      <c r="B2120" s="2" t="s">
        <v>2961</v>
      </c>
      <c r="C2120" s="2" t="s">
        <v>24</v>
      </c>
      <c r="D2120" s="2" t="s">
        <v>2962</v>
      </c>
      <c r="E2120" s="2" t="s">
        <v>704</v>
      </c>
      <c r="F2120" s="11" t="s">
        <v>3363</v>
      </c>
      <c r="G2120" t="s">
        <v>37</v>
      </c>
      <c r="H2120" t="s">
        <v>3364</v>
      </c>
      <c r="I2120" t="s">
        <v>2987</v>
      </c>
      <c r="J2120" s="6" t="str">
        <f>HYPERLINK("https://www.biovista.com/db/link/%5B%5B%22Disease%7CPMM2%20deficiency%22%5D,%20%5B%22Pathway%7Cmacrophage%20activation%22%5D%5D?strength-weight-map=%257B%2522MEDLINE_STRENGTH_AB%2522:1.0,%2522HPO%2522:100.0%257D", "Show Evidence...")</f>
        <v>Show Evidence...</v>
      </c>
    </row>
    <row r="2121" spans="1:10" ht="12.75">
      <c r="A2121" s="2" t="s">
        <v>50</v>
      </c>
      <c r="B2121" s="2" t="s">
        <v>2961</v>
      </c>
      <c r="C2121" s="2" t="s">
        <v>24</v>
      </c>
      <c r="D2121" s="2" t="s">
        <v>2962</v>
      </c>
      <c r="E2121" s="2" t="s">
        <v>704</v>
      </c>
      <c r="F2121" s="11" t="s">
        <v>3365</v>
      </c>
      <c r="G2121" t="s">
        <v>37</v>
      </c>
      <c r="H2121" t="s">
        <v>3366</v>
      </c>
      <c r="I2121" t="s">
        <v>2987</v>
      </c>
      <c r="J2121" s="6" t="str">
        <f>HYPERLINK("https://www.biovista.com/db/link/%5B%5B%22Disease%7CPMM2%20deficiency%22%5D,%20%5B%22Pathway%7Cmaintenance%20of%20location%20in%20cell%22%5D%5D?strength-weight-map=%257B%2522MEDLINE_STRENGTH_AB%2522:1.0,%2522HPO%2522:100.0%257D", "Show Evidence...")</f>
        <v>Show Evidence...</v>
      </c>
    </row>
    <row r="2122" spans="1:10" ht="12.75">
      <c r="A2122" s="2" t="s">
        <v>50</v>
      </c>
      <c r="B2122" s="2" t="s">
        <v>2961</v>
      </c>
      <c r="C2122" s="2" t="s">
        <v>24</v>
      </c>
      <c r="D2122" s="2" t="s">
        <v>2962</v>
      </c>
      <c r="E2122" s="2" t="s">
        <v>704</v>
      </c>
      <c r="F2122" s="11" t="s">
        <v>3367</v>
      </c>
      <c r="G2122" t="s">
        <v>37</v>
      </c>
      <c r="H2122" t="s">
        <v>3368</v>
      </c>
      <c r="I2122" t="s">
        <v>2987</v>
      </c>
      <c r="J2122" s="6" t="str">
        <f>HYPERLINK("https://www.biovista.com/db/link/%5B%5B%22Disease%7CPMM2%20deficiency%22%5D,%20%5B%22Pathway%7Cmannose%20biosynthetic%20process%22%5D%5D?strength-weight-map=%257B%2522MEDLINE_STRENGTH_AB%2522:1.0,%2522HPO%2522:100.0%257D", "Show Evidence...")</f>
        <v>Show Evidence...</v>
      </c>
    </row>
    <row r="2123" spans="1:10" ht="12.75">
      <c r="A2123" s="2" t="s">
        <v>50</v>
      </c>
      <c r="B2123" s="2" t="s">
        <v>2961</v>
      </c>
      <c r="C2123" s="2" t="s">
        <v>24</v>
      </c>
      <c r="D2123" s="2" t="s">
        <v>2962</v>
      </c>
      <c r="E2123" s="2" t="s">
        <v>704</v>
      </c>
      <c r="F2123" s="11" t="s">
        <v>858</v>
      </c>
      <c r="G2123" t="s">
        <v>37</v>
      </c>
      <c r="H2123" t="s">
        <v>859</v>
      </c>
      <c r="I2123" t="s">
        <v>2987</v>
      </c>
      <c r="J2123" s="6" t="str">
        <f>HYPERLINK("https://www.biovista.com/db/link/%5B%5B%22Disease%7CPMM2%20deficiency%22%5D,%20%5B%22Pathway%7Cmating%22%5D%5D?strength-weight-map=%257B%2522MEDLINE_STRENGTH_AB%2522:1.0,%2522HPO%2522:100.0%257D", "Show Evidence...")</f>
        <v>Show Evidence...</v>
      </c>
    </row>
    <row r="2124" spans="1:10" ht="12.75">
      <c r="A2124" s="2" t="s">
        <v>50</v>
      </c>
      <c r="B2124" s="2" t="s">
        <v>2961</v>
      </c>
      <c r="C2124" s="2" t="s">
        <v>24</v>
      </c>
      <c r="D2124" s="2" t="s">
        <v>2962</v>
      </c>
      <c r="E2124" s="2" t="s">
        <v>704</v>
      </c>
      <c r="F2124" s="11" t="s">
        <v>2297</v>
      </c>
      <c r="G2124" t="s">
        <v>37</v>
      </c>
      <c r="H2124" t="s">
        <v>2298</v>
      </c>
      <c r="I2124" t="s">
        <v>2987</v>
      </c>
      <c r="J2124" s="6" t="str">
        <f>HYPERLINK("https://www.biovista.com/db/link/%5B%5B%22Disease%7CPMM2%20deficiency%22%5D,%20%5B%22Pathway%7Cmitochondrial%20ATP%20synthesis%20coupled%20electron%20transport%22%5D%5D?strength-weight-map=%257B%2522MEDLINE_STRENGTH_AB%2522:1.0,%2522HPO%2522:100.0%257D", "Show Evidence...")</f>
        <v>Show Evidence...</v>
      </c>
    </row>
    <row r="2125" spans="1:10" ht="12.75">
      <c r="A2125" s="2" t="s">
        <v>50</v>
      </c>
      <c r="B2125" s="2" t="s">
        <v>2961</v>
      </c>
      <c r="C2125" s="2" t="s">
        <v>24</v>
      </c>
      <c r="D2125" s="2" t="s">
        <v>2962</v>
      </c>
      <c r="E2125" s="2" t="s">
        <v>704</v>
      </c>
      <c r="F2125" s="11" t="s">
        <v>2312</v>
      </c>
      <c r="G2125" t="s">
        <v>37</v>
      </c>
      <c r="H2125" t="s">
        <v>2313</v>
      </c>
      <c r="I2125" t="s">
        <v>2987</v>
      </c>
      <c r="J2125" s="6" t="str">
        <f>HYPERLINK("https://www.biovista.com/db/link/%5B%5B%22Disease%7CPMM2%20deficiency%22%5D,%20%5B%22Pathway%7Cmitochondrial%20fission%22%5D%5D?strength-weight-map=%257B%2522MEDLINE_STRENGTH_AB%2522:1.0,%2522HPO%2522:100.0%257D", "Show Evidence...")</f>
        <v>Show Evidence...</v>
      </c>
    </row>
    <row r="2126" spans="1:10" ht="12.75">
      <c r="A2126" s="2" t="s">
        <v>50</v>
      </c>
      <c r="B2126" s="2" t="s">
        <v>2961</v>
      </c>
      <c r="C2126" s="2" t="s">
        <v>24</v>
      </c>
      <c r="D2126" s="2" t="s">
        <v>2962</v>
      </c>
      <c r="E2126" s="2" t="s">
        <v>704</v>
      </c>
      <c r="F2126" s="11" t="s">
        <v>2338</v>
      </c>
      <c r="G2126" t="s">
        <v>37</v>
      </c>
      <c r="H2126" t="s">
        <v>2339</v>
      </c>
      <c r="I2126" t="s">
        <v>2987</v>
      </c>
      <c r="J2126" s="6" t="str">
        <f>HYPERLINK("https://www.biovista.com/db/link/%5B%5B%22Disease%7CPMM2%20deficiency%22%5D,%20%5B%22Pathway%7Cmitophagy%22%5D%5D?strength-weight-map=%257B%2522MEDLINE_STRENGTH_AB%2522:1.0,%2522HPO%2522:100.0%257D", "Show Evidence...")</f>
        <v>Show Evidence...</v>
      </c>
    </row>
    <row r="2127" spans="1:10" ht="12.75">
      <c r="A2127" s="2" t="s">
        <v>50</v>
      </c>
      <c r="B2127" s="2" t="s">
        <v>2961</v>
      </c>
      <c r="C2127" s="2" t="s">
        <v>24</v>
      </c>
      <c r="D2127" s="2" t="s">
        <v>2962</v>
      </c>
      <c r="E2127" s="2" t="s">
        <v>704</v>
      </c>
      <c r="F2127" s="11" t="s">
        <v>2901</v>
      </c>
      <c r="G2127" t="s">
        <v>37</v>
      </c>
      <c r="H2127" t="s">
        <v>2902</v>
      </c>
      <c r="I2127" t="s">
        <v>2987</v>
      </c>
      <c r="J2127" s="6" t="str">
        <f>HYPERLINK("https://www.biovista.com/db/link/%5B%5B%22Disease%7CPMM2%20deficiency%22%5D,%20%5B%22Pathway%7Cmitotic%20nuclear%20division%22%5D%5D?strength-weight-map=%257B%2522MEDLINE_STRENGTH_AB%2522:1.0,%2522HPO%2522:100.0%257D", "Show Evidence...")</f>
        <v>Show Evidence...</v>
      </c>
    </row>
    <row r="2128" spans="1:10" ht="12.75">
      <c r="A2128" s="2" t="s">
        <v>50</v>
      </c>
      <c r="B2128" s="2" t="s">
        <v>2961</v>
      </c>
      <c r="C2128" s="2" t="s">
        <v>24</v>
      </c>
      <c r="D2128" s="2" t="s">
        <v>2962</v>
      </c>
      <c r="E2128" s="2" t="s">
        <v>704</v>
      </c>
      <c r="F2128" s="11" t="s">
        <v>3369</v>
      </c>
      <c r="G2128" t="s">
        <v>37</v>
      </c>
      <c r="H2128" t="s">
        <v>3370</v>
      </c>
      <c r="I2128" t="s">
        <v>2987</v>
      </c>
      <c r="J2128" s="6" t="str">
        <f>HYPERLINK("https://www.biovista.com/db/link/%5B%5B%22Disease%7CPMM2%20deficiency%22%5D,%20%5B%22Pathway%7Cmitotic%20recombination%22%5D%5D?strength-weight-map=%257B%2522MEDLINE_STRENGTH_AB%2522:1.0,%2522HPO%2522:100.0%257D", "Show Evidence...")</f>
        <v>Show Evidence...</v>
      </c>
    </row>
    <row r="2129" spans="1:10" ht="12.75">
      <c r="A2129" s="2" t="s">
        <v>50</v>
      </c>
      <c r="B2129" s="2" t="s">
        <v>2961</v>
      </c>
      <c r="C2129" s="2" t="s">
        <v>24</v>
      </c>
      <c r="D2129" s="2" t="s">
        <v>2962</v>
      </c>
      <c r="E2129" s="2" t="s">
        <v>704</v>
      </c>
      <c r="F2129" s="11" t="s">
        <v>3371</v>
      </c>
      <c r="G2129" t="s">
        <v>37</v>
      </c>
      <c r="H2129" t="s">
        <v>3372</v>
      </c>
      <c r="I2129" t="s">
        <v>2987</v>
      </c>
      <c r="J2129" s="6" t="str">
        <f>HYPERLINK("https://www.biovista.com/db/link/%5B%5B%22Disease%7CPMM2%20deficiency%22%5D,%20%5B%22Pathway%7Cmulticellular%20organism%20growth%22%5D%5D?strength-weight-map=%257B%2522MEDLINE_STRENGTH_AB%2522:1.0,%2522HPO%2522:100.0%257D", "Show Evidence...")</f>
        <v>Show Evidence...</v>
      </c>
    </row>
    <row r="2130" spans="1:10" ht="12.75">
      <c r="A2130" s="2" t="s">
        <v>50</v>
      </c>
      <c r="B2130" s="2" t="s">
        <v>2961</v>
      </c>
      <c r="C2130" s="2" t="s">
        <v>24</v>
      </c>
      <c r="D2130" s="2" t="s">
        <v>2962</v>
      </c>
      <c r="E2130" s="2" t="s">
        <v>704</v>
      </c>
      <c r="F2130" s="11" t="s">
        <v>1556</v>
      </c>
      <c r="G2130" t="s">
        <v>37</v>
      </c>
      <c r="H2130" t="s">
        <v>1557</v>
      </c>
      <c r="I2130" t="s">
        <v>2987</v>
      </c>
      <c r="J2130" s="6" t="str">
        <f>HYPERLINK("https://www.biovista.com/db/link/%5B%5B%22Disease%7CPMM2%20deficiency%22%5D,%20%5B%22Pathway%7Cmuscle%20atrophy%22%5D%5D?strength-weight-map=%257B%2522MEDLINE_STRENGTH_AB%2522:1.0,%2522HPO%2522:100.0%257D", "Show Evidence...")</f>
        <v>Show Evidence...</v>
      </c>
    </row>
    <row r="2131" spans="1:10" ht="12.75">
      <c r="A2131" s="2" t="s">
        <v>50</v>
      </c>
      <c r="B2131" s="2" t="s">
        <v>2961</v>
      </c>
      <c r="C2131" s="2" t="s">
        <v>24</v>
      </c>
      <c r="D2131" s="2" t="s">
        <v>2962</v>
      </c>
      <c r="E2131" s="2" t="s">
        <v>704</v>
      </c>
      <c r="F2131" s="11" t="s">
        <v>3373</v>
      </c>
      <c r="G2131" t="s">
        <v>37</v>
      </c>
      <c r="H2131" t="s">
        <v>3374</v>
      </c>
      <c r="I2131" t="s">
        <v>2987</v>
      </c>
      <c r="J2131" s="6" t="str">
        <f>HYPERLINK("https://www.biovista.com/db/link/%5B%5B%22Disease%7CPMM2%20deficiency%22%5D,%20%5B%22Pathway%7Cnatural%20killer%20cell%20activation%22%5D%5D?strength-weight-map=%257B%2522MEDLINE_STRENGTH_AB%2522:1.0,%2522HPO%2522:100.0%257D", "Show Evidence...")</f>
        <v>Show Evidence...</v>
      </c>
    </row>
    <row r="2132" spans="1:10" ht="12.75">
      <c r="A2132" s="2" t="s">
        <v>50</v>
      </c>
      <c r="B2132" s="2" t="s">
        <v>2961</v>
      </c>
      <c r="C2132" s="2" t="s">
        <v>24</v>
      </c>
      <c r="D2132" s="2" t="s">
        <v>2962</v>
      </c>
      <c r="E2132" s="2" t="s">
        <v>704</v>
      </c>
      <c r="F2132" s="11" t="s">
        <v>3375</v>
      </c>
      <c r="G2132" t="s">
        <v>37</v>
      </c>
      <c r="H2132" t="s">
        <v>3376</v>
      </c>
      <c r="I2132" t="s">
        <v>2987</v>
      </c>
      <c r="J2132" s="6" t="str">
        <f>HYPERLINK("https://www.biovista.com/db/link/%5B%5B%22Disease%7CPMM2%20deficiency%22%5D,%20%5B%22Pathway%7Cnatural%20killer%20cell%20mediated%20cytotoxicity%22%5D%5D?strength-weight-map=%257B%2522MEDLINE_STRENGTH_AB%2522:1.0,%2522HPO%2522:100.0%257D", "Show Evidence...")</f>
        <v>Show Evidence...</v>
      </c>
    </row>
    <row r="2133" spans="1:10" ht="12.75">
      <c r="A2133" s="2" t="s">
        <v>50</v>
      </c>
      <c r="B2133" s="2" t="s">
        <v>2961</v>
      </c>
      <c r="C2133" s="2" t="s">
        <v>24</v>
      </c>
      <c r="D2133" s="2" t="s">
        <v>2962</v>
      </c>
      <c r="E2133" s="2" t="s">
        <v>704</v>
      </c>
      <c r="F2133" s="11" t="s">
        <v>3377</v>
      </c>
      <c r="G2133" t="s">
        <v>37</v>
      </c>
      <c r="H2133" t="s">
        <v>3378</v>
      </c>
      <c r="I2133" t="s">
        <v>2987</v>
      </c>
      <c r="J2133" s="6" t="str">
        <f>HYPERLINK("https://www.biovista.com/db/link/%5B%5B%22Disease%7CPMM2%20deficiency%22%5D,%20%5B%22Pathway%7Cnervous%20system%20development%22%5D%5D?strength-weight-map=%257B%2522MEDLINE_STRENGTH_AB%2522:1.0,%2522HPO%2522:100.0%257D", "Show Evidence...")</f>
        <v>Show Evidence...</v>
      </c>
    </row>
    <row r="2134" spans="1:10" ht="12.75">
      <c r="A2134" s="2" t="s">
        <v>50</v>
      </c>
      <c r="B2134" s="2" t="s">
        <v>2961</v>
      </c>
      <c r="C2134" s="2" t="s">
        <v>24</v>
      </c>
      <c r="D2134" s="2" t="s">
        <v>2962</v>
      </c>
      <c r="E2134" s="2" t="s">
        <v>704</v>
      </c>
      <c r="F2134" s="11" t="s">
        <v>731</v>
      </c>
      <c r="G2134" t="s">
        <v>37</v>
      </c>
      <c r="H2134" t="s">
        <v>732</v>
      </c>
      <c r="I2134" t="s">
        <v>2987</v>
      </c>
      <c r="J2134" s="6" t="str">
        <f>HYPERLINK("https://www.biovista.com/db/link/%5B%5B%22Disease%7CPMM2%20deficiency%22%5D,%20%5B%22Pathway%7Cneurogenesis%22%5D%5D?strength-weight-map=%257B%2522MEDLINE_STRENGTH_AB%2522:1.0,%2522HPO%2522:100.0%257D", "Show Evidence...")</f>
        <v>Show Evidence...</v>
      </c>
    </row>
    <row r="2135" spans="1:10" ht="12.75">
      <c r="A2135" s="2" t="s">
        <v>50</v>
      </c>
      <c r="B2135" s="2" t="s">
        <v>2961</v>
      </c>
      <c r="C2135" s="2" t="s">
        <v>24</v>
      </c>
      <c r="D2135" s="2" t="s">
        <v>2962</v>
      </c>
      <c r="E2135" s="2" t="s">
        <v>704</v>
      </c>
      <c r="F2135" s="11" t="s">
        <v>3379</v>
      </c>
      <c r="G2135" t="s">
        <v>37</v>
      </c>
      <c r="H2135" t="s">
        <v>3380</v>
      </c>
      <c r="I2135" t="s">
        <v>2987</v>
      </c>
      <c r="J2135" s="6" t="str">
        <f>HYPERLINK("https://www.biovista.com/db/link/%5B%5B%22Disease%7CPMM2%20deficiency%22%5D,%20%5B%22Pathway%7Cneutrophil%20extravasation%22%5D%5D?strength-weight-map=%257B%2522MEDLINE_STRENGTH_AB%2522:1.0,%2522HPO%2522:100.0%257D", "Show Evidence...")</f>
        <v>Show Evidence...</v>
      </c>
    </row>
    <row r="2136" spans="1:10" ht="12.75">
      <c r="A2136" s="2" t="s">
        <v>50</v>
      </c>
      <c r="B2136" s="2" t="s">
        <v>2961</v>
      </c>
      <c r="C2136" s="2" t="s">
        <v>24</v>
      </c>
      <c r="D2136" s="2" t="s">
        <v>2962</v>
      </c>
      <c r="E2136" s="2" t="s">
        <v>704</v>
      </c>
      <c r="F2136" s="11" t="s">
        <v>3381</v>
      </c>
      <c r="G2136" t="s">
        <v>37</v>
      </c>
      <c r="H2136" t="s">
        <v>3382</v>
      </c>
      <c r="I2136" t="s">
        <v>2987</v>
      </c>
      <c r="J2136" s="6" t="str">
        <f>HYPERLINK("https://www.biovista.com/db/link/%5B%5B%22Disease%7CPMM2%20deficiency%22%5D,%20%5B%22Pathway%7Coocyte%20development%22%5D%5D?strength-weight-map=%257B%2522MEDLINE_STRENGTH_AB%2522:1.0,%2522HPO%2522:100.0%257D", "Show Evidence...")</f>
        <v>Show Evidence...</v>
      </c>
    </row>
    <row r="2137" spans="1:10" ht="12.75">
      <c r="A2137" s="2" t="s">
        <v>50</v>
      </c>
      <c r="B2137" s="2" t="s">
        <v>2961</v>
      </c>
      <c r="C2137" s="2" t="s">
        <v>24</v>
      </c>
      <c r="D2137" s="2" t="s">
        <v>2962</v>
      </c>
      <c r="E2137" s="2" t="s">
        <v>704</v>
      </c>
      <c r="F2137" s="11" t="s">
        <v>781</v>
      </c>
      <c r="G2137" t="s">
        <v>37</v>
      </c>
      <c r="H2137" t="s">
        <v>782</v>
      </c>
      <c r="I2137" t="s">
        <v>2987</v>
      </c>
      <c r="J2137" s="6" t="str">
        <f>HYPERLINK("https://www.biovista.com/db/link/%5B%5B%22Disease%7CPMM2%20deficiency%22%5D,%20%5B%22Pathway%7Cossification%22%5D%5D?strength-weight-map=%257B%2522MEDLINE_STRENGTH_AB%2522:1.0,%2522HPO%2522:100.0%257D", "Show Evidence...")</f>
        <v>Show Evidence...</v>
      </c>
    </row>
    <row r="2138" spans="1:10" ht="12.75">
      <c r="A2138" s="2" t="s">
        <v>50</v>
      </c>
      <c r="B2138" s="2" t="s">
        <v>2961</v>
      </c>
      <c r="C2138" s="2" t="s">
        <v>24</v>
      </c>
      <c r="D2138" s="2" t="s">
        <v>2962</v>
      </c>
      <c r="E2138" s="2" t="s">
        <v>704</v>
      </c>
      <c r="F2138" s="11" t="s">
        <v>3383</v>
      </c>
      <c r="G2138" t="s">
        <v>37</v>
      </c>
      <c r="H2138" t="s">
        <v>3384</v>
      </c>
      <c r="I2138" t="s">
        <v>2987</v>
      </c>
      <c r="J2138" s="6" t="str">
        <f>HYPERLINK("https://www.biovista.com/db/link/%5B%5B%22Disease%7CPMM2%20deficiency%22%5D,%20%5B%22Pathway%7Cpigmentation%22%5D%5D?strength-weight-map=%257B%2522MEDLINE_STRENGTH_AB%2522:1.0,%2522HPO%2522:100.0%257D", "Show Evidence...")</f>
        <v>Show Evidence...</v>
      </c>
    </row>
    <row r="2139" spans="1:10" ht="12.75">
      <c r="A2139" s="2" t="s">
        <v>50</v>
      </c>
      <c r="B2139" s="2" t="s">
        <v>2961</v>
      </c>
      <c r="C2139" s="2" t="s">
        <v>24</v>
      </c>
      <c r="D2139" s="2" t="s">
        <v>2962</v>
      </c>
      <c r="E2139" s="2" t="s">
        <v>704</v>
      </c>
      <c r="F2139" s="11" t="s">
        <v>2933</v>
      </c>
      <c r="G2139" t="s">
        <v>37</v>
      </c>
      <c r="H2139" t="s">
        <v>2934</v>
      </c>
      <c r="I2139" t="s">
        <v>2987</v>
      </c>
      <c r="J2139" s="6" t="str">
        <f>HYPERLINK("https://www.biovista.com/db/link/%5B%5B%22Disease%7CPMM2%20deficiency%22%5D,%20%5B%22Pathway%7Cplatelet%20aggregation%22%5D%5D?strength-weight-map=%257B%2522MEDLINE_STRENGTH_AB%2522:1.0,%2522HPO%2522:100.0%257D", "Show Evidence...")</f>
        <v>Show Evidence...</v>
      </c>
    </row>
    <row r="2140" spans="1:10" ht="12.75">
      <c r="A2140" s="2" t="s">
        <v>50</v>
      </c>
      <c r="B2140" s="2" t="s">
        <v>2961</v>
      </c>
      <c r="C2140" s="2" t="s">
        <v>24</v>
      </c>
      <c r="D2140" s="2" t="s">
        <v>2962</v>
      </c>
      <c r="E2140" s="2" t="s">
        <v>704</v>
      </c>
      <c r="F2140" s="11" t="s">
        <v>3385</v>
      </c>
      <c r="G2140" t="s">
        <v>37</v>
      </c>
      <c r="H2140" t="s">
        <v>3386</v>
      </c>
      <c r="I2140" t="s">
        <v>2987</v>
      </c>
      <c r="J2140" s="6" t="str">
        <f>HYPERLINK("https://www.biovista.com/db/link/%5B%5B%22Disease%7CPMM2%20deficiency%22%5D,%20%5B%22Pathway%7Cpolyol%20metabolic%20process%22%5D%5D?strength-weight-map=%257B%2522MEDLINE_STRENGTH_AB%2522:1.0,%2522HPO%2522:100.0%257D", "Show Evidence...")</f>
        <v>Show Evidence...</v>
      </c>
    </row>
    <row r="2141" spans="1:10" ht="12.75">
      <c r="A2141" s="2" t="s">
        <v>50</v>
      </c>
      <c r="B2141" s="2" t="s">
        <v>2961</v>
      </c>
      <c r="C2141" s="2" t="s">
        <v>24</v>
      </c>
      <c r="D2141" s="2" t="s">
        <v>2962</v>
      </c>
      <c r="E2141" s="2" t="s">
        <v>704</v>
      </c>
      <c r="F2141" s="11" t="s">
        <v>3387</v>
      </c>
      <c r="G2141" t="s">
        <v>37</v>
      </c>
      <c r="H2141" t="s">
        <v>3388</v>
      </c>
      <c r="I2141" t="s">
        <v>2987</v>
      </c>
      <c r="J2141" s="6" t="str">
        <f>HYPERLINK("https://www.biovista.com/db/link/%5B%5B%22Disease%7CPMM2%20deficiency%22%5D,%20%5B%22Pathway%7Cpolysaccharide%20metabolic%20process%22%5D%5D?strength-weight-map=%257B%2522MEDLINE_STRENGTH_AB%2522:1.0,%2522HPO%2522:100.0%257D", "Show Evidence...")</f>
        <v>Show Evidence...</v>
      </c>
    </row>
    <row r="2142" spans="1:10" ht="12.75">
      <c r="A2142" s="2" t="s">
        <v>50</v>
      </c>
      <c r="B2142" s="2" t="s">
        <v>2961</v>
      </c>
      <c r="C2142" s="2" t="s">
        <v>24</v>
      </c>
      <c r="D2142" s="2" t="s">
        <v>2962</v>
      </c>
      <c r="E2142" s="2" t="s">
        <v>704</v>
      </c>
      <c r="F2142" s="11" t="s">
        <v>825</v>
      </c>
      <c r="G2142" t="s">
        <v>37</v>
      </c>
      <c r="H2142" t="s">
        <v>826</v>
      </c>
      <c r="I2142" t="s">
        <v>2987</v>
      </c>
      <c r="J2142" s="6" t="str">
        <f>HYPERLINK("https://www.biovista.com/db/link/%5B%5B%22Disease%7CPMM2%20deficiency%22%5D,%20%5B%22Pathway%7Cprotein%20transport%22%5D%5D?strength-weight-map=%257B%2522MEDLINE_STRENGTH_AB%2522:1.0,%2522HPO%2522:100.0%257D", "Show Evidence...")</f>
        <v>Show Evidence...</v>
      </c>
    </row>
    <row r="2143" spans="1:10" ht="12.75">
      <c r="A2143" s="2" t="s">
        <v>50</v>
      </c>
      <c r="B2143" s="2" t="s">
        <v>2961</v>
      </c>
      <c r="C2143" s="2" t="s">
        <v>24</v>
      </c>
      <c r="D2143" s="2" t="s">
        <v>2962</v>
      </c>
      <c r="E2143" s="2" t="s">
        <v>704</v>
      </c>
      <c r="F2143" s="11" t="s">
        <v>1491</v>
      </c>
      <c r="G2143" t="s">
        <v>37</v>
      </c>
      <c r="H2143" t="s">
        <v>1492</v>
      </c>
      <c r="I2143" t="s">
        <v>2987</v>
      </c>
      <c r="J2143" s="6" t="str">
        <f>HYPERLINK("https://www.biovista.com/db/link/%5B%5B%22Disease%7CPMM2%20deficiency%22%5D,%20%5B%22Pathway%7Creactive%20gliosis%22%5D%5D?strength-weight-map=%257B%2522MEDLINE_STRENGTH_AB%2522:1.0,%2522HPO%2522:100.0%257D", "Show Evidence...")</f>
        <v>Show Evidence...</v>
      </c>
    </row>
    <row r="2144" spans="1:10" ht="12.75">
      <c r="A2144" s="2" t="s">
        <v>50</v>
      </c>
      <c r="B2144" s="2" t="s">
        <v>2961</v>
      </c>
      <c r="C2144" s="2" t="s">
        <v>24</v>
      </c>
      <c r="D2144" s="2" t="s">
        <v>2962</v>
      </c>
      <c r="E2144" s="2" t="s">
        <v>704</v>
      </c>
      <c r="F2144" s="11" t="s">
        <v>882</v>
      </c>
      <c r="G2144" t="s">
        <v>37</v>
      </c>
      <c r="H2144" t="s">
        <v>883</v>
      </c>
      <c r="I2144" t="s">
        <v>2987</v>
      </c>
      <c r="J2144" s="6" t="str">
        <f>HYPERLINK("https://www.biovista.com/db/link/%5B%5B%22Disease%7CPMM2%20deficiency%22%5D,%20%5B%22Pathway%7Cregulation%20of%20gene%20expression%22%5D%5D?strength-weight-map=%257B%2522MEDLINE_STRENGTH_AB%2522:1.0,%2522HPO%2522:100.0%257D", "Show Evidence...")</f>
        <v>Show Evidence...</v>
      </c>
    </row>
    <row r="2145" spans="1:10" ht="12.75">
      <c r="A2145" s="2" t="s">
        <v>50</v>
      </c>
      <c r="B2145" s="2" t="s">
        <v>2961</v>
      </c>
      <c r="C2145" s="2" t="s">
        <v>24</v>
      </c>
      <c r="D2145" s="2" t="s">
        <v>2962</v>
      </c>
      <c r="E2145" s="2" t="s">
        <v>704</v>
      </c>
      <c r="F2145" s="11" t="s">
        <v>3389</v>
      </c>
      <c r="G2145" t="s">
        <v>37</v>
      </c>
      <c r="H2145" t="s">
        <v>3390</v>
      </c>
      <c r="I2145" t="s">
        <v>2987</v>
      </c>
      <c r="J2145" s="6" t="str">
        <f>HYPERLINK("https://www.biovista.com/db/link/%5B%5B%22Disease%7CPMM2%20deficiency%22%5D,%20%5B%22Pathway%7Cregulation%20of%20growth%22%5D%5D?strength-weight-map=%257B%2522MEDLINE_STRENGTH_AB%2522:1.0,%2522HPO%2522:100.0%257D", "Show Evidence...")</f>
        <v>Show Evidence...</v>
      </c>
    </row>
    <row r="2146" spans="1:10" ht="12.75">
      <c r="A2146" s="2" t="s">
        <v>50</v>
      </c>
      <c r="B2146" s="2" t="s">
        <v>2961</v>
      </c>
      <c r="C2146" s="2" t="s">
        <v>24</v>
      </c>
      <c r="D2146" s="2" t="s">
        <v>2962</v>
      </c>
      <c r="E2146" s="2" t="s">
        <v>704</v>
      </c>
      <c r="F2146" s="11" t="s">
        <v>3391</v>
      </c>
      <c r="G2146" t="s">
        <v>37</v>
      </c>
      <c r="H2146" t="s">
        <v>3392</v>
      </c>
      <c r="I2146" t="s">
        <v>2987</v>
      </c>
      <c r="J2146" s="6" t="str">
        <f>HYPERLINK("https://www.biovista.com/db/link/%5B%5B%22Disease%7CPMM2%20deficiency%22%5D,%20%5B%22Pathway%7Cresponse%20to%20glucagon%22%5D%5D?strength-weight-map=%257B%2522MEDLINE_STRENGTH_AB%2522:1.0,%2522HPO%2522:100.0%257D", "Show Evidence...")</f>
        <v>Show Evidence...</v>
      </c>
    </row>
    <row r="2147" spans="1:10" ht="12.75">
      <c r="A2147" s="2" t="s">
        <v>50</v>
      </c>
      <c r="B2147" s="2" t="s">
        <v>2961</v>
      </c>
      <c r="C2147" s="2" t="s">
        <v>24</v>
      </c>
      <c r="D2147" s="2" t="s">
        <v>2962</v>
      </c>
      <c r="E2147" s="2" t="s">
        <v>704</v>
      </c>
      <c r="F2147" s="11" t="s">
        <v>3393</v>
      </c>
      <c r="G2147" t="s">
        <v>37</v>
      </c>
      <c r="H2147" t="s">
        <v>3394</v>
      </c>
      <c r="I2147" t="s">
        <v>2987</v>
      </c>
      <c r="J2147" s="6" t="str">
        <f>HYPERLINK("https://www.biovista.com/db/link/%5B%5B%22Disease%7CPMM2%20deficiency%22%5D,%20%5B%22Pathway%7Cretrotransposition%22%5D%5D?strength-weight-map=%257B%2522MEDLINE_STRENGTH_AB%2522:1.0,%2522HPO%2522:100.0%257D", "Show Evidence...")</f>
        <v>Show Evidence...</v>
      </c>
    </row>
    <row r="2148" spans="1:10" ht="12.75">
      <c r="A2148" s="2" t="s">
        <v>50</v>
      </c>
      <c r="B2148" s="2" t="s">
        <v>2961</v>
      </c>
      <c r="C2148" s="2" t="s">
        <v>24</v>
      </c>
      <c r="D2148" s="2" t="s">
        <v>2962</v>
      </c>
      <c r="E2148" s="2" t="s">
        <v>704</v>
      </c>
      <c r="F2148" s="11" t="s">
        <v>2364</v>
      </c>
      <c r="G2148" t="s">
        <v>37</v>
      </c>
      <c r="H2148" t="s">
        <v>2365</v>
      </c>
      <c r="I2148" t="s">
        <v>2987</v>
      </c>
      <c r="J2148" s="6" t="str">
        <f>HYPERLINK("https://www.biovista.com/db/link/%5B%5B%22Disease%7CPMM2%20deficiency%22%5D,%20%5B%22Pathway%7CRNA%20metabolic%20process%22%5D%5D?strength-weight-map=%257B%2522MEDLINE_STRENGTH_AB%2522:1.0,%2522HPO%2522:100.0%257D", "Show Evidence...")</f>
        <v>Show Evidence...</v>
      </c>
    </row>
    <row r="2149" spans="1:10" ht="12.75">
      <c r="A2149" s="2" t="s">
        <v>50</v>
      </c>
      <c r="B2149" s="2" t="s">
        <v>2961</v>
      </c>
      <c r="C2149" s="2" t="s">
        <v>24</v>
      </c>
      <c r="D2149" s="2" t="s">
        <v>2962</v>
      </c>
      <c r="E2149" s="2" t="s">
        <v>704</v>
      </c>
      <c r="F2149" s="11" t="s">
        <v>3395</v>
      </c>
      <c r="G2149" t="s">
        <v>37</v>
      </c>
      <c r="H2149" t="s">
        <v>3396</v>
      </c>
      <c r="I2149" t="s">
        <v>2987</v>
      </c>
      <c r="J2149" s="6" t="str">
        <f>HYPERLINK("https://www.biovista.com/db/link/%5B%5B%22Disease%7CPMM2%20deficiency%22%5D,%20%5B%22Pathway%7CS%20phase%22%5D%5D?strength-weight-map=%257B%2522MEDLINE_STRENGTH_AB%2522:1.0,%2522HPO%2522:100.0%257D", "Show Evidence...")</f>
        <v>Show Evidence...</v>
      </c>
    </row>
    <row r="2150" spans="1:10" ht="12.75">
      <c r="A2150" s="2" t="s">
        <v>50</v>
      </c>
      <c r="B2150" s="2" t="s">
        <v>2961</v>
      </c>
      <c r="C2150" s="2" t="s">
        <v>24</v>
      </c>
      <c r="D2150" s="2" t="s">
        <v>2962</v>
      </c>
      <c r="E2150" s="2" t="s">
        <v>717</v>
      </c>
      <c r="F2150" s="11" t="s">
        <v>1516</v>
      </c>
      <c r="G2150" t="s">
        <v>37</v>
      </c>
      <c r="H2150" t="s">
        <v>1517</v>
      </c>
      <c r="I2150" t="s">
        <v>2987</v>
      </c>
      <c r="J2150" s="6" t="str">
        <f>HYPERLINK("https://www.biovista.com/db/link/%5B%5B%22Disease%7CPMM2%20deficiency%22%5D,%20%5B%22Pathway%7Csenescence%22%5D%5D?strength-weight-map=%257B%2522MEDLINE_STRENGTH_AB%2522:1.0,%2522HPO%2522:100.0%257D", "Show Evidence...")</f>
        <v>Show Evidence...</v>
      </c>
    </row>
    <row r="2151" spans="1:10" ht="12.75">
      <c r="A2151" s="2" t="s">
        <v>50</v>
      </c>
      <c r="B2151" s="2" t="s">
        <v>2961</v>
      </c>
      <c r="C2151" s="2" t="s">
        <v>24</v>
      </c>
      <c r="D2151" s="2" t="s">
        <v>2962</v>
      </c>
      <c r="E2151" s="2" t="s">
        <v>704</v>
      </c>
      <c r="F2151" s="11" t="s">
        <v>735</v>
      </c>
      <c r="G2151" t="s">
        <v>37</v>
      </c>
      <c r="H2151" t="s">
        <v>736</v>
      </c>
      <c r="I2151" t="s">
        <v>2987</v>
      </c>
      <c r="J2151" s="6" t="str">
        <f>HYPERLINK("https://www.biovista.com/db/link/%5B%5B%22Disease%7CPMM2%20deficiency%22%5D,%20%5B%22Pathway%7Csignal%20transduction%22%5D%5D?strength-weight-map=%257B%2522MEDLINE_STRENGTH_AB%2522:1.0,%2522HPO%2522:100.0%257D", "Show Evidence...")</f>
        <v>Show Evidence...</v>
      </c>
    </row>
    <row r="2152" spans="1:10" ht="12.75">
      <c r="A2152" s="2" t="s">
        <v>50</v>
      </c>
      <c r="B2152" s="2" t="s">
        <v>2961</v>
      </c>
      <c r="C2152" s="2" t="s">
        <v>24</v>
      </c>
      <c r="D2152" s="2" t="s">
        <v>2962</v>
      </c>
      <c r="E2152" s="2" t="s">
        <v>704</v>
      </c>
      <c r="F2152" s="11" t="s">
        <v>850</v>
      </c>
      <c r="G2152" t="s">
        <v>37</v>
      </c>
      <c r="H2152" t="s">
        <v>851</v>
      </c>
      <c r="I2152" t="s">
        <v>2987</v>
      </c>
      <c r="J2152" s="6" t="str">
        <f>HYPERLINK("https://www.biovista.com/db/link/%5B%5B%22Disease%7CPMM2%20deficiency%22%5D,%20%5B%22Pathway%7Csynapse%20assembly%22%5D%5D?strength-weight-map=%257B%2522MEDLINE_STRENGTH_AB%2522:1.0,%2522HPO%2522:100.0%257D", "Show Evidence...")</f>
        <v>Show Evidence...</v>
      </c>
    </row>
    <row r="2153" spans="1:10" ht="12.75">
      <c r="A2153" s="2" t="s">
        <v>50</v>
      </c>
      <c r="B2153" s="2" t="s">
        <v>2961</v>
      </c>
      <c r="C2153" s="2" t="s">
        <v>24</v>
      </c>
      <c r="D2153" s="2" t="s">
        <v>2962</v>
      </c>
      <c r="E2153" s="2" t="s">
        <v>704</v>
      </c>
      <c r="F2153" s="11" t="s">
        <v>3397</v>
      </c>
      <c r="G2153" t="s">
        <v>37</v>
      </c>
      <c r="H2153" t="s">
        <v>3398</v>
      </c>
      <c r="I2153" t="s">
        <v>2987</v>
      </c>
      <c r="J2153" s="6" t="str">
        <f>HYPERLINK("https://www.biovista.com/db/link/%5B%5B%22Disease%7CPMM2%20deficiency%22%5D,%20%5B%22Pathway%7Ctissue%20development%22%5D%5D?strength-weight-map=%257B%2522MEDLINE_STRENGTH_AB%2522:1.0,%2522HPO%2522:100.0%257D", "Show Evidence...")</f>
        <v>Show Evidence...</v>
      </c>
    </row>
    <row r="2154" spans="1:10" ht="12.75">
      <c r="A2154" s="2" t="s">
        <v>50</v>
      </c>
      <c r="B2154" s="2" t="s">
        <v>2961</v>
      </c>
      <c r="C2154" s="2" t="s">
        <v>24</v>
      </c>
      <c r="D2154" s="2" t="s">
        <v>2962</v>
      </c>
      <c r="E2154" s="2" t="s">
        <v>704</v>
      </c>
      <c r="F2154" s="11" t="s">
        <v>3399</v>
      </c>
      <c r="G2154" t="s">
        <v>37</v>
      </c>
      <c r="H2154" t="s">
        <v>3400</v>
      </c>
      <c r="I2154" t="s">
        <v>2987</v>
      </c>
      <c r="J2154" s="6" t="str">
        <f>HYPERLINK("https://www.biovista.com/db/link/%5B%5B%22Disease%7CPMM2%20deficiency%22%5D,%20%5B%22Pathway%7Ctrans-synaptic%20signaling%22%5D%5D?strength-weight-map=%257B%2522MEDLINE_STRENGTH_AB%2522:1.0,%2522HPO%2522:100.0%257D", "Show Evidence...")</f>
        <v>Show Evidence...</v>
      </c>
    </row>
    <row r="2155" spans="1:10" ht="12.75">
      <c r="A2155" s="2" t="s">
        <v>50</v>
      </c>
      <c r="B2155" s="2" t="s">
        <v>2961</v>
      </c>
      <c r="C2155" s="2" t="s">
        <v>24</v>
      </c>
      <c r="D2155" s="2" t="s">
        <v>2962</v>
      </c>
      <c r="E2155" s="2" t="s">
        <v>704</v>
      </c>
      <c r="F2155" s="11" t="s">
        <v>3401</v>
      </c>
      <c r="G2155" t="s">
        <v>37</v>
      </c>
      <c r="H2155" t="s">
        <v>3402</v>
      </c>
      <c r="I2155" t="s">
        <v>2987</v>
      </c>
      <c r="J2155" s="6" t="str">
        <f>HYPERLINK("https://www.biovista.com/db/link/%5B%5B%22Disease%7CPMM2%20deficiency%22%5D,%20%5B%22Pathway%7Ctransmembrane%20transport%22%5D%5D?strength-weight-map=%257B%2522MEDLINE_STRENGTH_AB%2522:1.0,%2522HPO%2522:100.0%257D", "Show Evidence...")</f>
        <v>Show Evidence...</v>
      </c>
    </row>
    <row r="2156" spans="1:10" ht="12.75">
      <c r="A2156" s="2" t="s">
        <v>50</v>
      </c>
      <c r="B2156" s="2" t="s">
        <v>2961</v>
      </c>
      <c r="C2156" s="2" t="s">
        <v>24</v>
      </c>
      <c r="D2156" s="2" t="s">
        <v>2962</v>
      </c>
      <c r="E2156" s="2" t="s">
        <v>704</v>
      </c>
      <c r="F2156" s="11" t="s">
        <v>811</v>
      </c>
      <c r="G2156" t="s">
        <v>37</v>
      </c>
      <c r="H2156" t="s">
        <v>812</v>
      </c>
      <c r="I2156" t="s">
        <v>2987</v>
      </c>
      <c r="J2156" s="6" t="str">
        <f>HYPERLINK("https://www.biovista.com/db/link/%5B%5B%22Disease%7CPMM2%20deficiency%22%5D,%20%5B%22Pathway%7Ctricarboxylic%20acid%20cycle%22%5D%5D?strength-weight-map=%257B%2522MEDLINE_STRENGTH_AB%2522:1.0,%2522HPO%2522:100.0%257D", "Show Evidence...")</f>
        <v>Show Evidence...</v>
      </c>
    </row>
    <row r="2157" spans="1:10" ht="12.75">
      <c r="A2157" s="2" t="s">
        <v>50</v>
      </c>
      <c r="B2157" s="2" t="s">
        <v>2961</v>
      </c>
      <c r="C2157" s="2" t="s">
        <v>24</v>
      </c>
      <c r="D2157" s="2" t="s">
        <v>2962</v>
      </c>
      <c r="E2157" s="2" t="s">
        <v>704</v>
      </c>
      <c r="F2157" s="11" t="s">
        <v>864</v>
      </c>
      <c r="G2157" t="s">
        <v>37</v>
      </c>
      <c r="H2157" t="s">
        <v>865</v>
      </c>
      <c r="I2157" t="s">
        <v>2987</v>
      </c>
      <c r="J2157" s="6" t="str">
        <f>HYPERLINK("https://www.biovista.com/db/link/%5B%5B%22Disease%7CPMM2%20deficiency%22%5D,%20%5B%22Pathway%7CWnt%20signaling%20pathway%22%5D%5D?strength-weight-map=%257B%2522MEDLINE_STRENGTH_AB%2522:1.0,%2522HPO%2522:100.0%257D", "Show Evidence...")</f>
        <v>Show Evidence...</v>
      </c>
    </row>
    <row r="2158" spans="1:10" ht="12.75">
      <c r="A2158" s="2" t="s">
        <v>3403</v>
      </c>
      <c r="B2158" s="2" t="s">
        <v>3404</v>
      </c>
      <c r="C2158" s="2" t="s">
        <v>24</v>
      </c>
      <c r="D2158" s="2" t="s">
        <v>3405</v>
      </c>
      <c r="E2158" s="2" t="s">
        <v>53</v>
      </c>
      <c r="F2158" s="11" t="s">
        <v>1003</v>
      </c>
      <c r="G2158" t="s">
        <v>39</v>
      </c>
      <c r="H2158" t="s">
        <v>1004</v>
      </c>
      <c r="I2158" t="s">
        <v>3406</v>
      </c>
      <c r="J2158" s="6" t="str">
        <f>HYPERLINK("https://www.biovista.com/db/link/%5B%5B%22Disease%7Cpyridoxine%20dependent%20epilepsy%22%5D,%20%5B%22Drug%7CPyridoxine%22%5D%5D?strength-weight-map=%257B%2522MEDLINE_STRENGTH_AB%2522:1.0,%2522HPO%2522:100.0%257D", "Show Evidence...")</f>
        <v>Show Evidence...</v>
      </c>
    </row>
    <row r="2159" spans="1:10" ht="12.75">
      <c r="A2159" s="2" t="s">
        <v>3403</v>
      </c>
      <c r="B2159" s="2" t="s">
        <v>3404</v>
      </c>
      <c r="C2159" s="2" t="s">
        <v>24</v>
      </c>
      <c r="D2159" s="2" t="s">
        <v>3405</v>
      </c>
      <c r="E2159" s="2" t="s">
        <v>53</v>
      </c>
      <c r="F2159" s="11" t="s">
        <v>3407</v>
      </c>
      <c r="G2159" t="s">
        <v>39</v>
      </c>
      <c r="H2159" t="s">
        <v>3408</v>
      </c>
      <c r="I2159" t="s">
        <v>3409</v>
      </c>
      <c r="J2159" s="6" t="str">
        <f>HYPERLINK("https://www.biovista.com/db/link/%5B%5B%22Disease%7Cpyridoxine%20dependent%20epilepsy%22%5D,%20%5B%22Drug%7CVitamin%20B%206%22%5D%5D?strength-weight-map=%257B%2522MEDLINE_STRENGTH_AB%2522:1.0,%2522HPO%2522:100.0%257D", "Show Evidence...")</f>
        <v>Show Evidence...</v>
      </c>
    </row>
    <row r="2160" spans="1:10" ht="12.75">
      <c r="A2160" s="2" t="s">
        <v>3403</v>
      </c>
      <c r="B2160" s="2" t="s">
        <v>3404</v>
      </c>
      <c r="C2160" s="2" t="s">
        <v>24</v>
      </c>
      <c r="D2160" s="2" t="s">
        <v>3405</v>
      </c>
      <c r="E2160" s="2" t="s">
        <v>53</v>
      </c>
      <c r="F2160" s="11" t="s">
        <v>1103</v>
      </c>
      <c r="G2160" t="s">
        <v>39</v>
      </c>
      <c r="H2160" t="s">
        <v>1104</v>
      </c>
      <c r="I2160" t="s">
        <v>3410</v>
      </c>
      <c r="J2160" s="6" t="str">
        <f>HYPERLINK("https://www.biovista.com/db/link/%5B%5B%22Disease%7Cpyridoxine%20dependent%20epilepsy%22%5D,%20%5B%22Drug%7CPyridoxal%20Phosphate%22%5D%5D?strength-weight-map=%257B%2522MEDLINE_STRENGTH_AB%2522:1.0,%2522HPO%2522:100.0%257D", "Show Evidence...")</f>
        <v>Show Evidence...</v>
      </c>
    </row>
    <row r="2161" spans="1:10" ht="12.75">
      <c r="A2161" s="2" t="s">
        <v>3403</v>
      </c>
      <c r="B2161" s="2" t="s">
        <v>3404</v>
      </c>
      <c r="C2161" s="2" t="s">
        <v>24</v>
      </c>
      <c r="D2161" s="2" t="s">
        <v>3405</v>
      </c>
      <c r="E2161" s="2" t="s">
        <v>53</v>
      </c>
      <c r="F2161" s="11" t="s">
        <v>99</v>
      </c>
      <c r="G2161" t="s">
        <v>39</v>
      </c>
      <c r="H2161" t="s">
        <v>100</v>
      </c>
      <c r="I2161" t="s">
        <v>3411</v>
      </c>
      <c r="J2161" s="6" t="str">
        <f>HYPERLINK("https://www.biovista.com/db/link/%5B%5B%22Disease%7Cpyridoxine%20dependent%20epilepsy%22%5D,%20%5B%22Drug%7Cgamma-Aminobutyric%20Acid%22%5D%5D?strength-weight-map=%257B%2522MEDLINE_STRENGTH_AB%2522:1.0,%2522HPO%2522:100.0%257D", "Show Evidence...")</f>
        <v>Show Evidence...</v>
      </c>
    </row>
    <row r="2162" spans="1:10" ht="12.75">
      <c r="A2162" s="2" t="s">
        <v>3403</v>
      </c>
      <c r="B2162" s="2" t="s">
        <v>3404</v>
      </c>
      <c r="C2162" s="2" t="s">
        <v>24</v>
      </c>
      <c r="D2162" s="2" t="s">
        <v>3405</v>
      </c>
      <c r="E2162" s="2" t="s">
        <v>53</v>
      </c>
      <c r="F2162" s="11" t="s">
        <v>950</v>
      </c>
      <c r="G2162" t="s">
        <v>39</v>
      </c>
      <c r="H2162" t="s">
        <v>951</v>
      </c>
      <c r="I2162" t="s">
        <v>3412</v>
      </c>
      <c r="J2162" s="6" t="str">
        <f>HYPERLINK("https://www.biovista.com/db/link/%5B%5B%22Disease%7Cpyridoxine%20dependent%20epilepsy%22%5D,%20%5B%22Drug%7C2-Aminoadipic%20Acid%22%5D%5D?strength-weight-map=%257B%2522MEDLINE_STRENGTH_AB%2522:1.0,%2522HPO%2522:100.0%257D", "Show Evidence...")</f>
        <v>Show Evidence...</v>
      </c>
    </row>
    <row r="2163" spans="1:10" ht="12.75">
      <c r="A2163" s="2" t="s">
        <v>3403</v>
      </c>
      <c r="B2163" s="2" t="s">
        <v>3404</v>
      </c>
      <c r="C2163" s="2" t="s">
        <v>24</v>
      </c>
      <c r="D2163" s="2" t="s">
        <v>3405</v>
      </c>
      <c r="E2163" s="2" t="s">
        <v>53</v>
      </c>
      <c r="F2163" s="11" t="s">
        <v>268</v>
      </c>
      <c r="G2163" t="s">
        <v>39</v>
      </c>
      <c r="H2163" t="s">
        <v>269</v>
      </c>
      <c r="I2163" t="s">
        <v>3413</v>
      </c>
      <c r="J2163" s="6" t="str">
        <f>HYPERLINK("https://www.biovista.com/db/link/%5B%5B%22Disease%7Cpyridoxine%20dependent%20epilepsy%22%5D,%20%5B%22Drug%7CLeucovorin%22%5D%5D?strength-weight-map=%257B%2522MEDLINE_STRENGTH_AB%2522:1.0,%2522HPO%2522:100.0%257D", "Show Evidence...")</f>
        <v>Show Evidence...</v>
      </c>
    </row>
    <row r="2164" spans="1:10" ht="12.75">
      <c r="A2164" s="2" t="s">
        <v>3403</v>
      </c>
      <c r="B2164" s="2" t="s">
        <v>3404</v>
      </c>
      <c r="C2164" s="2" t="s">
        <v>24</v>
      </c>
      <c r="D2164" s="2" t="s">
        <v>3405</v>
      </c>
      <c r="E2164" s="2" t="s">
        <v>53</v>
      </c>
      <c r="F2164" s="11" t="s">
        <v>1931</v>
      </c>
      <c r="G2164" t="s">
        <v>39</v>
      </c>
      <c r="H2164" t="s">
        <v>1932</v>
      </c>
      <c r="I2164" t="s">
        <v>3414</v>
      </c>
      <c r="J2164" s="6" t="str">
        <f>HYPERLINK("https://www.biovista.com/db/link/%5B%5B%22Disease%7Cpyridoxine%20dependent%20epilepsy%22%5D,%20%5B%22Drug%7CPhenobarbital%22%5D%5D?strength-weight-map=%257B%2522MEDLINE_STRENGTH_AB%2522:1.0,%2522HPO%2522:100.0%257D", "Show Evidence...")</f>
        <v>Show Evidence...</v>
      </c>
    </row>
    <row r="2165" spans="1:10" ht="12.75">
      <c r="A2165" s="2" t="s">
        <v>3403</v>
      </c>
      <c r="B2165" s="2" t="s">
        <v>3404</v>
      </c>
      <c r="C2165" s="2" t="s">
        <v>24</v>
      </c>
      <c r="D2165" s="2" t="s">
        <v>3405</v>
      </c>
      <c r="E2165" s="2" t="s">
        <v>53</v>
      </c>
      <c r="F2165" s="11" t="s">
        <v>3415</v>
      </c>
      <c r="G2165" t="s">
        <v>39</v>
      </c>
      <c r="H2165" t="s">
        <v>3416</v>
      </c>
      <c r="I2165" t="s">
        <v>3417</v>
      </c>
      <c r="J2165" s="6" t="str">
        <f>HYPERLINK("https://www.biovista.com/db/link/%5B%5B%22Disease%7Cpyridoxine%20dependent%20epilepsy%22%5D,%20%5B%22Drug%7CPyridoxal%22%5D%5D?strength-weight-map=%257B%2522MEDLINE_STRENGTH_AB%2522:1.0,%2522HPO%2522:100.0%257D", "Show Evidence...")</f>
        <v>Show Evidence...</v>
      </c>
    </row>
    <row r="2166" spans="1:10" ht="12.75">
      <c r="A2166" s="2" t="s">
        <v>3403</v>
      </c>
      <c r="B2166" s="2" t="s">
        <v>3404</v>
      </c>
      <c r="C2166" s="2" t="s">
        <v>24</v>
      </c>
      <c r="D2166" s="2" t="s">
        <v>3405</v>
      </c>
      <c r="E2166" s="2" t="s">
        <v>53</v>
      </c>
      <c r="F2166" s="11" t="s">
        <v>152</v>
      </c>
      <c r="G2166" t="s">
        <v>39</v>
      </c>
      <c r="H2166" t="s">
        <v>153</v>
      </c>
      <c r="I2166" t="s">
        <v>3417</v>
      </c>
      <c r="J2166" s="6" t="str">
        <f>HYPERLINK("https://www.biovista.com/db/link/%5B%5B%22Disease%7Cpyridoxine%20dependent%20epilepsy%22%5D,%20%5B%22Drug%7CTryptophan%22%5D%5D?strength-weight-map=%257B%2522MEDLINE_STRENGTH_AB%2522:1.0,%2522HPO%2522:100.0%257D", "Show Evidence...")</f>
        <v>Show Evidence...</v>
      </c>
    </row>
    <row r="2167" spans="1:10" ht="12.75">
      <c r="A2167" s="2" t="s">
        <v>3403</v>
      </c>
      <c r="B2167" s="2" t="s">
        <v>3404</v>
      </c>
      <c r="C2167" s="2" t="s">
        <v>24</v>
      </c>
      <c r="D2167" s="2" t="s">
        <v>3405</v>
      </c>
      <c r="E2167" s="2" t="s">
        <v>53</v>
      </c>
      <c r="F2167" s="11" t="s">
        <v>2387</v>
      </c>
      <c r="G2167" t="s">
        <v>39</v>
      </c>
      <c r="H2167" t="s">
        <v>2388</v>
      </c>
      <c r="I2167" t="s">
        <v>3418</v>
      </c>
      <c r="J2167" s="6" t="str">
        <f>HYPERLINK("https://www.biovista.com/db/link/%5B%5B%22Disease%7Cpyridoxine%20dependent%20epilepsy%22%5D,%20%5B%22Drug%7CPhenytoin%22%5D%5D?strength-weight-map=%257B%2522MEDLINE_STRENGTH_AB%2522:1.0,%2522HPO%2522:100.0%257D", "Show Evidence...")</f>
        <v>Show Evidence...</v>
      </c>
    </row>
    <row r="2168" spans="1:10" ht="12.75">
      <c r="A2168" s="2" t="s">
        <v>3403</v>
      </c>
      <c r="B2168" s="2" t="s">
        <v>3404</v>
      </c>
      <c r="C2168" s="2" t="s">
        <v>24</v>
      </c>
      <c r="D2168" s="2" t="s">
        <v>3405</v>
      </c>
      <c r="E2168" s="2" t="s">
        <v>53</v>
      </c>
      <c r="F2168" s="11" t="s">
        <v>1007</v>
      </c>
      <c r="G2168" t="s">
        <v>39</v>
      </c>
      <c r="H2168" t="s">
        <v>1008</v>
      </c>
      <c r="I2168" t="s">
        <v>3418</v>
      </c>
      <c r="J2168" s="6" t="str">
        <f>HYPERLINK("https://www.biovista.com/db/link/%5B%5B%22Disease%7Cpyridoxine%20dependent%20epilepsy%22%5D,%20%5B%22Drug%7CValproic%20Acid%22%5D%5D?strength-weight-map=%257B%2522MEDLINE_STRENGTH_AB%2522:1.0,%2522HPO%2522:100.0%257D", "Show Evidence...")</f>
        <v>Show Evidence...</v>
      </c>
    </row>
    <row r="2169" spans="1:10" ht="12.75">
      <c r="A2169" s="2" t="s">
        <v>3403</v>
      </c>
      <c r="B2169" s="2" t="s">
        <v>3404</v>
      </c>
      <c r="C2169" s="2" t="s">
        <v>24</v>
      </c>
      <c r="D2169" s="2" t="s">
        <v>3405</v>
      </c>
      <c r="E2169" s="2" t="s">
        <v>53</v>
      </c>
      <c r="F2169" s="11" t="s">
        <v>110</v>
      </c>
      <c r="G2169" t="s">
        <v>39</v>
      </c>
      <c r="H2169" t="s">
        <v>111</v>
      </c>
      <c r="I2169" t="s">
        <v>3419</v>
      </c>
      <c r="J2169" s="6" t="str">
        <f>HYPERLINK("https://www.biovista.com/db/link/%5B%5B%22Disease%7Cpyridoxine%20dependent%20epilepsy%22%5D,%20%5B%22Drug%7CAdrenocorticotropic%20Hormone%22%5D%5D?strength-weight-map=%257B%2522MEDLINE_STRENGTH_AB%2522:1.0,%2522HPO%2522:100.0%257D", "Show Evidence...")</f>
        <v>Show Evidence...</v>
      </c>
    </row>
    <row r="2170" spans="1:10" ht="12.75">
      <c r="A2170" s="2" t="s">
        <v>3403</v>
      </c>
      <c r="B2170" s="2" t="s">
        <v>3404</v>
      </c>
      <c r="C2170" s="2" t="s">
        <v>24</v>
      </c>
      <c r="D2170" s="2" t="s">
        <v>3405</v>
      </c>
      <c r="E2170" s="2" t="s">
        <v>53</v>
      </c>
      <c r="F2170" s="11" t="s">
        <v>1093</v>
      </c>
      <c r="G2170" t="s">
        <v>39</v>
      </c>
      <c r="H2170" t="s">
        <v>1094</v>
      </c>
      <c r="I2170" t="s">
        <v>3419</v>
      </c>
      <c r="J2170" s="6" t="str">
        <f>HYPERLINK("https://www.biovista.com/db/link/%5B%5B%22Disease%7Cpyridoxine%20dependent%20epilepsy%22%5D,%20%5B%22Drug%7CLevetiracetam%22%5D%5D?strength-weight-map=%257B%2522MEDLINE_STRENGTH_AB%2522:1.0,%2522HPO%2522:100.0%257D", "Show Evidence...")</f>
        <v>Show Evidence...</v>
      </c>
    </row>
    <row r="2171" spans="1:10" ht="12.75">
      <c r="A2171" s="2" t="s">
        <v>3403</v>
      </c>
      <c r="B2171" s="2" t="s">
        <v>3404</v>
      </c>
      <c r="C2171" s="2" t="s">
        <v>24</v>
      </c>
      <c r="D2171" s="2" t="s">
        <v>3405</v>
      </c>
      <c r="E2171" s="2" t="s">
        <v>53</v>
      </c>
      <c r="F2171" s="11" t="s">
        <v>1095</v>
      </c>
      <c r="G2171" t="s">
        <v>39</v>
      </c>
      <c r="H2171" t="s">
        <v>1096</v>
      </c>
      <c r="I2171" t="s">
        <v>3419</v>
      </c>
      <c r="J2171" s="6" t="str">
        <f>HYPERLINK("https://www.biovista.com/db/link/%5B%5B%22Disease%7Cpyridoxine%20dependent%20epilepsy%22%5D,%20%5B%22Drug%7CLevodopa%22%5D%5D?strength-weight-map=%257B%2522MEDLINE_STRENGTH_AB%2522:1.0,%2522HPO%2522:100.0%257D", "Show Evidence...")</f>
        <v>Show Evidence...</v>
      </c>
    </row>
    <row r="2172" spans="1:10" ht="12.75">
      <c r="A2172" s="2" t="s">
        <v>3403</v>
      </c>
      <c r="B2172" s="2" t="s">
        <v>3404</v>
      </c>
      <c r="C2172" s="2" t="s">
        <v>24</v>
      </c>
      <c r="D2172" s="2" t="s">
        <v>3405</v>
      </c>
      <c r="E2172" s="2" t="s">
        <v>53</v>
      </c>
      <c r="F2172" s="11" t="s">
        <v>3420</v>
      </c>
      <c r="G2172" t="s">
        <v>39</v>
      </c>
      <c r="H2172" t="s">
        <v>3421</v>
      </c>
      <c r="I2172" t="s">
        <v>3419</v>
      </c>
      <c r="J2172" s="6" t="str">
        <f>HYPERLINK("https://www.biovista.com/db/link/%5B%5B%22Disease%7Cpyridoxine%20dependent%20epilepsy%22%5D,%20%5B%22Drug%7CTetrahydrofolates%22%5D%5D?strength-weight-map=%257B%2522MEDLINE_STRENGTH_AB%2522:1.0,%2522HPO%2522:100.0%257D", "Show Evidence...")</f>
        <v>Show Evidence...</v>
      </c>
    </row>
    <row r="2173" spans="1:10" ht="12.75">
      <c r="A2173" s="2" t="s">
        <v>3403</v>
      </c>
      <c r="B2173" s="2" t="s">
        <v>3404</v>
      </c>
      <c r="C2173" s="2" t="s">
        <v>24</v>
      </c>
      <c r="D2173" s="2" t="s">
        <v>3405</v>
      </c>
      <c r="E2173" s="2" t="s">
        <v>53</v>
      </c>
      <c r="F2173" s="11" t="s">
        <v>3422</v>
      </c>
      <c r="G2173" t="s">
        <v>39</v>
      </c>
      <c r="H2173" t="s">
        <v>3423</v>
      </c>
      <c r="I2173" t="s">
        <v>3424</v>
      </c>
      <c r="J2173" s="6" t="str">
        <f>HYPERLINK("https://www.biovista.com/db/link/%5B%5B%22Disease%7Cpyridoxine%20dependent%20epilepsy%22%5D,%20%5B%22Drug%7Casfotase%20alfa%22%5D%5D?strength-weight-map=%257B%2522MEDLINE_STRENGTH_AB%2522:1.0,%2522HPO%2522:100.0%257D", "Show Evidence...")</f>
        <v>Show Evidence...</v>
      </c>
    </row>
    <row r="2174" spans="1:10" ht="12.75">
      <c r="A2174" s="2" t="s">
        <v>3403</v>
      </c>
      <c r="B2174" s="2" t="s">
        <v>3404</v>
      </c>
      <c r="C2174" s="2" t="s">
        <v>24</v>
      </c>
      <c r="D2174" s="2" t="s">
        <v>3405</v>
      </c>
      <c r="E2174" s="2" t="s">
        <v>53</v>
      </c>
      <c r="F2174" s="11" t="s">
        <v>1599</v>
      </c>
      <c r="G2174" t="s">
        <v>39</v>
      </c>
      <c r="H2174" t="s">
        <v>1600</v>
      </c>
      <c r="I2174" t="s">
        <v>3424</v>
      </c>
      <c r="J2174" s="6" t="str">
        <f>HYPERLINK("https://www.biovista.com/db/link/%5B%5B%22Disease%7Cpyridoxine%20dependent%20epilepsy%22%5D,%20%5B%22Drug%7CFolic%20Acid%22%5D%5D?strength-weight-map=%257B%2522MEDLINE_STRENGTH_AB%2522:1.0,%2522HPO%2522:100.0%257D", "Show Evidence...")</f>
        <v>Show Evidence...</v>
      </c>
    </row>
    <row r="2175" spans="1:10" ht="12.75">
      <c r="A2175" s="2" t="s">
        <v>3403</v>
      </c>
      <c r="B2175" s="2" t="s">
        <v>3404</v>
      </c>
      <c r="C2175" s="2" t="s">
        <v>24</v>
      </c>
      <c r="D2175" s="2" t="s">
        <v>3405</v>
      </c>
      <c r="E2175" s="2" t="s">
        <v>53</v>
      </c>
      <c r="F2175" s="11" t="s">
        <v>1929</v>
      </c>
      <c r="G2175" t="s">
        <v>39</v>
      </c>
      <c r="H2175" t="s">
        <v>1930</v>
      </c>
      <c r="I2175" t="s">
        <v>3424</v>
      </c>
      <c r="J2175" s="6" t="str">
        <f>HYPERLINK("https://www.biovista.com/db/link/%5B%5B%22Disease%7Cpyridoxine%20dependent%20epilepsy%22%5D,%20%5B%22Drug%7CNiacinamide%22%5D%5D?strength-weight-map=%257B%2522MEDLINE_STRENGTH_AB%2522:1.0,%2522HPO%2522:100.0%257D", "Show Evidence...")</f>
        <v>Show Evidence...</v>
      </c>
    </row>
    <row r="2176" spans="1:10" ht="12.75">
      <c r="A2176" s="2" t="s">
        <v>3403</v>
      </c>
      <c r="B2176" s="2" t="s">
        <v>3404</v>
      </c>
      <c r="C2176" s="2" t="s">
        <v>24</v>
      </c>
      <c r="D2176" s="2" t="s">
        <v>3405</v>
      </c>
      <c r="E2176" s="2" t="s">
        <v>53</v>
      </c>
      <c r="F2176" s="11" t="s">
        <v>3425</v>
      </c>
      <c r="G2176" t="s">
        <v>39</v>
      </c>
      <c r="H2176" t="s">
        <v>3426</v>
      </c>
      <c r="I2176" t="s">
        <v>3424</v>
      </c>
      <c r="J2176" s="6" t="str">
        <f>HYPERLINK("https://www.biovista.com/db/link/%5B%5B%22Disease%7Cpyridoxine%20dependent%20epilepsy%22%5D,%20%5B%22Drug%7CPyridoxamine%22%5D%5D?strength-weight-map=%257B%2522MEDLINE_STRENGTH_AB%2522:1.0,%2522HPO%2522:100.0%257D", "Show Evidence...")</f>
        <v>Show Evidence...</v>
      </c>
    </row>
    <row r="2177" spans="1:10" ht="12.75">
      <c r="A2177" s="2" t="s">
        <v>3403</v>
      </c>
      <c r="B2177" s="2" t="s">
        <v>3404</v>
      </c>
      <c r="C2177" s="2" t="s">
        <v>24</v>
      </c>
      <c r="D2177" s="2" t="s">
        <v>3405</v>
      </c>
      <c r="E2177" s="2" t="s">
        <v>53</v>
      </c>
      <c r="F2177" s="11" t="s">
        <v>1907</v>
      </c>
      <c r="G2177" t="s">
        <v>39</v>
      </c>
      <c r="H2177" t="s">
        <v>1908</v>
      </c>
      <c r="I2177" t="s">
        <v>3427</v>
      </c>
      <c r="J2177" s="6" t="str">
        <f>HYPERLINK("https://www.biovista.com/db/link/%5B%5B%22Disease%7Cpyridoxine%20dependent%20epilepsy%22%5D,%20%5B%22Drug%7CCarbamazepine%22%5D%5D?strength-weight-map=%257B%2522MEDLINE_STRENGTH_AB%2522:1.0,%2522HPO%2522:100.0%257D", "Show Evidence...")</f>
        <v>Show Evidence...</v>
      </c>
    </row>
    <row r="2178" spans="1:10" ht="12.75">
      <c r="A2178" s="2" t="s">
        <v>3403</v>
      </c>
      <c r="B2178" s="2" t="s">
        <v>3404</v>
      </c>
      <c r="C2178" s="2" t="s">
        <v>24</v>
      </c>
      <c r="D2178" s="2" t="s">
        <v>3405</v>
      </c>
      <c r="E2178" s="2" t="s">
        <v>53</v>
      </c>
      <c r="F2178" s="11" t="s">
        <v>922</v>
      </c>
      <c r="G2178" t="s">
        <v>39</v>
      </c>
      <c r="H2178" t="s">
        <v>923</v>
      </c>
      <c r="I2178" t="s">
        <v>3427</v>
      </c>
      <c r="J2178" s="6" t="str">
        <f>HYPERLINK("https://www.biovista.com/db/link/%5B%5B%22Disease%7Cpyridoxine%20dependent%20epilepsy%22%5D,%20%5B%22Drug%7CCarnitine%22%5D%5D?strength-weight-map=%257B%2522MEDLINE_STRENGTH_AB%2522:1.0,%2522HPO%2522:100.0%257D", "Show Evidence...")</f>
        <v>Show Evidence...</v>
      </c>
    </row>
    <row r="2179" spans="1:10" ht="12.75">
      <c r="A2179" s="2" t="s">
        <v>3403</v>
      </c>
      <c r="B2179" s="2" t="s">
        <v>3404</v>
      </c>
      <c r="C2179" s="2" t="s">
        <v>24</v>
      </c>
      <c r="D2179" s="2" t="s">
        <v>3405</v>
      </c>
      <c r="E2179" s="2" t="s">
        <v>53</v>
      </c>
      <c r="F2179" s="11" t="s">
        <v>1083</v>
      </c>
      <c r="G2179" t="s">
        <v>39</v>
      </c>
      <c r="H2179" t="s">
        <v>1084</v>
      </c>
      <c r="I2179" t="s">
        <v>3427</v>
      </c>
      <c r="J2179" s="6" t="str">
        <f>HYPERLINK("https://www.biovista.com/db/link/%5B%5B%22Disease%7Cpyridoxine%20dependent%20epilepsy%22%5D,%20%5B%22Drug%7CClonazepam%22%5D%5D?strength-weight-map=%257B%2522MEDLINE_STRENGTH_AB%2522:1.0,%2522HPO%2522:100.0%257D", "Show Evidence...")</f>
        <v>Show Evidence...</v>
      </c>
    </row>
    <row r="2180" spans="1:10" ht="12.75">
      <c r="A2180" s="2" t="s">
        <v>3403</v>
      </c>
      <c r="B2180" s="2" t="s">
        <v>3404</v>
      </c>
      <c r="C2180" s="2" t="s">
        <v>24</v>
      </c>
      <c r="D2180" s="2" t="s">
        <v>3405</v>
      </c>
      <c r="E2180" s="2" t="s">
        <v>53</v>
      </c>
      <c r="F2180" s="11" t="s">
        <v>200</v>
      </c>
      <c r="G2180" t="s">
        <v>39</v>
      </c>
      <c r="H2180" t="s">
        <v>201</v>
      </c>
      <c r="I2180" t="s">
        <v>3427</v>
      </c>
      <c r="J2180" s="6" t="str">
        <f>HYPERLINK("https://www.biovista.com/db/link/%5B%5B%22Disease%7Cpyridoxine%20dependent%20epilepsy%22%5D,%20%5B%22Drug%7CDiazepam%22%5D%5D?strength-weight-map=%257B%2522MEDLINE_STRENGTH_AB%2522:1.0,%2522HPO%2522:100.0%257D", "Show Evidence...")</f>
        <v>Show Evidence...</v>
      </c>
    </row>
    <row r="2181" spans="1:10" ht="12.75">
      <c r="A2181" s="2" t="s">
        <v>3403</v>
      </c>
      <c r="B2181" s="2" t="s">
        <v>3404</v>
      </c>
      <c r="C2181" s="2" t="s">
        <v>24</v>
      </c>
      <c r="D2181" s="2" t="s">
        <v>3405</v>
      </c>
      <c r="E2181" s="2" t="s">
        <v>53</v>
      </c>
      <c r="F2181" s="11" t="s">
        <v>81</v>
      </c>
      <c r="G2181" t="s">
        <v>39</v>
      </c>
      <c r="H2181" t="s">
        <v>82</v>
      </c>
      <c r="I2181" t="s">
        <v>3427</v>
      </c>
      <c r="J2181" s="6" t="str">
        <f>HYPERLINK("https://www.biovista.com/db/link/%5B%5B%22Disease%7Cpyridoxine%20dependent%20epilepsy%22%5D,%20%5B%22Drug%7CDopamine%22%5D%5D?strength-weight-map=%257B%2522MEDLINE_STRENGTH_AB%2522:1.0,%2522HPO%2522:100.0%257D", "Show Evidence...")</f>
        <v>Show Evidence...</v>
      </c>
    </row>
    <row r="2182" spans="1:10" ht="12.75">
      <c r="A2182" s="2" t="s">
        <v>3403</v>
      </c>
      <c r="B2182" s="2" t="s">
        <v>3404</v>
      </c>
      <c r="C2182" s="2" t="s">
        <v>24</v>
      </c>
      <c r="D2182" s="2" t="s">
        <v>3405</v>
      </c>
      <c r="E2182" s="2" t="s">
        <v>53</v>
      </c>
      <c r="F2182" s="11" t="s">
        <v>180</v>
      </c>
      <c r="G2182" t="s">
        <v>39</v>
      </c>
      <c r="H2182" t="s">
        <v>181</v>
      </c>
      <c r="I2182" t="s">
        <v>3427</v>
      </c>
      <c r="J2182" s="6" t="str">
        <f>HYPERLINK("https://www.biovista.com/db/link/%5B%5B%22Disease%7Cpyridoxine%20dependent%20epilepsy%22%5D,%20%5B%22Drug%7CImmunoglobulins,%20Intravenous%22%5D%5D?strength-weight-map=%257B%2522MEDLINE_STRENGTH_AB%2522:1.0,%2522HPO%2522:100.0%257D", "Show Evidence...")</f>
        <v>Show Evidence...</v>
      </c>
    </row>
    <row r="2183" spans="1:10" ht="12.75">
      <c r="A2183" s="2" t="s">
        <v>3403</v>
      </c>
      <c r="B2183" s="2" t="s">
        <v>3404</v>
      </c>
      <c r="C2183" s="2" t="s">
        <v>24</v>
      </c>
      <c r="D2183" s="2" t="s">
        <v>3405</v>
      </c>
      <c r="E2183" s="2" t="s">
        <v>53</v>
      </c>
      <c r="F2183" s="11" t="s">
        <v>3428</v>
      </c>
      <c r="G2183" t="s">
        <v>39</v>
      </c>
      <c r="H2183" t="s">
        <v>3429</v>
      </c>
      <c r="I2183" t="s">
        <v>3427</v>
      </c>
      <c r="J2183" s="6" t="str">
        <f>HYPERLINK("https://www.biovista.com/db/link/%5B%5B%22Disease%7Cpyridoxine%20dependent%20epilepsy%22%5D,%20%5B%22Drug%7CIsoniazid%22%5D%5D?strength-weight-map=%257B%2522MEDLINE_STRENGTH_AB%2522:1.0,%2522HPO%2522:100.0%257D", "Show Evidence...")</f>
        <v>Show Evidence...</v>
      </c>
    </row>
    <row r="2184" spans="1:10" ht="12.75">
      <c r="A2184" s="2" t="s">
        <v>3403</v>
      </c>
      <c r="B2184" s="2" t="s">
        <v>3404</v>
      </c>
      <c r="C2184" s="2" t="s">
        <v>24</v>
      </c>
      <c r="D2184" s="2" t="s">
        <v>3405</v>
      </c>
      <c r="E2184" s="2" t="s">
        <v>53</v>
      </c>
      <c r="F2184" s="11" t="s">
        <v>96</v>
      </c>
      <c r="G2184" t="s">
        <v>39</v>
      </c>
      <c r="H2184" t="s">
        <v>97</v>
      </c>
      <c r="I2184" t="s">
        <v>3427</v>
      </c>
      <c r="J2184" s="6" t="str">
        <f>HYPERLINK("https://www.biovista.com/db/link/%5B%5B%22Disease%7Cpyridoxine%20dependent%20epilepsy%22%5D,%20%5B%22Drug%7CNorepinephrine%22%5D%5D?strength-weight-map=%257B%2522MEDLINE_STRENGTH_AB%2522:1.0,%2522HPO%2522:100.0%257D", "Show Evidence...")</f>
        <v>Show Evidence...</v>
      </c>
    </row>
    <row r="2185" spans="1:10" ht="12.75">
      <c r="A2185" s="2" t="s">
        <v>3403</v>
      </c>
      <c r="B2185" s="2" t="s">
        <v>3404</v>
      </c>
      <c r="C2185" s="2" t="s">
        <v>24</v>
      </c>
      <c r="D2185" s="2" t="s">
        <v>3405</v>
      </c>
      <c r="E2185" s="2" t="s">
        <v>53</v>
      </c>
      <c r="F2185" s="11" t="s">
        <v>3430</v>
      </c>
      <c r="G2185" t="s">
        <v>39</v>
      </c>
      <c r="H2185" t="s">
        <v>3431</v>
      </c>
      <c r="I2185" t="s">
        <v>3427</v>
      </c>
      <c r="J2185" s="6" t="str">
        <f>HYPERLINK("https://www.biovista.com/db/link/%5B%5B%22Disease%7Cpyridoxine%20dependent%20epilepsy%22%5D,%20%5B%22Drug%7CPenicillamine%22%5D%5D?strength-weight-map=%257B%2522MEDLINE_STRENGTH_AB%2522:1.0,%2522HPO%2522:100.0%257D", "Show Evidence...")</f>
        <v>Show Evidence...</v>
      </c>
    </row>
    <row r="2186" spans="1:10" ht="12.75">
      <c r="A2186" s="2" t="s">
        <v>3403</v>
      </c>
      <c r="B2186" s="2" t="s">
        <v>3404</v>
      </c>
      <c r="C2186" s="2" t="s">
        <v>24</v>
      </c>
      <c r="D2186" s="2" t="s">
        <v>3405</v>
      </c>
      <c r="E2186" s="2" t="s">
        <v>53</v>
      </c>
      <c r="F2186" s="11" t="s">
        <v>3432</v>
      </c>
      <c r="G2186" t="s">
        <v>39</v>
      </c>
      <c r="H2186" t="s">
        <v>3433</v>
      </c>
      <c r="I2186" t="s">
        <v>3427</v>
      </c>
      <c r="J2186" s="6" t="str">
        <f>HYPERLINK("https://www.biovista.com/db/link/%5B%5B%22Disease%7Cpyridoxine%20dependent%20epilepsy%22%5D,%20%5B%22Drug%7Cpiperidine%22%5D%5D?strength-weight-map=%257B%2522MEDLINE_STRENGTH_AB%2522:1.0,%2522HPO%2522:100.0%257D", "Show Evidence...")</f>
        <v>Show Evidence...</v>
      </c>
    </row>
    <row r="2187" spans="1:10" ht="12.75">
      <c r="A2187" s="2" t="s">
        <v>3403</v>
      </c>
      <c r="B2187" s="2" t="s">
        <v>3404</v>
      </c>
      <c r="C2187" s="2" t="s">
        <v>24</v>
      </c>
      <c r="D2187" s="2" t="s">
        <v>3405</v>
      </c>
      <c r="E2187" s="2" t="s">
        <v>53</v>
      </c>
      <c r="F2187" s="11" t="s">
        <v>1580</v>
      </c>
      <c r="G2187" t="s">
        <v>39</v>
      </c>
      <c r="H2187" t="s">
        <v>1581</v>
      </c>
      <c r="I2187" t="s">
        <v>3427</v>
      </c>
      <c r="J2187" s="6" t="str">
        <f>HYPERLINK("https://www.biovista.com/db/link/%5B%5B%22Disease%7Cpyridoxine%20dependent%20epilepsy%22%5D,%20%5B%22Drug%7Csapropterin%22%5D%5D?strength-weight-map=%257B%2522MEDLINE_STRENGTH_AB%2522:1.0,%2522HPO%2522:100.0%257D", "Show Evidence...")</f>
        <v>Show Evidence...</v>
      </c>
    </row>
    <row r="2188" spans="1:10" ht="12.75">
      <c r="A2188" s="2" t="s">
        <v>3403</v>
      </c>
      <c r="B2188" s="2" t="s">
        <v>3404</v>
      </c>
      <c r="C2188" s="2" t="s">
        <v>24</v>
      </c>
      <c r="D2188" s="2" t="s">
        <v>3405</v>
      </c>
      <c r="E2188" s="2" t="s">
        <v>53</v>
      </c>
      <c r="F2188" s="11" t="s">
        <v>72</v>
      </c>
      <c r="G2188" t="s">
        <v>39</v>
      </c>
      <c r="H2188" t="s">
        <v>73</v>
      </c>
      <c r="I2188" t="s">
        <v>3427</v>
      </c>
      <c r="J2188" s="6" t="str">
        <f>HYPERLINK("https://www.biovista.com/db/link/%5B%5B%22Disease%7Cpyridoxine%20dependent%20epilepsy%22%5D,%20%5B%22Drug%7CSerotonin%22%5D%5D?strength-weight-map=%257B%2522MEDLINE_STRENGTH_AB%2522:1.0,%2522HPO%2522:100.0%257D", "Show Evidence...")</f>
        <v>Show Evidence...</v>
      </c>
    </row>
    <row r="2189" spans="1:10" ht="12.75">
      <c r="A2189" s="2" t="s">
        <v>3403</v>
      </c>
      <c r="B2189" s="2" t="s">
        <v>3404</v>
      </c>
      <c r="C2189" s="2" t="s">
        <v>24</v>
      </c>
      <c r="D2189" s="2" t="s">
        <v>3405</v>
      </c>
      <c r="E2189" s="2" t="s">
        <v>53</v>
      </c>
      <c r="F2189" s="11" t="s">
        <v>1829</v>
      </c>
      <c r="G2189" t="s">
        <v>39</v>
      </c>
      <c r="H2189" t="s">
        <v>1830</v>
      </c>
      <c r="I2189" t="s">
        <v>3427</v>
      </c>
      <c r="J2189" s="6" t="str">
        <f>HYPERLINK("https://www.biovista.com/db/link/%5B%5B%22Disease%7Cpyridoxine%20dependent%20epilepsy%22%5D,%20%5B%22Drug%7CThiamine%22%5D%5D?strength-weight-map=%257B%2522MEDLINE_STRENGTH_AB%2522:1.0,%2522HPO%2522:100.0%257D", "Show Evidence...")</f>
        <v>Show Evidence...</v>
      </c>
    </row>
    <row r="2190" spans="1:10" ht="12.75">
      <c r="A2190" s="2" t="s">
        <v>3403</v>
      </c>
      <c r="B2190" s="2" t="s">
        <v>3404</v>
      </c>
      <c r="C2190" s="2" t="s">
        <v>24</v>
      </c>
      <c r="D2190" s="2" t="s">
        <v>3405</v>
      </c>
      <c r="E2190" s="2" t="s">
        <v>53</v>
      </c>
      <c r="F2190" s="11" t="s">
        <v>974</v>
      </c>
      <c r="G2190" t="s">
        <v>39</v>
      </c>
      <c r="H2190" t="s">
        <v>975</v>
      </c>
      <c r="I2190" t="s">
        <v>3427</v>
      </c>
      <c r="J2190" s="6" t="str">
        <f>HYPERLINK("https://www.biovista.com/db/link/%5B%5B%22Disease%7Cpyridoxine%20dependent%20epilepsy%22%5D,%20%5B%22Drug%7CVigabatrin%22%5D%5D?strength-weight-map=%257B%2522MEDLINE_STRENGTH_AB%2522:1.0,%2522HPO%2522:100.0%257D", "Show Evidence...")</f>
        <v>Show Evidence...</v>
      </c>
    </row>
    <row r="2191" spans="1:10" ht="12.75">
      <c r="A2191" s="2" t="s">
        <v>3403</v>
      </c>
      <c r="B2191" s="2" t="s">
        <v>3404</v>
      </c>
      <c r="C2191" s="2" t="s">
        <v>24</v>
      </c>
      <c r="D2191" s="2" t="s">
        <v>3405</v>
      </c>
      <c r="E2191" s="2" t="s">
        <v>53</v>
      </c>
      <c r="F2191" s="11" t="s">
        <v>3434</v>
      </c>
      <c r="G2191" t="s">
        <v>39</v>
      </c>
      <c r="H2191" t="s">
        <v>3435</v>
      </c>
      <c r="I2191" t="s">
        <v>3427</v>
      </c>
      <c r="J2191" s="6" t="str">
        <f>HYPERLINK("https://www.biovista.com/db/link/%5B%5B%22Disease%7Cpyridoxine%20dependent%20epilepsy%22%5D,%20%5B%22Drug%7CZonisamide%22%5D%5D?strength-weight-map=%257B%2522MEDLINE_STRENGTH_AB%2522:1.0,%2522HPO%2522:100.0%257D", "Show Evidence...")</f>
        <v>Show Evidence...</v>
      </c>
    </row>
    <row r="2192" spans="1:10" ht="12.75">
      <c r="A2192" s="2" t="s">
        <v>3403</v>
      </c>
      <c r="B2192" s="2" t="s">
        <v>3404</v>
      </c>
      <c r="C2192" s="2" t="s">
        <v>24</v>
      </c>
      <c r="D2192" s="2" t="s">
        <v>3405</v>
      </c>
      <c r="E2192" s="2" t="s">
        <v>53</v>
      </c>
      <c r="F2192" s="11" t="s">
        <v>1009</v>
      </c>
      <c r="G2192" t="s">
        <v>39</v>
      </c>
      <c r="H2192" t="s">
        <v>1010</v>
      </c>
      <c r="I2192" t="s">
        <v>3436</v>
      </c>
      <c r="J2192" s="6" t="str">
        <f>HYPERLINK("https://www.biovista.com/db/link/%5B%5B%22Disease%7Cpyridoxine%20dependent%20epilepsy%22%5D,%20%5B%22Drug%7C3-Hydroxyanthranilic%20Acid%22%5D%5D?strength-weight-map=%257B%2522MEDLINE_STRENGTH_AB%2522:1.0,%2522HPO%2522:100.0%257D", "Show Evidence...")</f>
        <v>Show Evidence...</v>
      </c>
    </row>
    <row r="2193" spans="1:10" ht="12.75">
      <c r="A2193" s="2" t="s">
        <v>3403</v>
      </c>
      <c r="B2193" s="2" t="s">
        <v>3404</v>
      </c>
      <c r="C2193" s="2" t="s">
        <v>24</v>
      </c>
      <c r="D2193" s="2" t="s">
        <v>3405</v>
      </c>
      <c r="E2193" s="2" t="s">
        <v>53</v>
      </c>
      <c r="F2193" s="11" t="s">
        <v>1590</v>
      </c>
      <c r="G2193" t="s">
        <v>39</v>
      </c>
      <c r="H2193" t="s">
        <v>1591</v>
      </c>
      <c r="I2193" t="s">
        <v>3436</v>
      </c>
      <c r="J2193" s="6" t="str">
        <f>HYPERLINK("https://www.biovista.com/db/link/%5B%5B%22Disease%7Cpyridoxine%20dependent%20epilepsy%22%5D,%20%5B%22Drug%7C5-Hydroxytryptophan%22%5D%5D?strength-weight-map=%257B%2522MEDLINE_STRENGTH_AB%2522:1.0,%2522HPO%2522:100.0%257D", "Show Evidence...")</f>
        <v>Show Evidence...</v>
      </c>
    </row>
    <row r="2194" spans="1:10" ht="12.75">
      <c r="A2194" s="2" t="s">
        <v>3403</v>
      </c>
      <c r="B2194" s="2" t="s">
        <v>3404</v>
      </c>
      <c r="C2194" s="2" t="s">
        <v>24</v>
      </c>
      <c r="D2194" s="2" t="s">
        <v>3405</v>
      </c>
      <c r="E2194" s="2" t="s">
        <v>53</v>
      </c>
      <c r="F2194" s="11" t="s">
        <v>3437</v>
      </c>
      <c r="G2194" t="s">
        <v>39</v>
      </c>
      <c r="H2194" t="s">
        <v>3438</v>
      </c>
      <c r="I2194" t="s">
        <v>3436</v>
      </c>
      <c r="J2194" s="6" t="str">
        <f>HYPERLINK("https://www.biovista.com/db/link/%5B%5B%22Disease%7Cpyridoxine%20dependent%20epilepsy%22%5D,%20%5B%22Drug%7CBetaine%22%5D%5D?strength-weight-map=%257B%2522MEDLINE_STRENGTH_AB%2522:1.0,%2522HPO%2522:100.0%257D", "Show Evidence...")</f>
        <v>Show Evidence...</v>
      </c>
    </row>
    <row r="2195" spans="1:10" ht="12.75">
      <c r="A2195" s="2" t="s">
        <v>3403</v>
      </c>
      <c r="B2195" s="2" t="s">
        <v>3404</v>
      </c>
      <c r="C2195" s="2" t="s">
        <v>24</v>
      </c>
      <c r="D2195" s="2" t="s">
        <v>3405</v>
      </c>
      <c r="E2195" s="2" t="s">
        <v>53</v>
      </c>
      <c r="F2195" s="11" t="s">
        <v>1899</v>
      </c>
      <c r="G2195" t="s">
        <v>39</v>
      </c>
      <c r="H2195" t="s">
        <v>1900</v>
      </c>
      <c r="I2195" t="s">
        <v>3436</v>
      </c>
      <c r="J2195" s="6" t="str">
        <f>HYPERLINK("https://www.biovista.com/db/link/%5B%5B%22Disease%7Cpyridoxine%20dependent%20epilepsy%22%5D,%20%5B%22Drug%7CBile%20Acids%20and%20Salts%22%5D%5D?strength-weight-map=%257B%2522MEDLINE_STRENGTH_AB%2522:1.0,%2522HPO%2522:100.0%257D", "Show Evidence...")</f>
        <v>Show Evidence...</v>
      </c>
    </row>
    <row r="2196" spans="1:10" ht="12.75">
      <c r="A2196" s="2" t="s">
        <v>3403</v>
      </c>
      <c r="B2196" s="2" t="s">
        <v>3404</v>
      </c>
      <c r="C2196" s="2" t="s">
        <v>24</v>
      </c>
      <c r="D2196" s="2" t="s">
        <v>3405</v>
      </c>
      <c r="E2196" s="2" t="s">
        <v>53</v>
      </c>
      <c r="F2196" s="11" t="s">
        <v>3439</v>
      </c>
      <c r="G2196" t="s">
        <v>39</v>
      </c>
      <c r="H2196" t="s">
        <v>3440</v>
      </c>
      <c r="I2196" t="s">
        <v>3436</v>
      </c>
      <c r="J2196" s="6" t="str">
        <f>HYPERLINK("https://www.biovista.com/db/link/%5B%5B%22Disease%7Cpyridoxine%20dependent%20epilepsy%22%5D,%20%5B%22Drug%7CButyric%20Acid%22%5D%5D?strength-weight-map=%257B%2522MEDLINE_STRENGTH_AB%2522:1.0,%2522HPO%2522:100.0%257D", "Show Evidence...")</f>
        <v>Show Evidence...</v>
      </c>
    </row>
    <row r="2197" spans="1:10" ht="12.75">
      <c r="A2197" s="2" t="s">
        <v>3403</v>
      </c>
      <c r="B2197" s="2" t="s">
        <v>3404</v>
      </c>
      <c r="C2197" s="2" t="s">
        <v>24</v>
      </c>
      <c r="D2197" s="2" t="s">
        <v>3405</v>
      </c>
      <c r="E2197" s="2" t="s">
        <v>53</v>
      </c>
      <c r="F2197" s="11" t="s">
        <v>155</v>
      </c>
      <c r="G2197" t="s">
        <v>39</v>
      </c>
      <c r="H2197" t="s">
        <v>156</v>
      </c>
      <c r="I2197" t="s">
        <v>3436</v>
      </c>
      <c r="J2197" s="6" t="str">
        <f>HYPERLINK("https://www.biovista.com/db/link/%5B%5B%22Disease%7Cpyridoxine%20dependent%20epilepsy%22%5D,%20%5B%22Drug%7CCholine%22%5D%5D?strength-weight-map=%257B%2522MEDLINE_STRENGTH_AB%2522:1.0,%2522HPO%2522:100.0%257D", "Show Evidence...")</f>
        <v>Show Evidence...</v>
      </c>
    </row>
    <row r="2198" spans="1:10" ht="12.75">
      <c r="A2198" s="2" t="s">
        <v>3403</v>
      </c>
      <c r="B2198" s="2" t="s">
        <v>3404</v>
      </c>
      <c r="C2198" s="2" t="s">
        <v>24</v>
      </c>
      <c r="D2198" s="2" t="s">
        <v>3405</v>
      </c>
      <c r="E2198" s="2" t="s">
        <v>53</v>
      </c>
      <c r="F2198" s="11" t="s">
        <v>3441</v>
      </c>
      <c r="G2198" t="s">
        <v>39</v>
      </c>
      <c r="H2198" t="s">
        <v>3442</v>
      </c>
      <c r="I2198" t="s">
        <v>3436</v>
      </c>
      <c r="J2198" s="6" t="str">
        <f>HYPERLINK("https://www.biovista.com/db/link/%5B%5B%22Disease%7Cpyridoxine%20dependent%20epilepsy%22%5D,%20%5B%22Drug%7CClobazam%22%5D%5D?strength-weight-map=%257B%2522MEDLINE_STRENGTH_AB%2522:1.0,%2522HPO%2522:100.0%257D", "Show Evidence...")</f>
        <v>Show Evidence...</v>
      </c>
    </row>
    <row r="2199" spans="1:10" ht="12.75">
      <c r="A2199" s="2" t="s">
        <v>3403</v>
      </c>
      <c r="B2199" s="2" t="s">
        <v>3404</v>
      </c>
      <c r="C2199" s="2" t="s">
        <v>24</v>
      </c>
      <c r="D2199" s="2" t="s">
        <v>3405</v>
      </c>
      <c r="E2199" s="2" t="s">
        <v>53</v>
      </c>
      <c r="F2199" s="11" t="s">
        <v>178</v>
      </c>
      <c r="G2199" t="s">
        <v>39</v>
      </c>
      <c r="H2199" t="s">
        <v>179</v>
      </c>
      <c r="I2199" t="s">
        <v>3436</v>
      </c>
      <c r="J2199" s="6" t="str">
        <f>HYPERLINK("https://www.biovista.com/db/link/%5B%5B%22Disease%7Cpyridoxine%20dependent%20epilepsy%22%5D,%20%5B%22Drug%7CEpinephrine%22%5D%5D?strength-weight-map=%257B%2522MEDLINE_STRENGTH_AB%2522:1.0,%2522HPO%2522:100.0%257D", "Show Evidence...")</f>
        <v>Show Evidence...</v>
      </c>
    </row>
    <row r="2200" spans="1:10" ht="12.75">
      <c r="A2200" s="2" t="s">
        <v>3403</v>
      </c>
      <c r="B2200" s="2" t="s">
        <v>3404</v>
      </c>
      <c r="C2200" s="2" t="s">
        <v>24</v>
      </c>
      <c r="D2200" s="2" t="s">
        <v>3405</v>
      </c>
      <c r="E2200" s="2" t="s">
        <v>53</v>
      </c>
      <c r="F2200" s="11" t="s">
        <v>3443</v>
      </c>
      <c r="G2200" t="s">
        <v>39</v>
      </c>
      <c r="H2200" t="s">
        <v>3444</v>
      </c>
      <c r="I2200" t="s">
        <v>3436</v>
      </c>
      <c r="J2200" s="6" t="str">
        <f>HYPERLINK("https://www.biovista.com/db/link/%5B%5B%22Disease%7Cpyridoxine%20dependent%20epilepsy%22%5D,%20%5B%22Drug%7CFelbamate%22%5D%5D?strength-weight-map=%257B%2522MEDLINE_STRENGTH_AB%2522:1.0,%2522HPO%2522:100.0%257D", "Show Evidence...")</f>
        <v>Show Evidence...</v>
      </c>
    </row>
    <row r="2201" spans="1:10" ht="12.75">
      <c r="A2201" s="2" t="s">
        <v>3403</v>
      </c>
      <c r="B2201" s="2" t="s">
        <v>3404</v>
      </c>
      <c r="C2201" s="2" t="s">
        <v>24</v>
      </c>
      <c r="D2201" s="2" t="s">
        <v>3405</v>
      </c>
      <c r="E2201" s="2" t="s">
        <v>53</v>
      </c>
      <c r="F2201" s="11" t="s">
        <v>3445</v>
      </c>
      <c r="G2201" t="s">
        <v>39</v>
      </c>
      <c r="H2201" t="s">
        <v>3446</v>
      </c>
      <c r="I2201" t="s">
        <v>3436</v>
      </c>
      <c r="J2201" s="6" t="str">
        <f>HYPERLINK("https://www.biovista.com/db/link/%5B%5B%22Disease%7Cpyridoxine%20dependent%20epilepsy%22%5D,%20%5B%22Drug%7Cganaxolone%22%5D%5D?strength-weight-map=%257B%2522MEDLINE_STRENGTH_AB%2522:1.0,%2522HPO%2522:100.0%257D", "Show Evidence...")</f>
        <v>Show Evidence...</v>
      </c>
    </row>
    <row r="2202" spans="1:10" ht="12.75">
      <c r="A2202" s="2" t="s">
        <v>3403</v>
      </c>
      <c r="B2202" s="2" t="s">
        <v>3404</v>
      </c>
      <c r="C2202" s="2" t="s">
        <v>24</v>
      </c>
      <c r="D2202" s="2" t="s">
        <v>3405</v>
      </c>
      <c r="E2202" s="2" t="s">
        <v>53</v>
      </c>
      <c r="F2202" s="11" t="s">
        <v>1034</v>
      </c>
      <c r="G2202" t="s">
        <v>39</v>
      </c>
      <c r="H2202" t="s">
        <v>1035</v>
      </c>
      <c r="I2202" t="s">
        <v>3436</v>
      </c>
      <c r="J2202" s="6" t="str">
        <f>HYPERLINK("https://www.biovista.com/db/link/%5B%5B%22Disease%7Cpyridoxine%20dependent%20epilepsy%22%5D,%20%5B%22Drug%7CInositol%22%5D%5D?strength-weight-map=%257B%2522MEDLINE_STRENGTH_AB%2522:1.0,%2522HPO%2522:100.0%257D", "Show Evidence...")</f>
        <v>Show Evidence...</v>
      </c>
    </row>
    <row r="2203" spans="1:10" ht="12.75">
      <c r="A2203" s="2" t="s">
        <v>3403</v>
      </c>
      <c r="B2203" s="2" t="s">
        <v>3404</v>
      </c>
      <c r="C2203" s="2" t="s">
        <v>24</v>
      </c>
      <c r="D2203" s="2" t="s">
        <v>3405</v>
      </c>
      <c r="E2203" s="2" t="s">
        <v>53</v>
      </c>
      <c r="F2203" s="11" t="s">
        <v>3447</v>
      </c>
      <c r="G2203" t="s">
        <v>39</v>
      </c>
      <c r="H2203" t="s">
        <v>3448</v>
      </c>
      <c r="I2203" t="s">
        <v>3436</v>
      </c>
      <c r="J2203" s="6" t="s">
        <v>3449</v>
      </c>
    </row>
    <row r="2204" spans="1:10" ht="12.75">
      <c r="A2204" s="2" t="s">
        <v>3403</v>
      </c>
      <c r="B2204" s="2" t="s">
        <v>3404</v>
      </c>
      <c r="C2204" s="2" t="s">
        <v>24</v>
      </c>
      <c r="D2204" s="2" t="s">
        <v>3405</v>
      </c>
      <c r="E2204" s="2" t="s">
        <v>53</v>
      </c>
      <c r="F2204" s="11" t="s">
        <v>138</v>
      </c>
      <c r="G2204" t="s">
        <v>39</v>
      </c>
      <c r="H2204" t="s">
        <v>139</v>
      </c>
      <c r="I2204" t="s">
        <v>3436</v>
      </c>
      <c r="J2204" s="6" t="str">
        <f>HYPERLINK("https://www.biovista.com/db/link/%5B%5B%22Disease%7Cpyridoxine%20dependent%20epilepsy%22%5D,%20%5B%22Drug%7CLactic%20Acid%22%5D%5D?strength-weight-map=%257B%2522MEDLINE_STRENGTH_AB%2522:1.0,%2522HPO%2522:100.0%257D", "Show Evidence...")</f>
        <v>Show Evidence...</v>
      </c>
    </row>
    <row r="2205" spans="1:10" ht="12.75">
      <c r="A2205" s="2" t="s">
        <v>3403</v>
      </c>
      <c r="B2205" s="2" t="s">
        <v>3404</v>
      </c>
      <c r="C2205" s="2" t="s">
        <v>24</v>
      </c>
      <c r="D2205" s="2" t="s">
        <v>3405</v>
      </c>
      <c r="E2205" s="2" t="s">
        <v>53</v>
      </c>
      <c r="F2205" s="11" t="s">
        <v>1091</v>
      </c>
      <c r="G2205" t="s">
        <v>39</v>
      </c>
      <c r="H2205" t="s">
        <v>1092</v>
      </c>
      <c r="I2205" t="s">
        <v>3436</v>
      </c>
      <c r="J2205" s="6" t="str">
        <f>HYPERLINK("https://www.biovista.com/db/link/%5B%5B%22Disease%7Cpyridoxine%20dependent%20epilepsy%22%5D,%20%5B%22Drug%7CLamotrigine%22%5D%5D?strength-weight-map=%257B%2522MEDLINE_STRENGTH_AB%2522:1.0,%2522HPO%2522:100.0%257D", "Show Evidence...")</f>
        <v>Show Evidence...</v>
      </c>
    </row>
    <row r="2206" spans="1:10" ht="12.75">
      <c r="A2206" s="2" t="s">
        <v>3403</v>
      </c>
      <c r="B2206" s="2" t="s">
        <v>3404</v>
      </c>
      <c r="C2206" s="2" t="s">
        <v>24</v>
      </c>
      <c r="D2206" s="2" t="s">
        <v>3405</v>
      </c>
      <c r="E2206" s="2" t="s">
        <v>53</v>
      </c>
      <c r="F2206" s="11" t="s">
        <v>3450</v>
      </c>
      <c r="G2206" t="s">
        <v>39</v>
      </c>
      <c r="H2206" t="s">
        <v>3451</v>
      </c>
      <c r="I2206" t="s">
        <v>3436</v>
      </c>
      <c r="J2206" s="6" t="str">
        <f>HYPERLINK("https://www.biovista.com/db/link/%5B%5B%22Disease%7Cpyridoxine%20dependent%20epilepsy%22%5D,%20%5B%22Drug%7CM23%20urokinase%22%5D%5D?strength-weight-map=%257B%2522MEDLINE_STRENGTH_AB%2522:1.0,%2522HPO%2522:100.0%257D", "Show Evidence...")</f>
        <v>Show Evidence...</v>
      </c>
    </row>
    <row r="2207" spans="1:10" ht="12.75">
      <c r="A2207" s="2" t="s">
        <v>3403</v>
      </c>
      <c r="B2207" s="2" t="s">
        <v>3404</v>
      </c>
      <c r="C2207" s="2" t="s">
        <v>24</v>
      </c>
      <c r="D2207" s="2" t="s">
        <v>3405</v>
      </c>
      <c r="E2207" s="2" t="s">
        <v>53</v>
      </c>
      <c r="F2207" s="11" t="s">
        <v>198</v>
      </c>
      <c r="G2207" t="s">
        <v>39</v>
      </c>
      <c r="H2207" t="s">
        <v>199</v>
      </c>
      <c r="I2207" t="s">
        <v>3436</v>
      </c>
      <c r="J2207" s="6" t="str">
        <f>HYPERLINK("https://www.biovista.com/db/link/%5B%5B%22Disease%7Cpyridoxine%20dependent%20epilepsy%22%5D,%20%5B%22Drug%7CMelatonin%22%5D%5D?strength-weight-map=%257B%2522MEDLINE_STRENGTH_AB%2522:1.0,%2522HPO%2522:100.0%257D", "Show Evidence...")</f>
        <v>Show Evidence...</v>
      </c>
    </row>
    <row r="2208" spans="1:10" ht="12.75">
      <c r="A2208" s="2" t="s">
        <v>3403</v>
      </c>
      <c r="B2208" s="2" t="s">
        <v>3404</v>
      </c>
      <c r="C2208" s="2" t="s">
        <v>24</v>
      </c>
      <c r="D2208" s="2" t="s">
        <v>3405</v>
      </c>
      <c r="E2208" s="2" t="s">
        <v>53</v>
      </c>
      <c r="F2208" s="11" t="s">
        <v>3452</v>
      </c>
      <c r="G2208" t="s">
        <v>39</v>
      </c>
      <c r="H2208" t="s">
        <v>3453</v>
      </c>
      <c r="I2208" t="s">
        <v>3436</v>
      </c>
      <c r="J2208" s="6" t="str">
        <f>HYPERLINK("https://www.biovista.com/db/link/%5B%5B%22Disease%7Cpyridoxine%20dependent%20epilepsy%22%5D,%20%5B%22Drug%7CMeperidine%22%5D%5D?strength-weight-map=%257B%2522MEDLINE_STRENGTH_AB%2522:1.0,%2522HPO%2522:100.0%257D", "Show Evidence...")</f>
        <v>Show Evidence...</v>
      </c>
    </row>
    <row r="2209" spans="1:10" ht="12.75">
      <c r="A2209" s="2" t="s">
        <v>3403</v>
      </c>
      <c r="B2209" s="2" t="s">
        <v>3404</v>
      </c>
      <c r="C2209" s="2" t="s">
        <v>24</v>
      </c>
      <c r="D2209" s="2" t="s">
        <v>3405</v>
      </c>
      <c r="E2209" s="2" t="s">
        <v>53</v>
      </c>
      <c r="F2209" s="11" t="s">
        <v>3454</v>
      </c>
      <c r="G2209" t="s">
        <v>39</v>
      </c>
      <c r="H2209" t="s">
        <v>3455</v>
      </c>
      <c r="I2209" t="s">
        <v>3436</v>
      </c>
      <c r="J2209" s="6" t="str">
        <f>HYPERLINK("https://www.biovista.com/db/link/%5B%5B%22Disease%7Cpyridoxine%20dependent%20epilepsy%22%5D,%20%5B%22Drug%7CMidazolam%22%5D%5D?strength-weight-map=%257B%2522MEDLINE_STRENGTH_AB%2522:1.0,%2522HPO%2522:100.0%257D", "Show Evidence...")</f>
        <v>Show Evidence...</v>
      </c>
    </row>
    <row r="2210" spans="1:10" ht="12.75">
      <c r="A2210" s="2" t="s">
        <v>3403</v>
      </c>
      <c r="B2210" s="2" t="s">
        <v>3404</v>
      </c>
      <c r="C2210" s="2" t="s">
        <v>24</v>
      </c>
      <c r="D2210" s="2" t="s">
        <v>3405</v>
      </c>
      <c r="E2210" s="2" t="s">
        <v>53</v>
      </c>
      <c r="F2210" s="11" t="s">
        <v>3456</v>
      </c>
      <c r="G2210" t="s">
        <v>39</v>
      </c>
      <c r="H2210" t="s">
        <v>3457</v>
      </c>
      <c r="I2210" t="s">
        <v>3436</v>
      </c>
      <c r="J2210" s="6" t="str">
        <f>HYPERLINK("https://www.biovista.com/db/link/%5B%5B%22Disease%7Cpyridoxine%20dependent%20epilepsy%22%5D,%20%5B%22Drug%7CNitrazepam%22%5D%5D?strength-weight-map=%257B%2522MEDLINE_STRENGTH_AB%2522:1.0,%2522HPO%2522:100.0%257D", "Show Evidence...")</f>
        <v>Show Evidence...</v>
      </c>
    </row>
    <row r="2211" spans="1:10" ht="12.75">
      <c r="A2211" s="2" t="s">
        <v>3403</v>
      </c>
      <c r="B2211" s="2" t="s">
        <v>3404</v>
      </c>
      <c r="C2211" s="2" t="s">
        <v>24</v>
      </c>
      <c r="D2211" s="2" t="s">
        <v>3405</v>
      </c>
      <c r="E2211" s="2" t="s">
        <v>53</v>
      </c>
      <c r="F2211" s="11" t="s">
        <v>3458</v>
      </c>
      <c r="G2211" t="s">
        <v>39</v>
      </c>
      <c r="H2211" t="s">
        <v>3459</v>
      </c>
      <c r="I2211" t="s">
        <v>3436</v>
      </c>
      <c r="J2211" s="6" t="str">
        <f>HYPERLINK("https://www.biovista.com/db/link/%5B%5B%22Disease%7Cpyridoxine%20dependent%20epilepsy%22%5D,%20%5B%22Drug%7Cnulibry%22%5D%5D?strength-weight-map=%257B%2522MEDLINE_STRENGTH_AB%2522:1.0,%2522HPO%2522:100.0%257D", "Show Evidence...")</f>
        <v>Show Evidence...</v>
      </c>
    </row>
    <row r="2212" spans="1:10" ht="12.75">
      <c r="A2212" s="2" t="s">
        <v>3403</v>
      </c>
      <c r="B2212" s="2" t="s">
        <v>3404</v>
      </c>
      <c r="C2212" s="2" t="s">
        <v>24</v>
      </c>
      <c r="D2212" s="2" t="s">
        <v>3405</v>
      </c>
      <c r="E2212" s="2" t="s">
        <v>53</v>
      </c>
      <c r="F2212" s="11" t="s">
        <v>3460</v>
      </c>
      <c r="G2212" t="s">
        <v>39</v>
      </c>
      <c r="H2212" t="s">
        <v>3461</v>
      </c>
      <c r="I2212" t="s">
        <v>3436</v>
      </c>
      <c r="J2212" s="6" t="str">
        <f>HYPERLINK("https://www.biovista.com/db/link/%5B%5B%22Disease%7Cpyridoxine%20dependent%20epilepsy%22%5D,%20%5B%22Drug%7COxcarbazepine%22%5D%5D?strength-weight-map=%257B%2522MEDLINE_STRENGTH_AB%2522:1.0,%2522HPO%2522:100.0%257D", "Show Evidence...")</f>
        <v>Show Evidence...</v>
      </c>
    </row>
    <row r="2213" spans="1:10" ht="12.75">
      <c r="A2213" s="2" t="s">
        <v>3403</v>
      </c>
      <c r="B2213" s="2" t="s">
        <v>3404</v>
      </c>
      <c r="C2213" s="2" t="s">
        <v>24</v>
      </c>
      <c r="D2213" s="2" t="s">
        <v>3405</v>
      </c>
      <c r="E2213" s="2" t="s">
        <v>53</v>
      </c>
      <c r="F2213" s="11" t="s">
        <v>997</v>
      </c>
      <c r="G2213" t="s">
        <v>39</v>
      </c>
      <c r="H2213" t="s">
        <v>998</v>
      </c>
      <c r="I2213" t="s">
        <v>3436</v>
      </c>
      <c r="J2213" s="6" t="str">
        <f>HYPERLINK("https://www.biovista.com/db/link/%5B%5B%22Disease%7Cpyridoxine%20dependent%20epilepsy%22%5D,%20%5B%22Drug%7CPentylenetetrazole%22%5D%5D?strength-weight-map=%257B%2522MEDLINE_STRENGTH_AB%2522:1.0,%2522HPO%2522:100.0%257D", "Show Evidence...")</f>
        <v>Show Evidence...</v>
      </c>
    </row>
    <row r="2214" spans="1:10" ht="12.75">
      <c r="A2214" s="2" t="s">
        <v>3403</v>
      </c>
      <c r="B2214" s="2" t="s">
        <v>3404</v>
      </c>
      <c r="C2214" s="2" t="s">
        <v>24</v>
      </c>
      <c r="D2214" s="2" t="s">
        <v>3405</v>
      </c>
      <c r="E2214" s="2" t="s">
        <v>53</v>
      </c>
      <c r="F2214" s="11" t="s">
        <v>947</v>
      </c>
      <c r="G2214" t="s">
        <v>39</v>
      </c>
      <c r="H2214" t="s">
        <v>948</v>
      </c>
      <c r="I2214" t="s">
        <v>3436</v>
      </c>
      <c r="J2214" s="6" t="str">
        <f>HYPERLINK("https://www.biovista.com/db/link/%5B%5B%22Disease%7Cpyridoxine%20dependent%20epilepsy%22%5D,%20%5B%22Drug%7CPhosphocreatine%22%5D%5D?strength-weight-map=%257B%2522MEDLINE_STRENGTH_AB%2522:1.0,%2522HPO%2522:100.0%257D", "Show Evidence...")</f>
        <v>Show Evidence...</v>
      </c>
    </row>
    <row r="2215" spans="1:10" ht="12.75">
      <c r="A2215" s="2" t="s">
        <v>3403</v>
      </c>
      <c r="B2215" s="2" t="s">
        <v>3404</v>
      </c>
      <c r="C2215" s="2" t="s">
        <v>24</v>
      </c>
      <c r="D2215" s="2" t="s">
        <v>3405</v>
      </c>
      <c r="E2215" s="2" t="s">
        <v>53</v>
      </c>
      <c r="F2215" s="11" t="s">
        <v>3462</v>
      </c>
      <c r="G2215" t="s">
        <v>39</v>
      </c>
      <c r="H2215" t="s">
        <v>3463</v>
      </c>
      <c r="I2215" t="s">
        <v>3436</v>
      </c>
      <c r="J2215" s="6" t="str">
        <f>HYPERLINK("https://www.biovista.com/db/link/%5B%5B%22Disease%7Cpyridoxine%20dependent%20epilepsy%22%5D,%20%5B%22Drug%7CPhysostigmine%22%5D%5D?strength-weight-map=%257B%2522MEDLINE_STRENGTH_AB%2522:1.0,%2522HPO%2522:100.0%257D", "Show Evidence...")</f>
        <v>Show Evidence...</v>
      </c>
    </row>
    <row r="2216" spans="1:10" ht="12.75">
      <c r="A2216" s="2" t="s">
        <v>3403</v>
      </c>
      <c r="B2216" s="2" t="s">
        <v>3404</v>
      </c>
      <c r="C2216" s="2" t="s">
        <v>24</v>
      </c>
      <c r="D2216" s="2" t="s">
        <v>3405</v>
      </c>
      <c r="E2216" s="2" t="s">
        <v>53</v>
      </c>
      <c r="F2216" s="11" t="s">
        <v>3464</v>
      </c>
      <c r="G2216" t="s">
        <v>39</v>
      </c>
      <c r="H2216" t="s">
        <v>3465</v>
      </c>
      <c r="I2216" t="s">
        <v>3436</v>
      </c>
      <c r="J2216" s="6" t="str">
        <f>HYPERLINK("https://www.biovista.com/db/link/%5B%5B%22Disease%7Cpyridoxine%20dependent%20epilepsy%22%5D,%20%5B%22Drug%7Cpicolinic%20acid%22%5D%5D?strength-weight-map=%257B%2522MEDLINE_STRENGTH_AB%2522:1.0,%2522HPO%2522:100.0%257D", "Show Evidence...")</f>
        <v>Show Evidence...</v>
      </c>
    </row>
    <row r="2217" spans="1:10" ht="12.75">
      <c r="A2217" s="2" t="s">
        <v>3403</v>
      </c>
      <c r="B2217" s="2" t="s">
        <v>3404</v>
      </c>
      <c r="C2217" s="2" t="s">
        <v>24</v>
      </c>
      <c r="D2217" s="2" t="s">
        <v>3405</v>
      </c>
      <c r="E2217" s="2" t="s">
        <v>53</v>
      </c>
      <c r="F2217" s="11" t="s">
        <v>133</v>
      </c>
      <c r="G2217" t="s">
        <v>39</v>
      </c>
      <c r="H2217" t="s">
        <v>134</v>
      </c>
      <c r="I2217" t="s">
        <v>3436</v>
      </c>
      <c r="J2217" s="6" t="str">
        <f>HYPERLINK("https://www.biovista.com/db/link/%5B%5B%22Disease%7Cpyridoxine%20dependent%20epilepsy%22%5D,%20%5B%22Drug%7CQuinidine%22%5D%5D?strength-weight-map=%257B%2522MEDLINE_STRENGTH_AB%2522:1.0,%2522HPO%2522:100.0%257D", "Show Evidence...")</f>
        <v>Show Evidence...</v>
      </c>
    </row>
    <row r="2218" spans="1:10" ht="12.75">
      <c r="A2218" s="2" t="s">
        <v>3403</v>
      </c>
      <c r="B2218" s="2" t="s">
        <v>3404</v>
      </c>
      <c r="C2218" s="2" t="s">
        <v>24</v>
      </c>
      <c r="D2218" s="2" t="s">
        <v>3405</v>
      </c>
      <c r="E2218" s="2" t="s">
        <v>53</v>
      </c>
      <c r="F2218" s="11" t="s">
        <v>3466</v>
      </c>
      <c r="G2218" t="s">
        <v>39</v>
      </c>
      <c r="H2218" t="s">
        <v>3467</v>
      </c>
      <c r="I2218" t="s">
        <v>3436</v>
      </c>
      <c r="J2218" s="6" t="str">
        <f>HYPERLINK("https://www.biovista.com/db/link/%5B%5B%22Disease%7Cpyridoxine%20dependent%20epilepsy%22%5D,%20%5B%22Drug%7CReserpine%22%5D%5D?strength-weight-map=%257B%2522MEDLINE_STRENGTH_AB%2522:1.0,%2522HPO%2522:100.0%257D", "Show Evidence...")</f>
        <v>Show Evidence...</v>
      </c>
    </row>
    <row r="2219" spans="1:10" ht="12.75">
      <c r="A2219" s="2" t="s">
        <v>3403</v>
      </c>
      <c r="B2219" s="2" t="s">
        <v>3404</v>
      </c>
      <c r="C2219" s="2" t="s">
        <v>24</v>
      </c>
      <c r="D2219" s="2" t="s">
        <v>3405</v>
      </c>
      <c r="E2219" s="2" t="s">
        <v>53</v>
      </c>
      <c r="F2219" s="11" t="s">
        <v>3468</v>
      </c>
      <c r="G2219" t="s">
        <v>39</v>
      </c>
      <c r="H2219" t="s">
        <v>3469</v>
      </c>
      <c r="I2219" t="s">
        <v>3436</v>
      </c>
      <c r="J2219" s="6" t="str">
        <f>HYPERLINK("https://www.biovista.com/db/link/%5B%5B%22Disease%7Cpyridoxine%20dependent%20epilepsy%22%5D,%20%5B%22Drug%7CSodium%20Oxybate%22%5D%5D?strength-weight-map=%257B%2522MEDLINE_STRENGTH_AB%2522:1.0,%2522HPO%2522:100.0%257D", "Show Evidence...")</f>
        <v>Show Evidence...</v>
      </c>
    </row>
    <row r="2220" spans="1:10" ht="12.75">
      <c r="A2220" s="2" t="s">
        <v>3403</v>
      </c>
      <c r="B2220" s="2" t="s">
        <v>3404</v>
      </c>
      <c r="C2220" s="2" t="s">
        <v>24</v>
      </c>
      <c r="D2220" s="2" t="s">
        <v>3405</v>
      </c>
      <c r="E2220" s="2" t="s">
        <v>53</v>
      </c>
      <c r="F2220" s="11" t="s">
        <v>3470</v>
      </c>
      <c r="G2220" t="s">
        <v>39</v>
      </c>
      <c r="H2220" t="s">
        <v>3471</v>
      </c>
      <c r="I2220" t="s">
        <v>3436</v>
      </c>
      <c r="J2220" s="6" t="str">
        <f>HYPERLINK("https://www.biovista.com/db/link/%5B%5B%22Disease%7Cpyridoxine%20dependent%20epilepsy%22%5D,%20%5B%22Drug%7CTetrabenazine%22%5D%5D?strength-weight-map=%257B%2522MEDLINE_STRENGTH_AB%2522:1.0,%2522HPO%2522:100.0%257D", "Show Evidence...")</f>
        <v>Show Evidence...</v>
      </c>
    </row>
    <row r="2221" spans="1:10" ht="12.75">
      <c r="A2221" s="2" t="s">
        <v>3403</v>
      </c>
      <c r="B2221" s="2" t="s">
        <v>3404</v>
      </c>
      <c r="C2221" s="2" t="s">
        <v>24</v>
      </c>
      <c r="D2221" s="2" t="s">
        <v>3405</v>
      </c>
      <c r="E2221" s="2" t="s">
        <v>53</v>
      </c>
      <c r="F2221" s="11" t="s">
        <v>2447</v>
      </c>
      <c r="G2221" t="s">
        <v>39</v>
      </c>
      <c r="H2221" t="s">
        <v>2448</v>
      </c>
      <c r="I2221" t="s">
        <v>3436</v>
      </c>
      <c r="J2221" s="6" t="str">
        <f>HYPERLINK("https://www.biovista.com/db/link/%5B%5B%22Disease%7Cpyridoxine%20dependent%20epilepsy%22%5D,%20%5B%22Drug%7CThyrotropin-Releasing%20Hormone%22%5D%5D?strength-weight-map=%257B%2522MEDLINE_STRENGTH_AB%2522:1.0,%2522HPO%2522:100.0%257D", "Show Evidence...")</f>
        <v>Show Evidence...</v>
      </c>
    </row>
    <row r="2222" spans="1:10" ht="12.75">
      <c r="A2222" s="2" t="s">
        <v>3403</v>
      </c>
      <c r="B2222" s="2" t="s">
        <v>3404</v>
      </c>
      <c r="C2222" s="2" t="s">
        <v>24</v>
      </c>
      <c r="D2222" s="2" t="s">
        <v>3405</v>
      </c>
      <c r="E2222" s="2" t="s">
        <v>53</v>
      </c>
      <c r="F2222" s="11" t="s">
        <v>3472</v>
      </c>
      <c r="G2222" t="s">
        <v>39</v>
      </c>
      <c r="H2222" t="s">
        <v>3473</v>
      </c>
      <c r="I2222" t="s">
        <v>3436</v>
      </c>
      <c r="J2222" s="6" t="str">
        <f>HYPERLINK("https://www.biovista.com/db/link/%5B%5B%22Disease%7Cpyridoxine%20dependent%20epilepsy%22%5D,%20%5B%22Drug%7CTopiramate%22%5D%5D?strength-weight-map=%257B%2522MEDLINE_STRENGTH_AB%2522:1.0,%2522HPO%2522:100.0%257D", "Show Evidence...")</f>
        <v>Show Evidence...</v>
      </c>
    </row>
    <row r="2223" spans="1:10" ht="12.75">
      <c r="A2223" s="2" t="s">
        <v>3403</v>
      </c>
      <c r="B2223" s="2" t="s">
        <v>3404</v>
      </c>
      <c r="C2223" s="2" t="s">
        <v>24</v>
      </c>
      <c r="D2223" s="2" t="s">
        <v>3405</v>
      </c>
      <c r="E2223" s="2" t="s">
        <v>53</v>
      </c>
      <c r="F2223" s="11" t="s">
        <v>3474</v>
      </c>
      <c r="G2223" t="s">
        <v>39</v>
      </c>
      <c r="H2223" t="s">
        <v>3475</v>
      </c>
      <c r="I2223" t="s">
        <v>3436</v>
      </c>
      <c r="J2223" s="6" t="str">
        <f>HYPERLINK("https://www.biovista.com/db/link/%5B%5B%22Disease%7Cpyridoxine%20dependent%20epilepsy%22%5D,%20%5B%22Drug%7CTretinoin%22%5D%5D?strength-weight-map=%257B%2522MEDLINE_STRENGTH_AB%2522:1.0,%2522HPO%2522:100.0%257D", "Show Evidence...")</f>
        <v>Show Evidence...</v>
      </c>
    </row>
    <row r="2224" spans="1:10" ht="12.75">
      <c r="A2224" s="2" t="s">
        <v>3403</v>
      </c>
      <c r="B2224" s="2" t="s">
        <v>3404</v>
      </c>
      <c r="C2224" s="2" t="s">
        <v>24</v>
      </c>
      <c r="D2224" s="2" t="s">
        <v>3405</v>
      </c>
      <c r="E2224" s="2" t="s">
        <v>293</v>
      </c>
      <c r="F2224" s="11">
        <v>501</v>
      </c>
      <c r="G2224" t="s">
        <v>36</v>
      </c>
      <c r="H2224" t="s">
        <v>1200</v>
      </c>
      <c r="I2224" t="s">
        <v>3476</v>
      </c>
      <c r="J2224" s="6" t="str">
        <f>HYPERLINK("https://www.biovista.com/db/link/%5B%5B%22Disease%7Cpyridoxine%20dependent%20epilepsy%22%5D,%20%5B%22Gene%7CALDH7A1%22%5D%5D?strength-weight-map=%257B%2522MEDLINE_STRENGTH_AB%2522:1.0,%2522HPO%2522:100.0%257D", "Show Evidence...")</f>
        <v>Show Evidence...</v>
      </c>
    </row>
    <row r="2225" spans="1:10" ht="12.75">
      <c r="A2225" s="2" t="s">
        <v>3403</v>
      </c>
      <c r="B2225" s="2" t="s">
        <v>3404</v>
      </c>
      <c r="C2225" s="2" t="s">
        <v>24</v>
      </c>
      <c r="D2225" s="2" t="s">
        <v>3405</v>
      </c>
      <c r="E2225" s="2" t="s">
        <v>293</v>
      </c>
      <c r="F2225" s="11">
        <v>11212</v>
      </c>
      <c r="G2225" t="s">
        <v>36</v>
      </c>
      <c r="H2225" t="s">
        <v>3477</v>
      </c>
      <c r="I2225" t="s">
        <v>3478</v>
      </c>
      <c r="J2225" s="6" t="str">
        <f>HYPERLINK("https://www.biovista.com/db/link/%5B%5B%22Disease%7Cpyridoxine%20dependent%20epilepsy%22%5D,%20%5B%22Gene%7CPLPBP%22%5D%5D?strength-weight-map=%257B%2522MEDLINE_STRENGTH_AB%2522:1.0,%2522HPO%2522:100.0%257D", "Show Evidence...")</f>
        <v>Show Evidence...</v>
      </c>
    </row>
    <row r="2226" spans="1:10" ht="12.75">
      <c r="A2226" s="2" t="s">
        <v>3403</v>
      </c>
      <c r="B2226" s="2" t="s">
        <v>3404</v>
      </c>
      <c r="C2226" s="2" t="s">
        <v>24</v>
      </c>
      <c r="D2226" s="2" t="s">
        <v>3405</v>
      </c>
      <c r="E2226" s="2" t="s">
        <v>293</v>
      </c>
      <c r="F2226" s="11">
        <v>72448059</v>
      </c>
      <c r="G2226" t="s">
        <v>36</v>
      </c>
      <c r="H2226" t="s">
        <v>3479</v>
      </c>
      <c r="I2226" t="s">
        <v>3480</v>
      </c>
      <c r="J2226" s="6" t="str">
        <f>HYPERLINK("https://www.biovista.com/db/link/%5B%5B%22Disease%7Cpyridoxine%20dependent%20epilepsy%22%5D,%20%5B%22Gene%7Caldehyde%20dehydrogenase%22%5D%5D?strength-weight-map=%257B%2522MEDLINE_STRENGTH_AB%2522:1.0,%2522HPO%2522:100.0%257D", "Show Evidence...")</f>
        <v>Show Evidence...</v>
      </c>
    </row>
    <row r="2227" spans="1:10" ht="12.75">
      <c r="A2227" s="2" t="s">
        <v>3403</v>
      </c>
      <c r="B2227" s="2" t="s">
        <v>3404</v>
      </c>
      <c r="C2227" s="2" t="s">
        <v>24</v>
      </c>
      <c r="D2227" s="2" t="s">
        <v>3405</v>
      </c>
      <c r="E2227" s="2" t="s">
        <v>293</v>
      </c>
      <c r="F2227" s="11">
        <v>501</v>
      </c>
      <c r="G2227" t="s">
        <v>36</v>
      </c>
      <c r="H2227" t="s">
        <v>3481</v>
      </c>
      <c r="I2227" t="s">
        <v>3482</v>
      </c>
      <c r="J2227" s="6" t="str">
        <f>HYPERLINK("https://www.biovista.com/db/link/%5B%5B%22Disease%7Cpyridoxine%20dependent%20epilepsy%22%5D,%20%5B%22Gene%7Calpha-aminoadipic%20semialdehyde%20dehydrogenase%22%5D%5D?strength-weight-map=%257B%2522MEDLINE_STRENGTH_AB%2522:1.0,%2522HPO%2522:100.0%257D", "Show Evidence...")</f>
        <v>Show Evidence...</v>
      </c>
    </row>
    <row r="2228" spans="1:10" ht="12.75">
      <c r="A2228" s="2" t="s">
        <v>3403</v>
      </c>
      <c r="B2228" s="2" t="s">
        <v>3404</v>
      </c>
      <c r="C2228" s="2" t="s">
        <v>24</v>
      </c>
      <c r="D2228" s="2" t="s">
        <v>3405</v>
      </c>
      <c r="E2228" s="2" t="s">
        <v>293</v>
      </c>
      <c r="F2228" s="11">
        <v>25824</v>
      </c>
      <c r="G2228" t="s">
        <v>36</v>
      </c>
      <c r="H2228" t="s">
        <v>3483</v>
      </c>
      <c r="I2228" t="s">
        <v>3484</v>
      </c>
      <c r="J2228" s="6" t="str">
        <f>HYPERLINK("https://www.biovista.com/db/link/%5B%5B%22Disease%7Cpyridoxine%20dependent%20epilepsy%22%5D,%20%5B%22Gene%7CPLP%22%5D%5D?strength-weight-map=%257B%2522MEDLINE_STRENGTH_AB%2522:1.0,%2522HPO%2522:100.0%257D", "Show Evidence...")</f>
        <v>Show Evidence...</v>
      </c>
    </row>
    <row r="2229" spans="1:10" ht="12.75">
      <c r="A2229" s="2" t="s">
        <v>3403</v>
      </c>
      <c r="B2229" s="2" t="s">
        <v>3404</v>
      </c>
      <c r="C2229" s="2" t="s">
        <v>24</v>
      </c>
      <c r="D2229" s="2" t="s">
        <v>3405</v>
      </c>
      <c r="E2229" s="2" t="s">
        <v>293</v>
      </c>
      <c r="F2229" s="11">
        <v>55163</v>
      </c>
      <c r="G2229" t="s">
        <v>36</v>
      </c>
      <c r="H2229" t="s">
        <v>3485</v>
      </c>
      <c r="I2229" t="s">
        <v>3486</v>
      </c>
      <c r="J2229" s="6" t="str">
        <f>HYPERLINK("https://www.biovista.com/db/link/%5B%5B%22Disease%7Cpyridoxine%20dependent%20epilepsy%22%5D,%20%5B%22Gene%7CPNPO%22%5D%5D?strength-weight-map=%257B%2522MEDLINE_STRENGTH_AB%2522:1.0,%2522HPO%2522:100.0%257D", "Show Evidence...")</f>
        <v>Show Evidence...</v>
      </c>
    </row>
    <row r="2230" spans="1:10" ht="12.75">
      <c r="A2230" s="2" t="s">
        <v>3403</v>
      </c>
      <c r="B2230" s="2" t="s">
        <v>3404</v>
      </c>
      <c r="C2230" s="2" t="s">
        <v>24</v>
      </c>
      <c r="D2230" s="2" t="s">
        <v>3405</v>
      </c>
      <c r="E2230" s="2" t="s">
        <v>293</v>
      </c>
      <c r="F2230" s="11">
        <v>2752</v>
      </c>
      <c r="G2230" t="s">
        <v>36</v>
      </c>
      <c r="H2230" t="s">
        <v>1211</v>
      </c>
      <c r="I2230" t="s">
        <v>3414</v>
      </c>
      <c r="J2230" s="6" t="str">
        <f>HYPERLINK("https://www.biovista.com/db/link/%5B%5B%22Disease%7Cpyridoxine%20dependent%20epilepsy%22%5D,%20%5B%22Gene%7Cglutamate%20decarboxylase%22%5D%5D?strength-weight-map=%257B%2522MEDLINE_STRENGTH_AB%2522:1.0,%2522HPO%2522:100.0%257D", "Show Evidence...")</f>
        <v>Show Evidence...</v>
      </c>
    </row>
    <row r="2231" spans="1:10" ht="12.75">
      <c r="A2231" s="2" t="s">
        <v>3403</v>
      </c>
      <c r="B2231" s="2" t="s">
        <v>3404</v>
      </c>
      <c r="C2231" s="2" t="s">
        <v>24</v>
      </c>
      <c r="D2231" s="2" t="s">
        <v>3405</v>
      </c>
      <c r="E2231" s="2" t="s">
        <v>53</v>
      </c>
      <c r="F2231" s="11" t="s">
        <v>3487</v>
      </c>
      <c r="G2231" t="s">
        <v>36</v>
      </c>
      <c r="H2231" t="s">
        <v>3488</v>
      </c>
      <c r="I2231" t="s">
        <v>3414</v>
      </c>
      <c r="J2231" s="6" t="str">
        <f>HYPERLINK("https://www.biovista.com/db/link/%5B%5B%22Disease%7Cpyridoxine%20dependent%20epilepsy%22%5D,%20%5B%22Gene%7CPyridoxaminephosphate%20Oxidase%22%5D%5D?strength-weight-map=%257B%2522MEDLINE_STRENGTH_AB%2522:1.0,%2522HPO%2522:100.0%257D", "Show Evidence...")</f>
        <v>Show Evidence...</v>
      </c>
    </row>
    <row r="2232" spans="1:10" ht="12.75">
      <c r="A2232" s="2" t="s">
        <v>3403</v>
      </c>
      <c r="B2232" s="2" t="s">
        <v>3404</v>
      </c>
      <c r="C2232" s="2" t="s">
        <v>24</v>
      </c>
      <c r="D2232" s="2" t="s">
        <v>3405</v>
      </c>
      <c r="E2232" s="2" t="s">
        <v>293</v>
      </c>
      <c r="F2232" s="11">
        <v>613029</v>
      </c>
      <c r="G2232" t="s">
        <v>36</v>
      </c>
      <c r="H2232" t="s">
        <v>3489</v>
      </c>
      <c r="I2232" t="s">
        <v>3490</v>
      </c>
      <c r="J2232" s="6" t="str">
        <f>HYPERLINK("https://www.biovista.com/db/link/%5B%5B%22Disease%7Cpyridoxine%20dependent%20epilepsy%22%5D,%20%5B%22Gene%7Cglutamic%20acid%20decarboxylase%22%5D%5D?strength-weight-map=%257B%2522MEDLINE_STRENGTH_AB%2522:1.0,%2522HPO%2522:100.0%257D", "Show Evidence...")</f>
        <v>Show Evidence...</v>
      </c>
    </row>
    <row r="2233" spans="1:10" ht="12.75">
      <c r="A2233" s="2" t="s">
        <v>3403</v>
      </c>
      <c r="B2233" s="2" t="s">
        <v>3404</v>
      </c>
      <c r="C2233" s="2" t="s">
        <v>24</v>
      </c>
      <c r="D2233" s="2" t="s">
        <v>3405</v>
      </c>
      <c r="E2233" s="2" t="s">
        <v>293</v>
      </c>
      <c r="F2233" s="11">
        <v>11212</v>
      </c>
      <c r="G2233" t="s">
        <v>36</v>
      </c>
      <c r="H2233" t="s">
        <v>3491</v>
      </c>
      <c r="I2233" t="s">
        <v>3492</v>
      </c>
      <c r="J2233" s="6" t="str">
        <f>HYPERLINK("https://www.biovista.com/db/link/%5B%5B%22Disease%7Cpyridoxine%20dependent%20epilepsy%22%5D,%20%5B%22Gene%7CPROSC%22%5D%5D?strength-weight-map=%257B%2522MEDLINE_STRENGTH_AB%2522:1.0,%2522HPO%2522:100.0%257D", "Show Evidence...")</f>
        <v>Show Evidence...</v>
      </c>
    </row>
    <row r="2234" spans="1:10" ht="12.75">
      <c r="A2234" s="2" t="s">
        <v>3403</v>
      </c>
      <c r="B2234" s="2" t="s">
        <v>3404</v>
      </c>
      <c r="C2234" s="2" t="s">
        <v>24</v>
      </c>
      <c r="D2234" s="2" t="s">
        <v>3405</v>
      </c>
      <c r="E2234" s="2" t="s">
        <v>293</v>
      </c>
      <c r="F2234" s="11">
        <v>249</v>
      </c>
      <c r="G2234" t="s">
        <v>36</v>
      </c>
      <c r="H2234" t="s">
        <v>3493</v>
      </c>
      <c r="I2234" t="s">
        <v>3417</v>
      </c>
      <c r="J2234" s="6" t="str">
        <f>HYPERLINK("https://www.biovista.com/db/link/%5B%5B%22Disease%7Cpyridoxine%20dependent%20epilepsy%22%5D,%20%5B%22Gene%7CALPL%22%5D%5D?strength-weight-map=%257B%2522MEDLINE_STRENGTH_AB%2522:1.0,%2522HPO%2522:100.0%257D", "Show Evidence...")</f>
        <v>Show Evidence...</v>
      </c>
    </row>
    <row r="2235" spans="1:10" ht="12.75">
      <c r="A2235" s="2" t="s">
        <v>3403</v>
      </c>
      <c r="B2235" s="2" t="s">
        <v>3404</v>
      </c>
      <c r="C2235" s="2" t="s">
        <v>24</v>
      </c>
      <c r="D2235" s="2" t="s">
        <v>3405</v>
      </c>
      <c r="E2235" s="2" t="s">
        <v>293</v>
      </c>
      <c r="F2235" s="11">
        <v>33659</v>
      </c>
      <c r="G2235" t="s">
        <v>36</v>
      </c>
      <c r="H2235" t="s">
        <v>3494</v>
      </c>
      <c r="I2235" t="s">
        <v>3417</v>
      </c>
      <c r="J2235" s="6" t="str">
        <f>HYPERLINK("https://www.biovista.com/db/link/%5B%5B%22Disease%7Cpyridoxine%20dependent%20epilepsy%22%5D,%20%5B%22Gene%7Cine%22%5D%5D?strength-weight-map=%257B%2522MEDLINE_STRENGTH_AB%2522:1.0,%2522HPO%2522:100.0%257D", "Show Evidence...")</f>
        <v>Show Evidence...</v>
      </c>
    </row>
    <row r="2236" spans="1:10" ht="12.75">
      <c r="A2236" s="2" t="s">
        <v>3403</v>
      </c>
      <c r="B2236" s="2" t="s">
        <v>3404</v>
      </c>
      <c r="C2236" s="2" t="s">
        <v>24</v>
      </c>
      <c r="D2236" s="2" t="s">
        <v>3405</v>
      </c>
      <c r="E2236" s="2" t="s">
        <v>293</v>
      </c>
      <c r="F2236" s="11">
        <v>3785</v>
      </c>
      <c r="G2236" t="s">
        <v>36</v>
      </c>
      <c r="H2236" t="s">
        <v>3495</v>
      </c>
      <c r="I2236" t="s">
        <v>3496</v>
      </c>
      <c r="J2236" s="6" t="str">
        <f>HYPERLINK("https://www.biovista.com/db/link/%5B%5B%22Disease%7Cpyridoxine%20dependent%20epilepsy%22%5D,%20%5B%22Gene%7CKCNQ2%22%5D%5D?strength-weight-map=%257B%2522MEDLINE_STRENGTH_AB%2522:1.0,%2522HPO%2522:100.0%257D", "Show Evidence...")</f>
        <v>Show Evidence...</v>
      </c>
    </row>
    <row r="2237" spans="1:10" ht="12.75">
      <c r="A2237" s="2" t="s">
        <v>3403</v>
      </c>
      <c r="B2237" s="2" t="s">
        <v>3404</v>
      </c>
      <c r="C2237" s="2" t="s">
        <v>24</v>
      </c>
      <c r="D2237" s="2" t="s">
        <v>3405</v>
      </c>
      <c r="E2237" s="2" t="s">
        <v>293</v>
      </c>
      <c r="F2237" s="11">
        <v>249</v>
      </c>
      <c r="G2237" t="s">
        <v>36</v>
      </c>
      <c r="H2237" t="s">
        <v>3497</v>
      </c>
      <c r="I2237" t="s">
        <v>3496</v>
      </c>
      <c r="J2237" s="6" t="str">
        <f>HYPERLINK("https://www.biovista.com/db/link/%5B%5B%22Disease%7Cpyridoxine%20dependent%20epilepsy%22%5D,%20%5B%22Gene%7CTNSALP%22%5D%5D?strength-weight-map=%257B%2522MEDLINE_STRENGTH_AB%2522:1.0,%2522HPO%2522:100.0%257D", "Show Evidence...")</f>
        <v>Show Evidence...</v>
      </c>
    </row>
    <row r="2238" spans="1:10" ht="12.75">
      <c r="A2238" s="2" t="s">
        <v>3403</v>
      </c>
      <c r="B2238" s="2" t="s">
        <v>3404</v>
      </c>
      <c r="C2238" s="2" t="s">
        <v>24</v>
      </c>
      <c r="D2238" s="2" t="s">
        <v>3405</v>
      </c>
      <c r="E2238" s="2" t="s">
        <v>293</v>
      </c>
      <c r="F2238" s="11">
        <v>5443</v>
      </c>
      <c r="G2238" t="s">
        <v>36</v>
      </c>
      <c r="H2238" t="s">
        <v>393</v>
      </c>
      <c r="I2238" t="s">
        <v>3419</v>
      </c>
      <c r="J2238" s="6" t="str">
        <f>HYPERLINK("https://www.biovista.com/db/link/%5B%5B%22Disease%7Cpyridoxine%20dependent%20epilepsy%22%5D,%20%5B%22Gene%7Cadrenocorticotropic%20hormone%22%5D%5D?strength-weight-map=%257B%2522MEDLINE_STRENGTH_AB%2522:1.0,%2522HPO%2522:100.0%257D", "Show Evidence...")</f>
        <v>Show Evidence...</v>
      </c>
    </row>
    <row r="2239" spans="1:10" ht="12.75">
      <c r="A2239" s="2" t="s">
        <v>3403</v>
      </c>
      <c r="B2239" s="2" t="s">
        <v>3404</v>
      </c>
      <c r="C2239" s="2" t="s">
        <v>24</v>
      </c>
      <c r="D2239" s="2" t="s">
        <v>3405</v>
      </c>
      <c r="E2239" s="2" t="s">
        <v>293</v>
      </c>
      <c r="F2239" s="11">
        <v>10850</v>
      </c>
      <c r="G2239" t="s">
        <v>36</v>
      </c>
      <c r="H2239" t="s">
        <v>3498</v>
      </c>
      <c r="I2239" t="s">
        <v>3419</v>
      </c>
      <c r="J2239" s="6" t="str">
        <f>HYPERLINK("https://www.biovista.com/db/link/%5B%5B%22Disease%7Cpyridoxine%20dependent%20epilepsy%22%5D,%20%5B%22Gene%7CALP%22%5D%5D?strength-weight-map=%257B%2522MEDLINE_STRENGTH_AB%2522:1.0,%2522HPO%2522:100.0%257D", "Show Evidence...")</f>
        <v>Show Evidence...</v>
      </c>
    </row>
    <row r="2240" spans="1:10" ht="12.75">
      <c r="A2240" s="2" t="s">
        <v>3403</v>
      </c>
      <c r="B2240" s="2" t="s">
        <v>3404</v>
      </c>
      <c r="C2240" s="2" t="s">
        <v>24</v>
      </c>
      <c r="D2240" s="2" t="s">
        <v>3405</v>
      </c>
      <c r="E2240" s="2" t="s">
        <v>293</v>
      </c>
      <c r="F2240" s="11">
        <v>2571</v>
      </c>
      <c r="G2240" t="s">
        <v>36</v>
      </c>
      <c r="H2240" t="s">
        <v>3499</v>
      </c>
      <c r="I2240" t="s">
        <v>3419</v>
      </c>
      <c r="J2240" s="6" t="str">
        <f>HYPERLINK("https://www.biovista.com/db/link/%5B%5B%22Disease%7Cpyridoxine%20dependent%20epilepsy%22%5D,%20%5B%22Gene%7CGAD1%22%5D%5D?strength-weight-map=%257B%2522MEDLINE_STRENGTH_AB%2522:1.0,%2522HPO%2522:100.0%257D", "Show Evidence...")</f>
        <v>Show Evidence...</v>
      </c>
    </row>
    <row r="2241" spans="1:10" ht="12.75">
      <c r="A2241" s="2" t="s">
        <v>3403</v>
      </c>
      <c r="B2241" s="2" t="s">
        <v>3404</v>
      </c>
      <c r="C2241" s="2" t="s">
        <v>24</v>
      </c>
      <c r="D2241" s="2" t="s">
        <v>3405</v>
      </c>
      <c r="E2241" s="2" t="s">
        <v>293</v>
      </c>
      <c r="F2241" s="11">
        <v>100753506</v>
      </c>
      <c r="G2241" t="s">
        <v>36</v>
      </c>
      <c r="H2241" t="s">
        <v>3500</v>
      </c>
      <c r="I2241" t="s">
        <v>3419</v>
      </c>
      <c r="J2241" s="6" t="str">
        <f>HYPERLINK("https://www.biovista.com/db/link/%5B%5B%22Disease%7Cpyridoxine%20dependent%20epilepsy%22%5D,%20%5B%22Gene%7Cglucose%20transporter%201%22%5D%5D?strength-weight-map=%257B%2522MEDLINE_STRENGTH_AB%2522:1.0,%2522HPO%2522:100.0%257D", "Show Evidence...")</f>
        <v>Show Evidence...</v>
      </c>
    </row>
    <row r="2242" spans="1:10" ht="12.75">
      <c r="A2242" s="2" t="s">
        <v>3403</v>
      </c>
      <c r="B2242" s="2" t="s">
        <v>3404</v>
      </c>
      <c r="C2242" s="2" t="s">
        <v>24</v>
      </c>
      <c r="D2242" s="2" t="s">
        <v>3405</v>
      </c>
      <c r="E2242" s="2" t="s">
        <v>293</v>
      </c>
      <c r="F2242" s="11">
        <v>2639</v>
      </c>
      <c r="G2242" t="s">
        <v>36</v>
      </c>
      <c r="H2242" t="s">
        <v>1115</v>
      </c>
      <c r="I2242" t="s">
        <v>3419</v>
      </c>
      <c r="J2242" s="6" t="str">
        <f>HYPERLINK("https://www.biovista.com/db/link/%5B%5B%22Disease%7Cpyridoxine%20dependent%20epilepsy%22%5D,%20%5B%22Gene%7Cglutaryl-CoA%20dehydrogenase%22%5D%5D?strength-weight-map=%257B%2522MEDLINE_STRENGTH_AB%2522:1.0,%2522HPO%2522:100.0%257D", "Show Evidence...")</f>
        <v>Show Evidence...</v>
      </c>
    </row>
    <row r="2243" spans="1:10" ht="12.75">
      <c r="A2243" s="2" t="s">
        <v>3403</v>
      </c>
      <c r="B2243" s="2" t="s">
        <v>3404</v>
      </c>
      <c r="C2243" s="2" t="s">
        <v>24</v>
      </c>
      <c r="D2243" s="2" t="s">
        <v>3405</v>
      </c>
      <c r="E2243" s="2" t="s">
        <v>293</v>
      </c>
      <c r="F2243" s="11">
        <v>881455</v>
      </c>
      <c r="G2243" t="s">
        <v>36</v>
      </c>
      <c r="H2243" t="s">
        <v>3501</v>
      </c>
      <c r="I2243" t="s">
        <v>3419</v>
      </c>
      <c r="J2243" s="6" t="str">
        <f>HYPERLINK("https://www.biovista.com/db/link/%5B%5B%22Disease%7Cpyridoxine%20dependent%20epilepsy%22%5D,%20%5B%22Gene%7CPA1253%22%5D%5D?strength-weight-map=%257B%2522MEDLINE_STRENGTH_AB%2522:1.0,%2522HPO%2522:100.0%257D", "Show Evidence...")</f>
        <v>Show Evidence...</v>
      </c>
    </row>
    <row r="2244" spans="1:10" ht="12.75">
      <c r="A2244" s="2" t="s">
        <v>3403</v>
      </c>
      <c r="B2244" s="2" t="s">
        <v>3404</v>
      </c>
      <c r="C2244" s="2" t="s">
        <v>24</v>
      </c>
      <c r="D2244" s="2" t="s">
        <v>3405</v>
      </c>
      <c r="E2244" s="2" t="s">
        <v>53</v>
      </c>
      <c r="F2244" s="11" t="s">
        <v>3502</v>
      </c>
      <c r="G2244" t="s">
        <v>36</v>
      </c>
      <c r="H2244" t="s">
        <v>3503</v>
      </c>
      <c r="I2244" t="s">
        <v>3419</v>
      </c>
      <c r="J2244" s="6" t="str">
        <f>HYPERLINK("https://www.biovista.com/db/link/%5B%5B%22Disease%7Cpyridoxine%20dependent%20epilepsy%22%5D,%20%5B%22Gene%7Cpyridoxal%205'-phosphate-binding%20protein,%20human%22%5D%5D?strength-weight-map=%257B%2522MEDLINE_STRENGTH_AB%2522:1.0,%2522HPO%2522:100.0%257D", "Show Evidence...")</f>
        <v>Show Evidence...</v>
      </c>
    </row>
    <row r="2245" spans="1:10" ht="12.75">
      <c r="A2245" s="2" t="s">
        <v>3403</v>
      </c>
      <c r="B2245" s="2" t="s">
        <v>3404</v>
      </c>
      <c r="C2245" s="2" t="s">
        <v>24</v>
      </c>
      <c r="D2245" s="2" t="s">
        <v>3405</v>
      </c>
      <c r="E2245" s="2" t="s">
        <v>293</v>
      </c>
      <c r="F2245" s="11">
        <v>6812</v>
      </c>
      <c r="G2245" t="s">
        <v>36</v>
      </c>
      <c r="H2245" t="s">
        <v>3504</v>
      </c>
      <c r="I2245" t="s">
        <v>3419</v>
      </c>
      <c r="J2245" s="6" t="str">
        <f>HYPERLINK("https://www.biovista.com/db/link/%5B%5B%22Disease%7Cpyridoxine%20dependent%20epilepsy%22%5D,%20%5B%22Gene%7CSTXBP1%22%5D%5D?strength-weight-map=%257B%2522MEDLINE_STRENGTH_AB%2522:1.0,%2522HPO%2522:100.0%257D", "Show Evidence...")</f>
        <v>Show Evidence...</v>
      </c>
    </row>
    <row r="2246" spans="1:10" ht="12.75">
      <c r="A2246" s="2" t="s">
        <v>3403</v>
      </c>
      <c r="B2246" s="2" t="s">
        <v>3404</v>
      </c>
      <c r="C2246" s="2" t="s">
        <v>24</v>
      </c>
      <c r="D2246" s="2" t="s">
        <v>3405</v>
      </c>
      <c r="E2246" s="2" t="s">
        <v>293</v>
      </c>
      <c r="F2246" s="11">
        <v>18</v>
      </c>
      <c r="G2246" t="s">
        <v>36</v>
      </c>
      <c r="H2246" t="s">
        <v>3505</v>
      </c>
      <c r="I2246" t="s">
        <v>3424</v>
      </c>
      <c r="J2246" s="6" t="str">
        <f>HYPERLINK("https://www.biovista.com/db/link/%5B%5B%22Disease%7Cpyridoxine%20dependent%20epilepsy%22%5D,%20%5B%22Gene%7C4-aminobutyrate%20transaminase%22%5D%5D?strength-weight-map=%257B%2522MEDLINE_STRENGTH_AB%2522:1.0,%2522HPO%2522:100.0%257D", "Show Evidence...")</f>
        <v>Show Evidence...</v>
      </c>
    </row>
    <row r="2247" spans="1:10" ht="12.75">
      <c r="A2247" s="2" t="s">
        <v>3403</v>
      </c>
      <c r="B2247" s="2" t="s">
        <v>3404</v>
      </c>
      <c r="C2247" s="2" t="s">
        <v>24</v>
      </c>
      <c r="D2247" s="2" t="s">
        <v>3405</v>
      </c>
      <c r="E2247" s="2" t="s">
        <v>53</v>
      </c>
      <c r="F2247" s="11" t="s">
        <v>3506</v>
      </c>
      <c r="G2247" t="s">
        <v>36</v>
      </c>
      <c r="H2247" t="s">
        <v>3507</v>
      </c>
      <c r="I2247" t="s">
        <v>3424</v>
      </c>
      <c r="J2247" s="6" t="str">
        <f>HYPERLINK("https://www.biovista.com/db/link/%5B%5B%22Disease%7Cpyridoxine%20dependent%20epilepsy%22%5D,%20%5B%22Gene%7CCarnosine%22%5D%5D?strength-weight-map=%257B%2522MEDLINE_STRENGTH_AB%2522:1.0,%2522HPO%2522:100.0%257D", "Show Evidence...")</f>
        <v>Show Evidence...</v>
      </c>
    </row>
    <row r="2248" spans="1:10" ht="12.75">
      <c r="A2248" s="2" t="s">
        <v>3403</v>
      </c>
      <c r="B2248" s="2" t="s">
        <v>3404</v>
      </c>
      <c r="C2248" s="2" t="s">
        <v>24</v>
      </c>
      <c r="D2248" s="2" t="s">
        <v>3405</v>
      </c>
      <c r="E2248" s="2" t="s">
        <v>293</v>
      </c>
      <c r="F2248" s="11">
        <v>2572</v>
      </c>
      <c r="G2248" t="s">
        <v>36</v>
      </c>
      <c r="H2248" t="s">
        <v>3508</v>
      </c>
      <c r="I2248" t="s">
        <v>3424</v>
      </c>
      <c r="J2248" s="6" t="str">
        <f>HYPERLINK("https://www.biovista.com/db/link/%5B%5B%22Disease%7Cpyridoxine%20dependent%20epilepsy%22%5D,%20%5B%22Gene%7CGAD2%22%5D%5D?strength-weight-map=%257B%2522MEDLINE_STRENGTH_AB%2522:1.0,%2522HPO%2522:100.0%257D", "Show Evidence...")</f>
        <v>Show Evidence...</v>
      </c>
    </row>
    <row r="2249" spans="1:10" ht="12.75">
      <c r="A2249" s="2" t="s">
        <v>3403</v>
      </c>
      <c r="B2249" s="2" t="s">
        <v>3404</v>
      </c>
      <c r="C2249" s="2" t="s">
        <v>24</v>
      </c>
      <c r="D2249" s="2" t="s">
        <v>3405</v>
      </c>
      <c r="E2249" s="2" t="s">
        <v>53</v>
      </c>
      <c r="F2249" s="11" t="s">
        <v>3509</v>
      </c>
      <c r="G2249" t="s">
        <v>36</v>
      </c>
      <c r="H2249" t="s">
        <v>3510</v>
      </c>
      <c r="I2249" t="s">
        <v>3424</v>
      </c>
      <c r="J2249" s="6" t="str">
        <f>HYPERLINK("https://www.biovista.com/db/link/%5B%5B%22Disease%7Cpyridoxine%20dependent%20epilepsy%22%5D,%20%5B%22Gene%7CMunc18%20Proteins%22%5D%5D?strength-weight-map=%257B%2522MEDLINE_STRENGTH_AB%2522:1.0,%2522HPO%2522:100.0%257D", "Show Evidence...")</f>
        <v>Show Evidence...</v>
      </c>
    </row>
    <row r="2250" spans="1:10" ht="12.75">
      <c r="A2250" s="2" t="s">
        <v>3403</v>
      </c>
      <c r="B2250" s="2" t="s">
        <v>3404</v>
      </c>
      <c r="C2250" s="2" t="s">
        <v>24</v>
      </c>
      <c r="D2250" s="2" t="s">
        <v>3405</v>
      </c>
      <c r="E2250" s="2" t="s">
        <v>293</v>
      </c>
      <c r="F2250" s="11">
        <v>2731</v>
      </c>
      <c r="G2250" t="s">
        <v>36</v>
      </c>
      <c r="H2250" t="s">
        <v>3511</v>
      </c>
      <c r="I2250" t="s">
        <v>3424</v>
      </c>
      <c r="J2250" s="6" t="str">
        <f>HYPERLINK("https://www.biovista.com/db/link/%5B%5B%22Disease%7Cpyridoxine%20dependent%20epilepsy%22%5D,%20%5B%22Gene%7Cnonketotic%20hyperglycinemia%22%5D%5D?strength-weight-map=%257B%2522MEDLINE_STRENGTH_AB%2522:1.0,%2522HPO%2522:100.0%257D", "Show Evidence...")</f>
        <v>Show Evidence...</v>
      </c>
    </row>
    <row r="2251" spans="1:10" ht="12.75">
      <c r="A2251" s="2" t="s">
        <v>3403</v>
      </c>
      <c r="B2251" s="2" t="s">
        <v>3404</v>
      </c>
      <c r="C2251" s="2" t="s">
        <v>24</v>
      </c>
      <c r="D2251" s="2" t="s">
        <v>3405</v>
      </c>
      <c r="E2251" s="2" t="s">
        <v>293</v>
      </c>
      <c r="F2251" s="11">
        <v>11212</v>
      </c>
      <c r="G2251" t="s">
        <v>36</v>
      </c>
      <c r="H2251" t="s">
        <v>3512</v>
      </c>
      <c r="I2251" t="s">
        <v>3424</v>
      </c>
      <c r="J2251" s="6" t="str">
        <f>HYPERLINK("https://www.biovista.com/db/link/%5B%5B%22Disease%7Cpyridoxine%20dependent%20epilepsy%22%5D,%20%5B%22Gene%7Cpyridoxal%20phosphate%20homeostasis%20protein%22%5D%5D?strength-weight-map=%257B%2522MEDLINE_STRENGTH_AB%2522:1.0,%2522HPO%2522:100.0%257D", "Show Evidence...")</f>
        <v>Show Evidence...</v>
      </c>
    </row>
    <row r="2252" spans="1:10" ht="12.75">
      <c r="A2252" s="2" t="s">
        <v>3403</v>
      </c>
      <c r="B2252" s="2" t="s">
        <v>3404</v>
      </c>
      <c r="C2252" s="2" t="s">
        <v>24</v>
      </c>
      <c r="D2252" s="2" t="s">
        <v>3405</v>
      </c>
      <c r="E2252" s="2" t="s">
        <v>293</v>
      </c>
      <c r="F2252" s="11">
        <v>6323</v>
      </c>
      <c r="G2252" t="s">
        <v>36</v>
      </c>
      <c r="H2252" t="s">
        <v>3513</v>
      </c>
      <c r="I2252" t="s">
        <v>3424</v>
      </c>
      <c r="J2252" s="6" t="str">
        <f>HYPERLINK("https://www.biovista.com/db/link/%5B%5B%22Disease%7Cpyridoxine%20dependent%20epilepsy%22%5D,%20%5B%22Gene%7CSCN1A%22%5D%5D?strength-weight-map=%257B%2522MEDLINE_STRENGTH_AB%2522:1.0,%2522HPO%2522:100.0%257D", "Show Evidence...")</f>
        <v>Show Evidence...</v>
      </c>
    </row>
    <row r="2253" spans="1:10" ht="12.75">
      <c r="A2253" s="2" t="s">
        <v>3403</v>
      </c>
      <c r="B2253" s="2" t="s">
        <v>3404</v>
      </c>
      <c r="C2253" s="2" t="s">
        <v>24</v>
      </c>
      <c r="D2253" s="2" t="s">
        <v>3405</v>
      </c>
      <c r="E2253" s="2" t="s">
        <v>293</v>
      </c>
      <c r="F2253" s="11">
        <v>6326</v>
      </c>
      <c r="G2253" t="s">
        <v>36</v>
      </c>
      <c r="H2253" t="s">
        <v>3514</v>
      </c>
      <c r="I2253" t="s">
        <v>3424</v>
      </c>
      <c r="J2253" s="6" t="str">
        <f>HYPERLINK("https://www.biovista.com/db/link/%5B%5B%22Disease%7Cpyridoxine%20dependent%20epilepsy%22%5D,%20%5B%22Gene%7CSCN2A%22%5D%5D?strength-weight-map=%257B%2522MEDLINE_STRENGTH_AB%2522:1.0,%2522HPO%2522:100.0%257D", "Show Evidence...")</f>
        <v>Show Evidence...</v>
      </c>
    </row>
    <row r="2254" spans="1:10" ht="12.75">
      <c r="A2254" s="2" t="s">
        <v>3403</v>
      </c>
      <c r="B2254" s="2" t="s">
        <v>3404</v>
      </c>
      <c r="C2254" s="2" t="s">
        <v>24</v>
      </c>
      <c r="D2254" s="2" t="s">
        <v>3405</v>
      </c>
      <c r="E2254" s="2" t="s">
        <v>293</v>
      </c>
      <c r="F2254" s="11">
        <v>10157</v>
      </c>
      <c r="G2254" t="s">
        <v>36</v>
      </c>
      <c r="H2254" t="s">
        <v>3515</v>
      </c>
      <c r="I2254" t="s">
        <v>3427</v>
      </c>
      <c r="J2254" s="6" t="str">
        <f>HYPERLINK("https://www.biovista.com/db/link/%5B%5B%22Disease%7Cpyridoxine%20dependent%20epilepsy%22%5D,%20%5B%22Gene%7CAASS%22%5D%5D?strength-weight-map=%257B%2522MEDLINE_STRENGTH_AB%2522:1.0,%2522HPO%2522:100.0%257D", "Show Evidence...")</f>
        <v>Show Evidence...</v>
      </c>
    </row>
    <row r="2255" spans="1:10" ht="12.75">
      <c r="A2255" s="2" t="s">
        <v>3403</v>
      </c>
      <c r="B2255" s="2" t="s">
        <v>3404</v>
      </c>
      <c r="C2255" s="2" t="s">
        <v>24</v>
      </c>
      <c r="D2255" s="2" t="s">
        <v>3405</v>
      </c>
      <c r="E2255" s="2" t="s">
        <v>293</v>
      </c>
      <c r="F2255" s="11">
        <v>7915</v>
      </c>
      <c r="G2255" t="s">
        <v>36</v>
      </c>
      <c r="H2255" t="s">
        <v>3516</v>
      </c>
      <c r="I2255" t="s">
        <v>3427</v>
      </c>
      <c r="J2255" s="6" t="str">
        <f>HYPERLINK("https://www.biovista.com/db/link/%5B%5B%22Disease%7Cpyridoxine%20dependent%20epilepsy%22%5D,%20%5B%22Gene%7CALDH5A1%22%5D%5D?strength-weight-map=%257B%2522MEDLINE_STRENGTH_AB%2522:1.0,%2522HPO%2522:100.0%257D", "Show Evidence...")</f>
        <v>Show Evidence...</v>
      </c>
    </row>
    <row r="2256" spans="1:10" ht="12.75">
      <c r="A2256" s="2" t="s">
        <v>3403</v>
      </c>
      <c r="B2256" s="2" t="s">
        <v>3404</v>
      </c>
      <c r="C2256" s="2" t="s">
        <v>24</v>
      </c>
      <c r="D2256" s="2" t="s">
        <v>3405</v>
      </c>
      <c r="E2256" s="2" t="s">
        <v>293</v>
      </c>
      <c r="F2256" s="11">
        <v>10157</v>
      </c>
      <c r="G2256" t="s">
        <v>36</v>
      </c>
      <c r="H2256" t="s">
        <v>3517</v>
      </c>
      <c r="I2256" t="s">
        <v>3427</v>
      </c>
      <c r="J2256" s="6" t="str">
        <f>HYPERLINK("https://www.biovista.com/db/link/%5B%5B%22Disease%7Cpyridoxine%20dependent%20epilepsy%22%5D,%20%5B%22Gene%7Caminoadipic%20semialdehyde%20synthase%22%5D%5D?strength-weight-map=%257B%2522MEDLINE_STRENGTH_AB%2522:1.0,%2522HPO%2522:100.0%257D", "Show Evidence...")</f>
        <v>Show Evidence...</v>
      </c>
    </row>
    <row r="2257" spans="1:10" ht="12.75">
      <c r="A2257" s="2" t="s">
        <v>3403</v>
      </c>
      <c r="B2257" s="2" t="s">
        <v>3404</v>
      </c>
      <c r="C2257" s="2" t="s">
        <v>24</v>
      </c>
      <c r="D2257" s="2" t="s">
        <v>3405</v>
      </c>
      <c r="E2257" s="2" t="s">
        <v>293</v>
      </c>
      <c r="F2257" s="11">
        <v>39965</v>
      </c>
      <c r="G2257" t="s">
        <v>36</v>
      </c>
      <c r="H2257" t="s">
        <v>3518</v>
      </c>
      <c r="I2257" t="s">
        <v>3427</v>
      </c>
      <c r="J2257" s="6" t="str">
        <f>HYPERLINK("https://www.biovista.com/db/link/%5B%5B%22Disease%7Cpyridoxine%20dependent%20epilepsy%22%5D,%20%5B%22Gene%7Canchor%22%5D%5D?strength-weight-map=%257B%2522MEDLINE_STRENGTH_AB%2522:1.0,%2522HPO%2522:100.0%257D", "Show Evidence...")</f>
        <v>Show Evidence...</v>
      </c>
    </row>
    <row r="2258" spans="1:10" ht="12.75">
      <c r="A2258" s="2" t="s">
        <v>3403</v>
      </c>
      <c r="B2258" s="2" t="s">
        <v>3404</v>
      </c>
      <c r="C2258" s="2" t="s">
        <v>24</v>
      </c>
      <c r="D2258" s="2" t="s">
        <v>3405</v>
      </c>
      <c r="E2258" s="2" t="s">
        <v>293</v>
      </c>
      <c r="F2258" s="11">
        <v>516067</v>
      </c>
      <c r="G2258" t="s">
        <v>36</v>
      </c>
      <c r="H2258" t="s">
        <v>3519</v>
      </c>
      <c r="I2258" t="s">
        <v>3427</v>
      </c>
      <c r="J2258" s="6" t="str">
        <f>HYPERLINK("https://www.biovista.com/db/link/%5B%5B%22Disease%7Cpyridoxine%20dependent%20epilepsy%22%5D,%20%5B%22Gene%7CFolate%20receptor%201%22%5D%5D?strength-weight-map=%257B%2522MEDLINE_STRENGTH_AB%2522:1.0,%2522HPO%2522:100.0%257D", "Show Evidence...")</f>
        <v>Show Evidence...</v>
      </c>
    </row>
    <row r="2259" spans="1:10" ht="12.75">
      <c r="A2259" s="2" t="s">
        <v>3403</v>
      </c>
      <c r="B2259" s="2" t="s">
        <v>3404</v>
      </c>
      <c r="C2259" s="2" t="s">
        <v>24</v>
      </c>
      <c r="D2259" s="2" t="s">
        <v>3405</v>
      </c>
      <c r="E2259" s="2" t="s">
        <v>293</v>
      </c>
      <c r="F2259" s="11">
        <v>2348</v>
      </c>
      <c r="G2259" t="s">
        <v>36</v>
      </c>
      <c r="H2259" t="s">
        <v>3520</v>
      </c>
      <c r="I2259" t="s">
        <v>3427</v>
      </c>
      <c r="J2259" s="6" t="str">
        <f>HYPERLINK("https://www.biovista.com/db/link/%5B%5B%22Disease%7Cpyridoxine%20dependent%20epilepsy%22%5D,%20%5B%22Gene%7CFOLR1%22%5D%5D?strength-weight-map=%257B%2522MEDLINE_STRENGTH_AB%2522:1.0,%2522HPO%2522:100.0%257D", "Show Evidence...")</f>
        <v>Show Evidence...</v>
      </c>
    </row>
    <row r="2260" spans="1:10" ht="12.75">
      <c r="A2260" s="2" t="s">
        <v>3403</v>
      </c>
      <c r="B2260" s="2" t="s">
        <v>3404</v>
      </c>
      <c r="C2260" s="2" t="s">
        <v>24</v>
      </c>
      <c r="D2260" s="2" t="s">
        <v>3405</v>
      </c>
      <c r="E2260" s="2" t="s">
        <v>293</v>
      </c>
      <c r="F2260" s="11">
        <v>6708</v>
      </c>
      <c r="G2260" t="s">
        <v>36</v>
      </c>
      <c r="H2260" t="s">
        <v>3521</v>
      </c>
      <c r="I2260" t="s">
        <v>3427</v>
      </c>
      <c r="J2260" s="6" t="str">
        <f>HYPERLINK("https://www.biovista.com/db/link/%5B%5B%22Disease%7Cpyridoxine%20dependent%20epilepsy%22%5D,%20%5B%22Gene%7CHPP%22%5D%5D?strength-weight-map=%257B%2522MEDLINE_STRENGTH_AB%2522:1.0,%2522HPO%2522:100.0%257D", "Show Evidence...")</f>
        <v>Show Evidence...</v>
      </c>
    </row>
    <row r="2261" spans="1:10" ht="12.75">
      <c r="A2261" s="2" t="s">
        <v>3403</v>
      </c>
      <c r="B2261" s="2" t="s">
        <v>3404</v>
      </c>
      <c r="C2261" s="2" t="s">
        <v>24</v>
      </c>
      <c r="D2261" s="2" t="s">
        <v>3405</v>
      </c>
      <c r="E2261" s="2" t="s">
        <v>293</v>
      </c>
      <c r="F2261" s="11">
        <v>31621</v>
      </c>
      <c r="G2261" t="s">
        <v>36</v>
      </c>
      <c r="H2261" t="s">
        <v>3522</v>
      </c>
      <c r="I2261" t="s">
        <v>3427</v>
      </c>
      <c r="J2261" s="6" t="str">
        <f>HYPERLINK("https://www.biovista.com/db/link/%5B%5B%22Disease%7Cpyridoxine%20dependent%20epilepsy%22%5D,%20%5B%22Gene%7CIav%22%5D%5D?strength-weight-map=%257B%2522MEDLINE_STRENGTH_AB%2522:1.0,%2522HPO%2522:100.0%257D", "Show Evidence...")</f>
        <v>Show Evidence...</v>
      </c>
    </row>
    <row r="2262" spans="1:10" ht="12.75">
      <c r="A2262" s="2" t="s">
        <v>3403</v>
      </c>
      <c r="B2262" s="2" t="s">
        <v>3404</v>
      </c>
      <c r="C2262" s="2" t="s">
        <v>24</v>
      </c>
      <c r="D2262" s="2" t="s">
        <v>3405</v>
      </c>
      <c r="E2262" s="2" t="s">
        <v>53</v>
      </c>
      <c r="F2262" s="11" t="s">
        <v>3523</v>
      </c>
      <c r="G2262" t="s">
        <v>36</v>
      </c>
      <c r="H2262" t="s">
        <v>3524</v>
      </c>
      <c r="I2262" t="s">
        <v>3427</v>
      </c>
      <c r="J2262" s="6" t="str">
        <f>HYPERLINK("https://www.biovista.com/db/link/%5B%5B%22Disease%7Cpyridoxine%20dependent%20epilepsy%22%5D,%20%5B%22Gene%7CKCNQ2%20Potassium%20Channel%22%5D%5D?strength-weight-map=%257B%2522MEDLINE_STRENGTH_AB%2522:1.0,%2522HPO%2522:100.0%257D", "Show Evidence...")</f>
        <v>Show Evidence...</v>
      </c>
    </row>
    <row r="2263" spans="1:10" ht="12.75">
      <c r="A2263" s="2" t="s">
        <v>3403</v>
      </c>
      <c r="B2263" s="2" t="s">
        <v>3404</v>
      </c>
      <c r="C2263" s="2" t="s">
        <v>24</v>
      </c>
      <c r="D2263" s="2" t="s">
        <v>3405</v>
      </c>
      <c r="E2263" s="2" t="s">
        <v>293</v>
      </c>
      <c r="F2263" s="11">
        <v>57582</v>
      </c>
      <c r="G2263" t="s">
        <v>36</v>
      </c>
      <c r="H2263" t="s">
        <v>3525</v>
      </c>
      <c r="I2263" t="s">
        <v>3427</v>
      </c>
      <c r="J2263" s="6" t="str">
        <f>HYPERLINK("https://www.biovista.com/db/link/%5B%5B%22Disease%7Cpyridoxine%20dependent%20epilepsy%22%5D,%20%5B%22Gene%7CKCNT1%22%5D%5D?strength-weight-map=%257B%2522MEDLINE_STRENGTH_AB%2522:1.0,%2522HPO%2522:100.0%257D", "Show Evidence...")</f>
        <v>Show Evidence...</v>
      </c>
    </row>
    <row r="2264" spans="1:10" ht="12.75">
      <c r="A2264" s="2" t="s">
        <v>3403</v>
      </c>
      <c r="B2264" s="2" t="s">
        <v>3404</v>
      </c>
      <c r="C2264" s="2" t="s">
        <v>24</v>
      </c>
      <c r="D2264" s="2" t="s">
        <v>3405</v>
      </c>
      <c r="E2264" s="2" t="s">
        <v>293</v>
      </c>
      <c r="F2264" s="11">
        <v>8942</v>
      </c>
      <c r="G2264" t="s">
        <v>36</v>
      </c>
      <c r="H2264" t="s">
        <v>3526</v>
      </c>
      <c r="I2264" t="s">
        <v>3427</v>
      </c>
      <c r="J2264" s="6" t="str">
        <f>HYPERLINK("https://www.biovista.com/db/link/%5B%5B%22Disease%7Cpyridoxine%20dependent%20epilepsy%22%5D,%20%5B%22Gene%7Ckynureninase%22%5D%5D?strength-weight-map=%257B%2522MEDLINE_STRENGTH_AB%2522:1.0,%2522HPO%2522:100.0%257D", "Show Evidence...")</f>
        <v>Show Evidence...</v>
      </c>
    </row>
    <row r="2265" spans="1:10" ht="12.75">
      <c r="A2265" s="2" t="s">
        <v>3403</v>
      </c>
      <c r="B2265" s="2" t="s">
        <v>3404</v>
      </c>
      <c r="C2265" s="2" t="s">
        <v>24</v>
      </c>
      <c r="D2265" s="2" t="s">
        <v>3405</v>
      </c>
      <c r="E2265" s="2" t="s">
        <v>293</v>
      </c>
      <c r="F2265" s="11">
        <v>3636875</v>
      </c>
      <c r="G2265" t="s">
        <v>36</v>
      </c>
      <c r="H2265" t="s">
        <v>3527</v>
      </c>
      <c r="I2265" t="s">
        <v>3427</v>
      </c>
      <c r="J2265" s="6" t="str">
        <f>HYPERLINK("https://www.biovista.com/db/link/%5B%5B%22Disease%7Cpyridoxine%20dependent%20epilepsy%22%5D,%20%5B%22Gene%7CL-aminoadipate-semialdehyde%20dehydrogenase%22%5D%5D?strength-weight-map=%257B%2522MEDLINE_STRENGTH_AB%2522:1.0,%2522HPO%2522:100.0%257D", "Show Evidence...")</f>
        <v>Show Evidence...</v>
      </c>
    </row>
    <row r="2266" spans="1:10" ht="12.75">
      <c r="A2266" s="2" t="s">
        <v>3403</v>
      </c>
      <c r="B2266" s="2" t="s">
        <v>3404</v>
      </c>
      <c r="C2266" s="2" t="s">
        <v>24</v>
      </c>
      <c r="D2266" s="2" t="s">
        <v>3405</v>
      </c>
      <c r="E2266" s="2" t="s">
        <v>53</v>
      </c>
      <c r="F2266" s="11" t="s">
        <v>3528</v>
      </c>
      <c r="G2266" t="s">
        <v>36</v>
      </c>
      <c r="H2266" t="s">
        <v>3529</v>
      </c>
      <c r="I2266" t="s">
        <v>3427</v>
      </c>
      <c r="J2266" s="6" t="str">
        <f>HYPERLINK("https://www.biovista.com/db/link/%5B%5B%22Disease%7Cpyridoxine%20dependent%20epilepsy%22%5D,%20%5B%22Gene%7CMolybdoferredoxin%22%5D%5D?strength-weight-map=%257B%2522MEDLINE_STRENGTH_AB%2522:1.0,%2522HPO%2522:100.0%257D", "Show Evidence...")</f>
        <v>Show Evidence...</v>
      </c>
    </row>
    <row r="2267" spans="1:10" ht="12.75">
      <c r="A2267" s="2" t="s">
        <v>3403</v>
      </c>
      <c r="B2267" s="2" t="s">
        <v>3404</v>
      </c>
      <c r="C2267" s="2" t="s">
        <v>24</v>
      </c>
      <c r="D2267" s="2" t="s">
        <v>3405</v>
      </c>
      <c r="E2267" s="2" t="s">
        <v>293</v>
      </c>
      <c r="F2267" s="11">
        <v>8566</v>
      </c>
      <c r="G2267" t="s">
        <v>36</v>
      </c>
      <c r="H2267" t="s">
        <v>3530</v>
      </c>
      <c r="I2267" t="s">
        <v>3427</v>
      </c>
      <c r="J2267" s="6" t="str">
        <f>HYPERLINK("https://www.biovista.com/db/link/%5B%5B%22Disease%7Cpyridoxine%20dependent%20epilepsy%22%5D,%20%5B%22Gene%7CPDXK%22%5D%5D?strength-weight-map=%257B%2522MEDLINE_STRENGTH_AB%2522:1.0,%2522HPO%2522:100.0%257D", "Show Evidence...")</f>
        <v>Show Evidence...</v>
      </c>
    </row>
    <row r="2268" spans="1:10" ht="12.75">
      <c r="A2268" s="2" t="s">
        <v>3403</v>
      </c>
      <c r="B2268" s="2" t="s">
        <v>3404</v>
      </c>
      <c r="C2268" s="2" t="s">
        <v>24</v>
      </c>
      <c r="D2268" s="2" t="s">
        <v>3405</v>
      </c>
      <c r="E2268" s="2" t="s">
        <v>293</v>
      </c>
      <c r="F2268" s="11">
        <v>11848476</v>
      </c>
      <c r="G2268" t="s">
        <v>36</v>
      </c>
      <c r="H2268" t="s">
        <v>3531</v>
      </c>
      <c r="I2268" t="s">
        <v>3427</v>
      </c>
      <c r="J2268" s="6" t="str">
        <f>HYPERLINK("https://www.biovista.com/db/link/%5B%5B%22Disease%7Cpyridoxine%20dependent%20epilepsy%22%5D,%20%5B%22Gene%7Cphosphohydrolase%22%5D%5D?strength-weight-map=%257B%2522MEDLINE_STRENGTH_AB%2522:1.0,%2522HPO%2522:100.0%257D", "Show Evidence...")</f>
        <v>Show Evidence...</v>
      </c>
    </row>
    <row r="2269" spans="1:10" ht="12.75">
      <c r="A2269" s="2" t="s">
        <v>3403</v>
      </c>
      <c r="B2269" s="2" t="s">
        <v>3404</v>
      </c>
      <c r="C2269" s="2" t="s">
        <v>24</v>
      </c>
      <c r="D2269" s="2" t="s">
        <v>3405</v>
      </c>
      <c r="E2269" s="2" t="s">
        <v>293</v>
      </c>
      <c r="F2269" s="11">
        <v>8566</v>
      </c>
      <c r="G2269" t="s">
        <v>36</v>
      </c>
      <c r="H2269" t="s">
        <v>3532</v>
      </c>
      <c r="I2269" t="s">
        <v>3427</v>
      </c>
      <c r="J2269" s="6" t="str">
        <f>HYPERLINK("https://www.biovista.com/db/link/%5B%5B%22Disease%7Cpyridoxine%20dependent%20epilepsy%22%5D,%20%5B%22Gene%7Cpyridoxal%20kinase%22%5D%5D?strength-weight-map=%257B%2522MEDLINE_STRENGTH_AB%2522:1.0,%2522HPO%2522:100.0%257D", "Show Evidence...")</f>
        <v>Show Evidence...</v>
      </c>
    </row>
    <row r="2270" spans="1:10" ht="12.75">
      <c r="A2270" s="2" t="s">
        <v>3403</v>
      </c>
      <c r="B2270" s="2" t="s">
        <v>3404</v>
      </c>
      <c r="C2270" s="2" t="s">
        <v>24</v>
      </c>
      <c r="D2270" s="2" t="s">
        <v>3405</v>
      </c>
      <c r="E2270" s="2" t="s">
        <v>293</v>
      </c>
      <c r="F2270" s="11">
        <v>6334</v>
      </c>
      <c r="G2270" t="s">
        <v>36</v>
      </c>
      <c r="H2270" t="s">
        <v>3533</v>
      </c>
      <c r="I2270" t="s">
        <v>3427</v>
      </c>
      <c r="J2270" s="6" t="str">
        <f>HYPERLINK("https://www.biovista.com/db/link/%5B%5B%22Disease%7Cpyridoxine%20dependent%20epilepsy%22%5D,%20%5B%22Gene%7CSCN8A%22%5D%5D?strength-weight-map=%257B%2522MEDLINE_STRENGTH_AB%2522:1.0,%2522HPO%2522:100.0%257D", "Show Evidence...")</f>
        <v>Show Evidence...</v>
      </c>
    </row>
    <row r="2271" spans="1:10" ht="12.75">
      <c r="A2271" s="2" t="s">
        <v>3403</v>
      </c>
      <c r="B2271" s="2" t="s">
        <v>3404</v>
      </c>
      <c r="C2271" s="2" t="s">
        <v>24</v>
      </c>
      <c r="D2271" s="2" t="s">
        <v>3405</v>
      </c>
      <c r="E2271" s="2" t="s">
        <v>293</v>
      </c>
      <c r="F2271" s="11">
        <v>6513</v>
      </c>
      <c r="G2271" t="s">
        <v>36</v>
      </c>
      <c r="H2271" t="s">
        <v>3534</v>
      </c>
      <c r="I2271" t="s">
        <v>3427</v>
      </c>
      <c r="J2271" s="6" t="str">
        <f>HYPERLINK("https://www.biovista.com/db/link/%5B%5B%22Disease%7Cpyridoxine%20dependent%20epilepsy%22%5D,%20%5B%22Gene%7CSLC2A1%22%5D%5D?strength-weight-map=%257B%2522MEDLINE_STRENGTH_AB%2522:1.0,%2522HPO%2522:100.0%257D", "Show Evidence...")</f>
        <v>Show Evidence...</v>
      </c>
    </row>
    <row r="2272" spans="1:10" ht="12.75">
      <c r="A2272" s="2" t="s">
        <v>3403</v>
      </c>
      <c r="B2272" s="2" t="s">
        <v>3404</v>
      </c>
      <c r="C2272" s="2" t="s">
        <v>24</v>
      </c>
      <c r="D2272" s="2" t="s">
        <v>3405</v>
      </c>
      <c r="E2272" s="2" t="s">
        <v>293</v>
      </c>
      <c r="F2272" s="11">
        <v>799352</v>
      </c>
      <c r="G2272" t="s">
        <v>36</v>
      </c>
      <c r="H2272" t="s">
        <v>3535</v>
      </c>
      <c r="I2272" t="s">
        <v>3427</v>
      </c>
      <c r="J2272" s="6" t="str">
        <f>HYPERLINK("https://www.biovista.com/db/link/%5B%5B%22Disease%7Cpyridoxine%20dependent%20epilepsy%22%5D,%20%5B%22Gene%7Csquint%22%5D%5D?strength-weight-map=%257B%2522MEDLINE_STRENGTH_AB%2522:1.0,%2522HPO%2522:100.0%257D", "Show Evidence...")</f>
        <v>Show Evidence...</v>
      </c>
    </row>
    <row r="2273" spans="1:10" ht="12.75">
      <c r="A2273" s="2" t="s">
        <v>3403</v>
      </c>
      <c r="B2273" s="2" t="s">
        <v>3404</v>
      </c>
      <c r="C2273" s="2" t="s">
        <v>24</v>
      </c>
      <c r="D2273" s="2" t="s">
        <v>3405</v>
      </c>
      <c r="E2273" s="2" t="s">
        <v>293</v>
      </c>
      <c r="F2273" s="11">
        <v>939976</v>
      </c>
      <c r="G2273" t="s">
        <v>36</v>
      </c>
      <c r="H2273" t="s">
        <v>3536</v>
      </c>
      <c r="I2273" t="s">
        <v>3427</v>
      </c>
      <c r="J2273" s="6" t="str">
        <f>HYPERLINK("https://www.biovista.com/db/link/%5B%5B%22Disease%7Cpyridoxine%20dependent%20epilepsy%22%5D,%20%5B%22Gene%7Csuccinate-semialdehyde%20dehydrogenase%22%5D%5D?strength-weight-map=%257B%2522MEDLINE_STRENGTH_AB%2522:1.0,%2522HPO%2522:100.0%257D", "Show Evidence...")</f>
        <v>Show Evidence...</v>
      </c>
    </row>
    <row r="2274" spans="1:10" ht="12.75">
      <c r="A2274" s="2" t="s">
        <v>3403</v>
      </c>
      <c r="B2274" s="2" t="s">
        <v>3404</v>
      </c>
      <c r="C2274" s="2" t="s">
        <v>24</v>
      </c>
      <c r="D2274" s="2" t="s">
        <v>3405</v>
      </c>
      <c r="E2274" s="2" t="s">
        <v>293</v>
      </c>
      <c r="F2274" s="11">
        <v>291133</v>
      </c>
      <c r="G2274" t="s">
        <v>36</v>
      </c>
      <c r="H2274" t="s">
        <v>3537</v>
      </c>
      <c r="I2274" t="s">
        <v>3427</v>
      </c>
      <c r="J2274" s="6" t="str">
        <f>HYPERLINK("https://www.biovista.com/db/link/%5B%5B%22Disease%7Cpyridoxine%20dependent%20epilepsy%22%5D,%20%5B%22Gene%7Csuccinic%20semialdehyde%20dehydrogenase%22%5D%5D?strength-weight-map=%257B%2522MEDLINE_STRENGTH_AB%2522:1.0,%2522HPO%2522:100.0%257D", "Show Evidence...")</f>
        <v>Show Evidence...</v>
      </c>
    </row>
    <row r="2275" spans="1:10" ht="12.75">
      <c r="A2275" s="2" t="s">
        <v>3403</v>
      </c>
      <c r="B2275" s="2" t="s">
        <v>3404</v>
      </c>
      <c r="C2275" s="2" t="s">
        <v>24</v>
      </c>
      <c r="D2275" s="2" t="s">
        <v>3405</v>
      </c>
      <c r="E2275" s="2" t="s">
        <v>293</v>
      </c>
      <c r="F2275" s="11">
        <v>6821</v>
      </c>
      <c r="G2275" t="s">
        <v>36</v>
      </c>
      <c r="H2275" t="s">
        <v>1689</v>
      </c>
      <c r="I2275" t="s">
        <v>3427</v>
      </c>
      <c r="J2275" s="6" t="str">
        <f>HYPERLINK("https://www.biovista.com/db/link/%5B%5B%22Disease%7Cpyridoxine%20dependent%20epilepsy%22%5D,%20%5B%22Gene%7Csulfite%20oxidase%22%5D%5D?strength-weight-map=%257B%2522MEDLINE_STRENGTH_AB%2522:1.0,%2522HPO%2522:100.0%257D", "Show Evidence...")</f>
        <v>Show Evidence...</v>
      </c>
    </row>
    <row r="2276" spans="1:10" ht="12.75">
      <c r="A2276" s="2" t="s">
        <v>3403</v>
      </c>
      <c r="B2276" s="2" t="s">
        <v>3404</v>
      </c>
      <c r="C2276" s="2" t="s">
        <v>24</v>
      </c>
      <c r="D2276" s="2" t="s">
        <v>3405</v>
      </c>
      <c r="E2276" s="2" t="s">
        <v>293</v>
      </c>
      <c r="F2276" s="11">
        <v>18</v>
      </c>
      <c r="G2276" t="s">
        <v>36</v>
      </c>
      <c r="H2276" t="s">
        <v>3538</v>
      </c>
      <c r="I2276" t="s">
        <v>3436</v>
      </c>
      <c r="J2276" s="6" t="str">
        <f>HYPERLINK("https://www.biovista.com/db/link/%5B%5B%22Disease%7Cpyridoxine%20dependent%20epilepsy%22%5D,%20%5B%22Gene%7C4-aminobutyrate%20aminotransferase%22%5D%5D?strength-weight-map=%257B%2522MEDLINE_STRENGTH_AB%2522:1.0,%2522HPO%2522:100.0%257D", "Show Evidence...")</f>
        <v>Show Evidence...</v>
      </c>
    </row>
    <row r="2277" spans="1:10" ht="12.75">
      <c r="A2277" s="2" t="s">
        <v>3403</v>
      </c>
      <c r="B2277" s="2" t="s">
        <v>3404</v>
      </c>
      <c r="C2277" s="2" t="s">
        <v>24</v>
      </c>
      <c r="D2277" s="2" t="s">
        <v>3405</v>
      </c>
      <c r="E2277" s="2" t="s">
        <v>293</v>
      </c>
      <c r="F2277" s="11">
        <v>5805</v>
      </c>
      <c r="G2277" t="s">
        <v>36</v>
      </c>
      <c r="H2277" t="s">
        <v>3539</v>
      </c>
      <c r="I2277" t="s">
        <v>3436</v>
      </c>
      <c r="J2277" s="6" t="str">
        <f>HYPERLINK("https://www.biovista.com/db/link/%5B%5B%22Disease%7Cpyridoxine%20dependent%20epilepsy%22%5D,%20%5B%22Gene%7C6-pyruvoyl%20tetrahydrobiopterin%20synthase%22%5D%5D?strength-weight-map=%257B%2522MEDLINE_STRENGTH_AB%2522:1.0,%2522HPO%2522:100.0%257D", "Show Evidence...")</f>
        <v>Show Evidence...</v>
      </c>
    </row>
    <row r="2278" spans="1:10" ht="12.75">
      <c r="A2278" s="2" t="s">
        <v>3403</v>
      </c>
      <c r="B2278" s="2" t="s">
        <v>3404</v>
      </c>
      <c r="C2278" s="2" t="s">
        <v>24</v>
      </c>
      <c r="D2278" s="2" t="s">
        <v>3405</v>
      </c>
      <c r="E2278" s="2" t="s">
        <v>293</v>
      </c>
      <c r="F2278" s="11">
        <v>1644</v>
      </c>
      <c r="G2278" t="s">
        <v>36</v>
      </c>
      <c r="H2278" t="s">
        <v>1645</v>
      </c>
      <c r="I2278" t="s">
        <v>3436</v>
      </c>
      <c r="J2278" s="6" t="str">
        <f>HYPERLINK("https://www.biovista.com/db/link/%5B%5B%22Disease%7Cpyridoxine%20dependent%20epilepsy%22%5D,%20%5B%22Gene%7CAADC%22%5D%5D?strength-weight-map=%257B%2522MEDLINE_STRENGTH_AB%2522:1.0,%2522HPO%2522:100.0%257D", "Show Evidence...")</f>
        <v>Show Evidence...</v>
      </c>
    </row>
    <row r="2279" spans="1:10" ht="12.75">
      <c r="A2279" s="2" t="s">
        <v>3403</v>
      </c>
      <c r="B2279" s="2" t="s">
        <v>3404</v>
      </c>
      <c r="C2279" s="2" t="s">
        <v>24</v>
      </c>
      <c r="D2279" s="2" t="s">
        <v>3405</v>
      </c>
      <c r="E2279" s="2" t="s">
        <v>293</v>
      </c>
      <c r="F2279" s="11">
        <v>9370</v>
      </c>
      <c r="G2279" t="s">
        <v>36</v>
      </c>
      <c r="H2279" t="s">
        <v>3540</v>
      </c>
      <c r="I2279" t="s">
        <v>3436</v>
      </c>
      <c r="J2279" s="6" t="str">
        <f>HYPERLINK("https://www.biovista.com/db/link/%5B%5B%22Disease%7Cpyridoxine%20dependent%20epilepsy%22%5D,%20%5B%22Gene%7Cadiponectin%22%5D%5D?strength-weight-map=%257B%2522MEDLINE_STRENGTH_AB%2522:1.0,%2522HPO%2522:100.0%257D", "Show Evidence...")</f>
        <v>Show Evidence...</v>
      </c>
    </row>
    <row r="2280" spans="1:10" ht="12.75">
      <c r="A2280" s="2" t="s">
        <v>3403</v>
      </c>
      <c r="B2280" s="2" t="s">
        <v>3404</v>
      </c>
      <c r="C2280" s="2" t="s">
        <v>24</v>
      </c>
      <c r="D2280" s="2" t="s">
        <v>3405</v>
      </c>
      <c r="E2280" s="2" t="s">
        <v>293</v>
      </c>
      <c r="F2280" s="11">
        <v>4326375</v>
      </c>
      <c r="G2280" t="s">
        <v>36</v>
      </c>
      <c r="H2280" t="s">
        <v>3541</v>
      </c>
      <c r="I2280" t="s">
        <v>3436</v>
      </c>
      <c r="J2280" s="6" t="str">
        <f>HYPERLINK("https://www.biovista.com/db/link/%5B%5B%22Disease%7Cpyridoxine%20dependent%20epilepsy%22%5D,%20%5B%22Gene%7CALDH1a%22%5D%5D?strength-weight-map=%257B%2522MEDLINE_STRENGTH_AB%2522:1.0,%2522HPO%2522:100.0%257D", "Show Evidence...")</f>
        <v>Show Evidence...</v>
      </c>
    </row>
    <row r="2281" spans="1:10" ht="12.75">
      <c r="A2281" s="2" t="s">
        <v>3403</v>
      </c>
      <c r="B2281" s="2" t="s">
        <v>3404</v>
      </c>
      <c r="C2281" s="2" t="s">
        <v>24</v>
      </c>
      <c r="D2281" s="2" t="s">
        <v>3405</v>
      </c>
      <c r="E2281" s="2" t="s">
        <v>293</v>
      </c>
      <c r="F2281" s="11">
        <v>19378</v>
      </c>
      <c r="G2281" t="s">
        <v>36</v>
      </c>
      <c r="H2281" t="s">
        <v>3542</v>
      </c>
      <c r="I2281" t="s">
        <v>3436</v>
      </c>
      <c r="J2281" s="6" t="str">
        <f>HYPERLINK("https://www.biovista.com/db/link/%5B%5B%22Disease%7Cpyridoxine%20dependent%20epilepsy%22%5D,%20%5B%22Gene%7CAldh1a7%22%5D%5D?strength-weight-map=%257B%2522MEDLINE_STRENGTH_AB%2522:1.0,%2522HPO%2522:100.0%257D", "Show Evidence...")</f>
        <v>Show Evidence...</v>
      </c>
    </row>
    <row r="2282" spans="1:10" ht="12.75">
      <c r="A2282" s="2" t="s">
        <v>3403</v>
      </c>
      <c r="B2282" s="2" t="s">
        <v>3404</v>
      </c>
      <c r="C2282" s="2" t="s">
        <v>24</v>
      </c>
      <c r="D2282" s="2" t="s">
        <v>3405</v>
      </c>
      <c r="E2282" s="2" t="s">
        <v>293</v>
      </c>
      <c r="F2282" s="11">
        <v>224</v>
      </c>
      <c r="G2282" t="s">
        <v>36</v>
      </c>
      <c r="H2282" t="s">
        <v>3543</v>
      </c>
      <c r="I2282" t="s">
        <v>3436</v>
      </c>
      <c r="J2282" s="6" t="str">
        <f>HYPERLINK("https://www.biovista.com/db/link/%5B%5B%22Disease%7Cpyridoxine%20dependent%20epilepsy%22%5D,%20%5B%22Gene%7CALDH3A2%22%5D%5D?strength-weight-map=%257B%2522MEDLINE_STRENGTH_AB%2522:1.0,%2522HPO%2522:100.0%257D", "Show Evidence...")</f>
        <v>Show Evidence...</v>
      </c>
    </row>
    <row r="2283" spans="1:10" ht="12.75">
      <c r="A2283" s="2" t="s">
        <v>3403</v>
      </c>
      <c r="B2283" s="2" t="s">
        <v>3404</v>
      </c>
      <c r="C2283" s="2" t="s">
        <v>24</v>
      </c>
      <c r="D2283" s="2" t="s">
        <v>3405</v>
      </c>
      <c r="E2283" s="2" t="s">
        <v>293</v>
      </c>
      <c r="F2283" s="11">
        <v>104901700</v>
      </c>
      <c r="G2283" t="s">
        <v>36</v>
      </c>
      <c r="H2283" t="s">
        <v>3544</v>
      </c>
      <c r="I2283" t="s">
        <v>3436</v>
      </c>
      <c r="J2283" s="6" t="str">
        <f>HYPERLINK("https://www.biovista.com/db/link/%5B%5B%22Disease%7Cpyridoxine%20dependent%20epilepsy%22%5D,%20%5B%22Gene%7Calpha-aminoadipic%20semialdehyde%20synthase%22%5D%5D?strength-weight-map=%257B%2522MEDLINE_STRENGTH_AB%2522:1.0,%2522HPO%2522:100.0%257D", "Show Evidence...")</f>
        <v>Show Evidence...</v>
      </c>
    </row>
    <row r="2284" spans="1:10" ht="12.75">
      <c r="A2284" s="2" t="s">
        <v>3403</v>
      </c>
      <c r="B2284" s="2" t="s">
        <v>3404</v>
      </c>
      <c r="C2284" s="2" t="s">
        <v>24</v>
      </c>
      <c r="D2284" s="2" t="s">
        <v>3405</v>
      </c>
      <c r="E2284" s="2" t="s">
        <v>293</v>
      </c>
      <c r="F2284" s="11">
        <v>887216</v>
      </c>
      <c r="G2284" t="s">
        <v>36</v>
      </c>
      <c r="H2284" t="s">
        <v>3545</v>
      </c>
      <c r="I2284" t="s">
        <v>3436</v>
      </c>
      <c r="J2284" s="6" t="str">
        <f>HYPERLINK("https://www.biovista.com/db/link/%5B%5B%22Disease%7Cpyridoxine%20dependent%20epilepsy%22%5D,%20%5B%22Gene%7Camino%20acid%20decarboxylase%22%5D%5D?strength-weight-map=%257B%2522MEDLINE_STRENGTH_AB%2522:1.0,%2522HPO%2522:100.0%257D", "Show Evidence...")</f>
        <v>Show Evidence...</v>
      </c>
    </row>
    <row r="2285" spans="1:10" ht="12.75">
      <c r="A2285" s="2" t="s">
        <v>3403</v>
      </c>
      <c r="B2285" s="2" t="s">
        <v>3404</v>
      </c>
      <c r="C2285" s="2" t="s">
        <v>24</v>
      </c>
      <c r="D2285" s="2" t="s">
        <v>3405</v>
      </c>
      <c r="E2285" s="2" t="s">
        <v>53</v>
      </c>
      <c r="F2285" s="11" t="s">
        <v>3546</v>
      </c>
      <c r="G2285" t="s">
        <v>36</v>
      </c>
      <c r="H2285" t="s">
        <v>3547</v>
      </c>
      <c r="I2285" t="s">
        <v>3436</v>
      </c>
      <c r="J2285" s="6" t="str">
        <f>HYPERLINK("https://www.biovista.com/db/link/%5B%5B%22Disease%7Cpyridoxine%20dependent%20epilepsy%22%5D,%20%5B%22Gene%7CAmino%20Acid%20Transport%20Systems,%20Basic%22%5D%5D?strength-weight-map=%257B%2522MEDLINE_STRENGTH_AB%2522:1.0,%2522HPO%2522:100.0%257D", "Show Evidence...")</f>
        <v>Show Evidence...</v>
      </c>
    </row>
    <row r="2286" spans="1:10" ht="12.75">
      <c r="A2286" s="2" t="s">
        <v>3403</v>
      </c>
      <c r="B2286" s="2" t="s">
        <v>3404</v>
      </c>
      <c r="C2286" s="2" t="s">
        <v>24</v>
      </c>
      <c r="D2286" s="2" t="s">
        <v>3405</v>
      </c>
      <c r="E2286" s="2" t="s">
        <v>293</v>
      </c>
      <c r="F2286" s="11">
        <v>104905688</v>
      </c>
      <c r="G2286" t="s">
        <v>36</v>
      </c>
      <c r="H2286" t="s">
        <v>3548</v>
      </c>
      <c r="I2286" t="s">
        <v>3436</v>
      </c>
      <c r="J2286" s="6" t="str">
        <f>HYPERLINK("https://www.biovista.com/db/link/%5B%5B%22Disease%7Cpyridoxine%20dependent%20epilepsy%22%5D,%20%5B%22Gene%7Caminotransferase%20ALD1%22%5D%5D?strength-weight-map=%257B%2522MEDLINE_STRENGTH_AB%2522:1.0,%2522HPO%2522:100.0%257D", "Show Evidence...")</f>
        <v>Show Evidence...</v>
      </c>
    </row>
    <row r="2287" spans="1:10" ht="12.75">
      <c r="A2287" s="2" t="s">
        <v>3403</v>
      </c>
      <c r="B2287" s="2" t="s">
        <v>3404</v>
      </c>
      <c r="C2287" s="2" t="s">
        <v>24</v>
      </c>
      <c r="D2287" s="2" t="s">
        <v>3405</v>
      </c>
      <c r="E2287" s="2" t="s">
        <v>293</v>
      </c>
      <c r="F2287" s="11">
        <v>1312</v>
      </c>
      <c r="G2287" t="s">
        <v>36</v>
      </c>
      <c r="H2287" t="s">
        <v>3549</v>
      </c>
      <c r="I2287" t="s">
        <v>3436</v>
      </c>
      <c r="J2287" s="6" t="str">
        <f>HYPERLINK("https://www.biovista.com/db/link/%5B%5B%22Disease%7Cpyridoxine%20dependent%20epilepsy%22%5D,%20%5B%22Gene%7Ccatechol%20O-methyltransferase%22%5D%5D?strength-weight-map=%257B%2522MEDLINE_STRENGTH_AB%2522:1.0,%2522HPO%2522:100.0%257D", "Show Evidence...")</f>
        <v>Show Evidence...</v>
      </c>
    </row>
    <row r="2288" spans="1:10" ht="12.75">
      <c r="A2288" s="2" t="s">
        <v>3403</v>
      </c>
      <c r="B2288" s="2" t="s">
        <v>3404</v>
      </c>
      <c r="C2288" s="2" t="s">
        <v>24</v>
      </c>
      <c r="D2288" s="2" t="s">
        <v>3405</v>
      </c>
      <c r="E2288" s="2" t="s">
        <v>293</v>
      </c>
      <c r="F2288" s="11">
        <v>1137</v>
      </c>
      <c r="G2288" t="s">
        <v>36</v>
      </c>
      <c r="H2288" t="s">
        <v>3550</v>
      </c>
      <c r="I2288" t="s">
        <v>3436</v>
      </c>
      <c r="J2288" s="6" t="str">
        <f>HYPERLINK("https://www.biovista.com/db/link/%5B%5B%22Disease%7Cpyridoxine%20dependent%20epilepsy%22%5D,%20%5B%22Gene%7CCHRNA4%22%5D%5D?strength-weight-map=%257B%2522MEDLINE_STRENGTH_AB%2522:1.0,%2522HPO%2522:100.0%257D", "Show Evidence...")</f>
        <v>Show Evidence...</v>
      </c>
    </row>
    <row r="2289" spans="1:10" ht="12.75">
      <c r="A2289" s="2" t="s">
        <v>3403</v>
      </c>
      <c r="B2289" s="2" t="s">
        <v>3404</v>
      </c>
      <c r="C2289" s="2" t="s">
        <v>24</v>
      </c>
      <c r="D2289" s="2" t="s">
        <v>3405</v>
      </c>
      <c r="E2289" s="2" t="s">
        <v>293</v>
      </c>
      <c r="F2289" s="11">
        <v>171425</v>
      </c>
      <c r="G2289" t="s">
        <v>36</v>
      </c>
      <c r="H2289" t="s">
        <v>3551</v>
      </c>
      <c r="I2289" t="s">
        <v>3436</v>
      </c>
      <c r="J2289" s="6" t="str">
        <f>HYPERLINK("https://www.biovista.com/db/link/%5B%5B%22Disease%7Cpyridoxine%20dependent%20epilepsy%22%5D,%20%5B%22Gene%7CCLB%22%5D%5D?strength-weight-map=%257B%2522MEDLINE_STRENGTH_AB%2522:1.0,%2522HPO%2522:100.0%257D", "Show Evidence...")</f>
        <v>Show Evidence...</v>
      </c>
    </row>
    <row r="2290" spans="1:10" ht="12.75">
      <c r="A2290" s="2" t="s">
        <v>3403</v>
      </c>
      <c r="B2290" s="2" t="s">
        <v>3404</v>
      </c>
      <c r="C2290" s="2" t="s">
        <v>24</v>
      </c>
      <c r="D2290" s="2" t="s">
        <v>3405</v>
      </c>
      <c r="E2290" s="2" t="s">
        <v>293</v>
      </c>
      <c r="F2290" s="11">
        <v>27335</v>
      </c>
      <c r="G2290" t="s">
        <v>36</v>
      </c>
      <c r="H2290" t="s">
        <v>3552</v>
      </c>
      <c r="I2290" t="s">
        <v>3436</v>
      </c>
      <c r="J2290" s="6" t="str">
        <f>HYPERLINK("https://www.biovista.com/db/link/%5B%5B%22Disease%7Cpyridoxine%20dependent%20epilepsy%22%5D,%20%5B%22Gene%7CEIF3K%22%5D%5D?strength-weight-map=%257B%2522MEDLINE_STRENGTH_AB%2522:1.0,%2522HPO%2522:100.0%257D", "Show Evidence...")</f>
        <v>Show Evidence...</v>
      </c>
    </row>
    <row r="2291" spans="1:10" ht="12.75">
      <c r="A2291" s="2" t="s">
        <v>3403</v>
      </c>
      <c r="B2291" s="2" t="s">
        <v>3404</v>
      </c>
      <c r="C2291" s="2" t="s">
        <v>24</v>
      </c>
      <c r="D2291" s="2" t="s">
        <v>3405</v>
      </c>
      <c r="E2291" s="2" t="s">
        <v>293</v>
      </c>
      <c r="F2291" s="11">
        <v>2108</v>
      </c>
      <c r="G2291" t="s">
        <v>36</v>
      </c>
      <c r="H2291" t="s">
        <v>3553</v>
      </c>
      <c r="I2291" t="s">
        <v>3436</v>
      </c>
      <c r="J2291" s="6" t="str">
        <f>HYPERLINK("https://www.biovista.com/db/link/%5B%5B%22Disease%7Cpyridoxine%20dependent%20epilepsy%22%5D,%20%5B%22Gene%7CEMA%22%5D%5D?strength-weight-map=%257B%2522MEDLINE_STRENGTH_AB%2522:1.0,%2522HPO%2522:100.0%257D", "Show Evidence...")</f>
        <v>Show Evidence...</v>
      </c>
    </row>
    <row r="2292" spans="1:10" ht="12.75">
      <c r="A2292" s="2" t="s">
        <v>3403</v>
      </c>
      <c r="B2292" s="2" t="s">
        <v>3404</v>
      </c>
      <c r="C2292" s="2" t="s">
        <v>24</v>
      </c>
      <c r="D2292" s="2" t="s">
        <v>3405</v>
      </c>
      <c r="E2292" s="2" t="s">
        <v>293</v>
      </c>
      <c r="F2292" s="11">
        <v>2348</v>
      </c>
      <c r="G2292" t="s">
        <v>36</v>
      </c>
      <c r="H2292" t="s">
        <v>3554</v>
      </c>
      <c r="I2292" t="s">
        <v>3436</v>
      </c>
      <c r="J2292" s="6" t="str">
        <f>HYPERLINK("https://www.biovista.com/db/link/%5B%5B%22Disease%7Cpyridoxine%20dependent%20epilepsy%22%5D,%20%5B%22Gene%7Cfolate%20receptor%20alpha%22%5D%5D?strength-weight-map=%257B%2522MEDLINE_STRENGTH_AB%2522:1.0,%2522HPO%2522:100.0%257D", "Show Evidence...")</f>
        <v>Show Evidence...</v>
      </c>
    </row>
    <row r="2293" spans="1:10" ht="12.75">
      <c r="A2293" s="2" t="s">
        <v>3403</v>
      </c>
      <c r="B2293" s="2" t="s">
        <v>3404</v>
      </c>
      <c r="C2293" s="2" t="s">
        <v>24</v>
      </c>
      <c r="D2293" s="2" t="s">
        <v>3405</v>
      </c>
      <c r="E2293" s="2" t="s">
        <v>293</v>
      </c>
      <c r="F2293" s="11">
        <v>24379</v>
      </c>
      <c r="G2293" t="s">
        <v>36</v>
      </c>
      <c r="H2293" t="s">
        <v>3555</v>
      </c>
      <c r="I2293" t="s">
        <v>3436</v>
      </c>
      <c r="J2293" s="6" t="str">
        <f>HYPERLINK("https://www.biovista.com/db/link/%5B%5B%22Disease%7Cpyridoxine%20dependent%20epilepsy%22%5D,%20%5B%22Gene%7CGAD67%22%5D%5D?strength-weight-map=%257B%2522MEDLINE_STRENGTH_AB%2522:1.0,%2522HPO%2522:100.0%257D", "Show Evidence...")</f>
        <v>Show Evidence...</v>
      </c>
    </row>
    <row r="2294" spans="1:10" ht="12.75">
      <c r="A2294" s="2" t="s">
        <v>3403</v>
      </c>
      <c r="B2294" s="2" t="s">
        <v>3404</v>
      </c>
      <c r="C2294" s="2" t="s">
        <v>24</v>
      </c>
      <c r="D2294" s="2" t="s">
        <v>3405</v>
      </c>
      <c r="E2294" s="2" t="s">
        <v>293</v>
      </c>
      <c r="F2294" s="11">
        <v>2593</v>
      </c>
      <c r="G2294" t="s">
        <v>36</v>
      </c>
      <c r="H2294" t="s">
        <v>3556</v>
      </c>
      <c r="I2294" t="s">
        <v>3436</v>
      </c>
      <c r="J2294" s="6" t="str">
        <f>HYPERLINK("https://www.biovista.com/db/link/%5B%5B%22Disease%7Cpyridoxine%20dependent%20epilepsy%22%5D,%20%5B%22Gene%7CGAMT%22%5D%5D?strength-weight-map=%257B%2522MEDLINE_STRENGTH_AB%2522:1.0,%2522HPO%2522:100.0%257D", "Show Evidence...")</f>
        <v>Show Evidence...</v>
      </c>
    </row>
    <row r="2295" spans="1:10" ht="12.75">
      <c r="A2295" s="2" t="s">
        <v>3403</v>
      </c>
      <c r="B2295" s="2" t="s">
        <v>3404</v>
      </c>
      <c r="C2295" s="2" t="s">
        <v>24</v>
      </c>
      <c r="D2295" s="2" t="s">
        <v>3405</v>
      </c>
      <c r="E2295" s="2" t="s">
        <v>53</v>
      </c>
      <c r="F2295" s="11" t="s">
        <v>3557</v>
      </c>
      <c r="G2295" t="s">
        <v>36</v>
      </c>
      <c r="H2295" t="s">
        <v>3558</v>
      </c>
      <c r="I2295" t="s">
        <v>3436</v>
      </c>
      <c r="J2295" s="6" t="str">
        <f>HYPERLINK("https://www.biovista.com/db/link/%5B%5B%22Disease%7Cpyridoxine%20dependent%20epilepsy%22%5D,%20%5B%22Gene%7Cglucuronosyltransferase%22%5D%5D?strength-weight-map=%257B%2522MEDLINE_STRENGTH_AB%2522:1.0,%2522HPO%2522:100.0%257D", "Show Evidence...")</f>
        <v>Show Evidence...</v>
      </c>
    </row>
    <row r="2296" spans="1:10" ht="12.75">
      <c r="A2296" s="2" t="s">
        <v>3403</v>
      </c>
      <c r="B2296" s="2" t="s">
        <v>3404</v>
      </c>
      <c r="C2296" s="2" t="s">
        <v>24</v>
      </c>
      <c r="D2296" s="2" t="s">
        <v>3405</v>
      </c>
      <c r="E2296" s="2" t="s">
        <v>293</v>
      </c>
      <c r="F2296" s="11">
        <v>22824</v>
      </c>
      <c r="G2296" t="s">
        <v>36</v>
      </c>
      <c r="H2296" t="s">
        <v>3559</v>
      </c>
      <c r="I2296" t="s">
        <v>3436</v>
      </c>
      <c r="J2296" s="6" t="str">
        <f>HYPERLINK("https://www.biovista.com/db/link/%5B%5B%22Disease%7Cpyridoxine%20dependent%20epilepsy%22%5D,%20%5B%22Gene%7CHSPA4L%22%5D%5D?strength-weight-map=%257B%2522MEDLINE_STRENGTH_AB%2522:1.0,%2522HPO%2522:100.0%257D", "Show Evidence...")</f>
        <v>Show Evidence...</v>
      </c>
    </row>
    <row r="2297" spans="1:10" ht="12.75">
      <c r="A2297" s="2" t="s">
        <v>3403</v>
      </c>
      <c r="B2297" s="2" t="s">
        <v>3404</v>
      </c>
      <c r="C2297" s="2" t="s">
        <v>24</v>
      </c>
      <c r="D2297" s="2" t="s">
        <v>3405</v>
      </c>
      <c r="E2297" s="2" t="s">
        <v>293</v>
      </c>
      <c r="F2297" s="11">
        <v>3736</v>
      </c>
      <c r="G2297" t="s">
        <v>36</v>
      </c>
      <c r="H2297" t="s">
        <v>3560</v>
      </c>
      <c r="I2297" t="s">
        <v>3436</v>
      </c>
      <c r="J2297" s="6" t="str">
        <f>HYPERLINK("https://www.biovista.com/db/link/%5B%5B%22Disease%7Cpyridoxine%20dependent%20epilepsy%22%5D,%20%5B%22Gene%7CKCNA1%22%5D%5D?strength-weight-map=%257B%2522MEDLINE_STRENGTH_AB%2522:1.0,%2522HPO%2522:100.0%257D", "Show Evidence...")</f>
        <v>Show Evidence...</v>
      </c>
    </row>
    <row r="2298" spans="1:10" ht="12.75">
      <c r="A2298" s="2" t="s">
        <v>3403</v>
      </c>
      <c r="B2298" s="2" t="s">
        <v>3404</v>
      </c>
      <c r="C2298" s="2" t="s">
        <v>24</v>
      </c>
      <c r="D2298" s="2" t="s">
        <v>3405</v>
      </c>
      <c r="E2298" s="2" t="s">
        <v>293</v>
      </c>
      <c r="F2298" s="11">
        <v>51268</v>
      </c>
      <c r="G2298" t="s">
        <v>36</v>
      </c>
      <c r="H2298" t="s">
        <v>3561</v>
      </c>
      <c r="I2298" t="s">
        <v>3436</v>
      </c>
      <c r="J2298" s="6" t="str">
        <f>HYPERLINK("https://www.biovista.com/db/link/%5B%5B%22Disease%7Cpyridoxine%20dependent%20epilepsy%22%5D,%20%5B%22Gene%7CL-pipecolate%20oxidase%22%5D%5D?strength-weight-map=%257B%2522MEDLINE_STRENGTH_AB%2522:1.0,%2522HPO%2522:100.0%257D", "Show Evidence...")</f>
        <v>Show Evidence...</v>
      </c>
    </row>
    <row r="2299" spans="1:10" ht="12.75">
      <c r="A2299" s="2" t="s">
        <v>3403</v>
      </c>
      <c r="B2299" s="2" t="s">
        <v>3404</v>
      </c>
      <c r="C2299" s="2" t="s">
        <v>24</v>
      </c>
      <c r="D2299" s="2" t="s">
        <v>3405</v>
      </c>
      <c r="E2299" s="2" t="s">
        <v>293</v>
      </c>
      <c r="F2299" s="11">
        <v>4524</v>
      </c>
      <c r="G2299" t="s">
        <v>36</v>
      </c>
      <c r="H2299" t="s">
        <v>3562</v>
      </c>
      <c r="I2299" t="s">
        <v>3436</v>
      </c>
      <c r="J2299" s="6" t="str">
        <f>HYPERLINK("https://www.biovista.com/db/link/%5B%5B%22Disease%7Cpyridoxine%20dependent%20epilepsy%22%5D,%20%5B%22Gene%7Cmethylenetetrahydrofolate%20reductase%22%5D%5D?strength-weight-map=%257B%2522MEDLINE_STRENGTH_AB%2522:1.0,%2522HPO%2522:100.0%257D", "Show Evidence...")</f>
        <v>Show Evidence...</v>
      </c>
    </row>
    <row r="2300" spans="1:10" ht="12.75">
      <c r="A2300" s="2" t="s">
        <v>3403</v>
      </c>
      <c r="B2300" s="2" t="s">
        <v>3404</v>
      </c>
      <c r="C2300" s="2" t="s">
        <v>24</v>
      </c>
      <c r="D2300" s="2" t="s">
        <v>3405</v>
      </c>
      <c r="E2300" s="2" t="s">
        <v>293</v>
      </c>
      <c r="F2300" s="11">
        <v>4338</v>
      </c>
      <c r="G2300" t="s">
        <v>36</v>
      </c>
      <c r="H2300" t="s">
        <v>3563</v>
      </c>
      <c r="I2300" t="s">
        <v>3436</v>
      </c>
      <c r="J2300" s="6" t="str">
        <f>HYPERLINK("https://www.biovista.com/db/link/%5B%5B%22Disease%7Cpyridoxine%20dependent%20epilepsy%22%5D,%20%5B%22Gene%7CMOCS2%22%5D%5D?strength-weight-map=%257B%2522MEDLINE_STRENGTH_AB%2522:1.0,%2522HPO%2522:100.0%257D", "Show Evidence...")</f>
        <v>Show Evidence...</v>
      </c>
    </row>
    <row r="2301" spans="1:10" ht="12.75">
      <c r="A2301" s="2" t="s">
        <v>3403</v>
      </c>
      <c r="B2301" s="2" t="s">
        <v>3404</v>
      </c>
      <c r="C2301" s="2" t="s">
        <v>24</v>
      </c>
      <c r="D2301" s="2" t="s">
        <v>3405</v>
      </c>
      <c r="E2301" s="2" t="s">
        <v>293</v>
      </c>
      <c r="F2301" s="11">
        <v>462369</v>
      </c>
      <c r="G2301" t="s">
        <v>36</v>
      </c>
      <c r="H2301" t="s">
        <v>3564</v>
      </c>
      <c r="I2301" t="s">
        <v>3436</v>
      </c>
      <c r="J2301" s="6" t="str">
        <f>HYPERLINK("https://www.biovista.com/db/link/%5B%5B%22Disease%7Cpyridoxine%20dependent%20epilepsy%22%5D,%20%5B%22Gene%7Cmolybdopterin%20synthase%22%5D%5D?strength-weight-map=%257B%2522MEDLINE_STRENGTH_AB%2522:1.0,%2522HPO%2522:100.0%257D", "Show Evidence...")</f>
        <v>Show Evidence...</v>
      </c>
    </row>
    <row r="2302" spans="1:10" ht="12.75">
      <c r="A2302" s="2" t="s">
        <v>3403</v>
      </c>
      <c r="B2302" s="2" t="s">
        <v>3404</v>
      </c>
      <c r="C2302" s="2" t="s">
        <v>24</v>
      </c>
      <c r="D2302" s="2" t="s">
        <v>3405</v>
      </c>
      <c r="E2302" s="2" t="s">
        <v>53</v>
      </c>
      <c r="F2302" s="11" t="s">
        <v>3565</v>
      </c>
      <c r="G2302" t="s">
        <v>36</v>
      </c>
      <c r="H2302" t="s">
        <v>3566</v>
      </c>
      <c r="I2302" t="s">
        <v>3436</v>
      </c>
      <c r="J2302" s="6" t="str">
        <f>HYPERLINK("https://www.biovista.com/db/link/%5B%5B%22Disease%7Cpyridoxine%20dependent%20epilepsy%22%5D,%20%5B%22Gene%7CNAV1.2%20Voltage-Gated%20Sodium%20Channel%22%5D%5D?strength-weight-map=%257B%2522MEDLINE_STRENGTH_AB%2522:1.0,%2522HPO%2522:100.0%257D", "Show Evidence...")</f>
        <v>Show Evidence...</v>
      </c>
    </row>
    <row r="2303" spans="1:10" ht="12.75">
      <c r="A2303" s="2" t="s">
        <v>3403</v>
      </c>
      <c r="B2303" s="2" t="s">
        <v>3404</v>
      </c>
      <c r="C2303" s="2" t="s">
        <v>24</v>
      </c>
      <c r="D2303" s="2" t="s">
        <v>3405</v>
      </c>
      <c r="E2303" s="2" t="s">
        <v>293</v>
      </c>
      <c r="F2303" s="11">
        <v>3874558</v>
      </c>
      <c r="G2303" t="s">
        <v>36</v>
      </c>
      <c r="H2303" t="s">
        <v>3567</v>
      </c>
      <c r="I2303" t="s">
        <v>3436</v>
      </c>
      <c r="J2303" s="6" t="str">
        <f>HYPERLINK("https://www.biovista.com/db/link/%5B%5B%22Disease%7Cpyridoxine%20dependent%20epilepsy%22%5D,%20%5B%22Gene%7CNCU04902%22%5D%5D?strength-weight-map=%257B%2522MEDLINE_STRENGTH_AB%2522:1.0,%2522HPO%2522:100.0%257D", "Show Evidence...")</f>
        <v>Show Evidence...</v>
      </c>
    </row>
    <row r="2304" spans="1:10" ht="12.75">
      <c r="A2304" s="2" t="s">
        <v>3403</v>
      </c>
      <c r="B2304" s="2" t="s">
        <v>3404</v>
      </c>
      <c r="C2304" s="2" t="s">
        <v>24</v>
      </c>
      <c r="D2304" s="2" t="s">
        <v>3405</v>
      </c>
      <c r="E2304" s="2" t="s">
        <v>293</v>
      </c>
      <c r="F2304" s="11">
        <v>3878017</v>
      </c>
      <c r="G2304" t="s">
        <v>36</v>
      </c>
      <c r="H2304" t="s">
        <v>3568</v>
      </c>
      <c r="I2304" t="s">
        <v>3436</v>
      </c>
      <c r="J2304" s="6" t="str">
        <f>HYPERLINK("https://www.biovista.com/db/link/%5B%5B%22Disease%7Cpyridoxine%20dependent%20epilepsy%22%5D,%20%5B%22Gene%7CNCU05165%22%5D%5D?strength-weight-map=%257B%2522MEDLINE_STRENGTH_AB%2522:1.0,%2522HPO%2522:100.0%257D", "Show Evidence...")</f>
        <v>Show Evidence...</v>
      </c>
    </row>
    <row r="2305" spans="1:10" ht="12.75">
      <c r="A2305" s="2" t="s">
        <v>3403</v>
      </c>
      <c r="B2305" s="2" t="s">
        <v>3404</v>
      </c>
      <c r="C2305" s="2" t="s">
        <v>24</v>
      </c>
      <c r="D2305" s="2" t="s">
        <v>3405</v>
      </c>
      <c r="E2305" s="2" t="s">
        <v>293</v>
      </c>
      <c r="F2305" s="11">
        <v>201780</v>
      </c>
      <c r="G2305" t="s">
        <v>36</v>
      </c>
      <c r="H2305" t="s">
        <v>3569</v>
      </c>
      <c r="I2305" t="s">
        <v>3436</v>
      </c>
      <c r="J2305" s="6" t="str">
        <f>HYPERLINK("https://www.biovista.com/db/link/%5B%5B%22Disease%7Cpyridoxine%20dependent%20epilepsy%22%5D,%20%5B%22Gene%7Cp4%22%5D%5D?strength-weight-map=%257B%2522MEDLINE_STRENGTH_AB%2522:1.0,%2522HPO%2522:100.0%257D", "Show Evidence...")</f>
        <v>Show Evidence...</v>
      </c>
    </row>
    <row r="2306" spans="1:10" ht="12.75">
      <c r="A2306" s="2" t="s">
        <v>3403</v>
      </c>
      <c r="B2306" s="2" t="s">
        <v>3404</v>
      </c>
      <c r="C2306" s="2" t="s">
        <v>24</v>
      </c>
      <c r="D2306" s="2" t="s">
        <v>3405</v>
      </c>
      <c r="E2306" s="2" t="s">
        <v>293</v>
      </c>
      <c r="F2306" s="11">
        <v>113235</v>
      </c>
      <c r="G2306" t="s">
        <v>36</v>
      </c>
      <c r="H2306" t="s">
        <v>3570</v>
      </c>
      <c r="I2306" t="s">
        <v>3436</v>
      </c>
      <c r="J2306" s="6" t="str">
        <f>HYPERLINK("https://www.biovista.com/db/link/%5B%5B%22Disease%7Cpyridoxine%20dependent%20epilepsy%22%5D,%20%5B%22Gene%7CPCFT%22%5D%5D?strength-weight-map=%257B%2522MEDLINE_STRENGTH_AB%2522:1.0,%2522HPO%2522:100.0%257D", "Show Evidence...")</f>
        <v>Show Evidence...</v>
      </c>
    </row>
    <row r="2307" spans="1:10" ht="12.75">
      <c r="A2307" s="2" t="s">
        <v>3403</v>
      </c>
      <c r="B2307" s="2" t="s">
        <v>3404</v>
      </c>
      <c r="C2307" s="2" t="s">
        <v>24</v>
      </c>
      <c r="D2307" s="2" t="s">
        <v>3405</v>
      </c>
      <c r="E2307" s="2" t="s">
        <v>293</v>
      </c>
      <c r="F2307" s="11">
        <v>54704</v>
      </c>
      <c r="G2307" t="s">
        <v>36</v>
      </c>
      <c r="H2307" t="s">
        <v>2024</v>
      </c>
      <c r="I2307" t="s">
        <v>3436</v>
      </c>
      <c r="J2307" s="6" t="str">
        <f>HYPERLINK("https://www.biovista.com/db/link/%5B%5B%22Disease%7Cpyridoxine%20dependent%20epilepsy%22%5D,%20%5B%22Gene%7CPDH%22%5D%5D?strength-weight-map=%257B%2522MEDLINE_STRENGTH_AB%2522:1.0,%2522HPO%2522:100.0%257D", "Show Evidence...")</f>
        <v>Show Evidence...</v>
      </c>
    </row>
    <row r="2308" spans="1:10" ht="12.75">
      <c r="A2308" s="2" t="s">
        <v>3403</v>
      </c>
      <c r="B2308" s="2" t="s">
        <v>3404</v>
      </c>
      <c r="C2308" s="2" t="s">
        <v>24</v>
      </c>
      <c r="D2308" s="2" t="s">
        <v>3405</v>
      </c>
      <c r="E2308" s="2" t="s">
        <v>293</v>
      </c>
      <c r="F2308" s="11">
        <v>5053</v>
      </c>
      <c r="G2308" t="s">
        <v>36</v>
      </c>
      <c r="H2308" t="s">
        <v>1638</v>
      </c>
      <c r="I2308" t="s">
        <v>3436</v>
      </c>
      <c r="J2308" s="6" t="str">
        <f>HYPERLINK("https://www.biovista.com/db/link/%5B%5B%22Disease%7Cpyridoxine%20dependent%20epilepsy%22%5D,%20%5B%22Gene%7Cphenylalanine%20hydroxylase%22%5D%5D?strength-weight-map=%257B%2522MEDLINE_STRENGTH_AB%2522:1.0,%2522HPO%2522:100.0%257D", "Show Evidence...")</f>
        <v>Show Evidence...</v>
      </c>
    </row>
    <row r="2309" spans="1:10" ht="12.75">
      <c r="A2309" s="2" t="s">
        <v>3403</v>
      </c>
      <c r="B2309" s="2" t="s">
        <v>3404</v>
      </c>
      <c r="C2309" s="2" t="s">
        <v>24</v>
      </c>
      <c r="D2309" s="2" t="s">
        <v>3405</v>
      </c>
      <c r="E2309" s="2" t="s">
        <v>293</v>
      </c>
      <c r="F2309" s="11">
        <v>9657</v>
      </c>
      <c r="G2309" t="s">
        <v>36</v>
      </c>
      <c r="H2309" t="s">
        <v>3571</v>
      </c>
      <c r="I2309" t="s">
        <v>3436</v>
      </c>
      <c r="J2309" s="6" t="str">
        <f>HYPERLINK("https://www.biovista.com/db/link/%5B%5B%22Disease%7Cpyridoxine%20dependent%20epilepsy%22%5D,%20%5B%22Gene%7CPIQ%22%5D%5D?strength-weight-map=%257B%2522MEDLINE_STRENGTH_AB%2522:1.0,%2522HPO%2522:100.0%257D", "Show Evidence...")</f>
        <v>Show Evidence...</v>
      </c>
    </row>
    <row r="2310" spans="1:10" ht="12.75">
      <c r="A2310" s="2" t="s">
        <v>3403</v>
      </c>
      <c r="B2310" s="2" t="s">
        <v>3404</v>
      </c>
      <c r="C2310" s="2" t="s">
        <v>24</v>
      </c>
      <c r="D2310" s="2" t="s">
        <v>3405</v>
      </c>
      <c r="E2310" s="2" t="s">
        <v>293</v>
      </c>
      <c r="F2310" s="11">
        <v>5428</v>
      </c>
      <c r="G2310" t="s">
        <v>36</v>
      </c>
      <c r="H2310" t="s">
        <v>3572</v>
      </c>
      <c r="I2310" t="s">
        <v>3436</v>
      </c>
      <c r="J2310" s="6" t="str">
        <f>HYPERLINK("https://www.biovista.com/db/link/%5B%5B%22Disease%7Cpyridoxine%20dependent%20epilepsy%22%5D,%20%5B%22Gene%7CPOLG1%22%5D%5D?strength-weight-map=%257B%2522MEDLINE_STRENGTH_AB%2522:1.0,%2522HPO%2522:100.0%257D", "Show Evidence...")</f>
        <v>Show Evidence...</v>
      </c>
    </row>
    <row r="2311" spans="1:10" ht="12.75">
      <c r="A2311" s="2" t="s">
        <v>3403</v>
      </c>
      <c r="B2311" s="2" t="s">
        <v>3404</v>
      </c>
      <c r="C2311" s="2" t="s">
        <v>24</v>
      </c>
      <c r="D2311" s="2" t="s">
        <v>3405</v>
      </c>
      <c r="E2311" s="2" t="s">
        <v>293</v>
      </c>
      <c r="F2311" s="11">
        <v>938239</v>
      </c>
      <c r="G2311" t="s">
        <v>36</v>
      </c>
      <c r="H2311" t="s">
        <v>1990</v>
      </c>
      <c r="I2311" t="s">
        <v>3436</v>
      </c>
      <c r="J2311" s="6" t="str">
        <f>HYPERLINK("https://www.biovista.com/db/link/%5B%5B%22Disease%7Cpyridoxine%20dependent%20epilepsy%22%5D,%20%5B%22Gene%7CpoxB%22%5D%5D?strength-weight-map=%257B%2522MEDLINE_STRENGTH_AB%2522:1.0,%2522HPO%2522:100.0%257D", "Show Evidence...")</f>
        <v>Show Evidence...</v>
      </c>
    </row>
    <row r="2312" spans="1:10" ht="12.75">
      <c r="A2312" s="2" t="s">
        <v>3403</v>
      </c>
      <c r="B2312" s="2" t="s">
        <v>3404</v>
      </c>
      <c r="C2312" s="2" t="s">
        <v>24</v>
      </c>
      <c r="D2312" s="2" t="s">
        <v>3405</v>
      </c>
      <c r="E2312" s="2" t="s">
        <v>293</v>
      </c>
      <c r="F2312" s="11">
        <v>5624</v>
      </c>
      <c r="G2312" t="s">
        <v>36</v>
      </c>
      <c r="H2312" t="s">
        <v>3573</v>
      </c>
      <c r="I2312" t="s">
        <v>3436</v>
      </c>
      <c r="J2312" s="6" t="str">
        <f>HYPERLINK("https://www.biovista.com/db/link/%5B%5B%22Disease%7Cpyridoxine%20dependent%20epilepsy%22%5D,%20%5B%22Gene%7CPROC%22%5D%5D?strength-weight-map=%257B%2522MEDLINE_STRENGTH_AB%2522:1.0,%2522HPO%2522:100.0%257D", "Show Evidence...")</f>
        <v>Show Evidence...</v>
      </c>
    </row>
    <row r="2313" spans="1:10" ht="12.75">
      <c r="A2313" s="2" t="s">
        <v>3403</v>
      </c>
      <c r="B2313" s="2" t="s">
        <v>3404</v>
      </c>
      <c r="C2313" s="2" t="s">
        <v>24</v>
      </c>
      <c r="D2313" s="2" t="s">
        <v>3405</v>
      </c>
      <c r="E2313" s="2" t="s">
        <v>53</v>
      </c>
      <c r="F2313" s="11" t="s">
        <v>3574</v>
      </c>
      <c r="G2313" t="s">
        <v>36</v>
      </c>
      <c r="H2313" t="s">
        <v>3575</v>
      </c>
      <c r="I2313" t="s">
        <v>3436</v>
      </c>
      <c r="J2313" s="6" t="str">
        <f>HYPERLINK("https://www.biovista.com/db/link/%5B%5B%22Disease%7Cpyridoxine%20dependent%20epilepsy%22%5D,%20%5B%22Gene%7CProtocadherins%22%5D%5D?strength-weight-map=%257B%2522MEDLINE_STRENGTH_AB%2522:1.0,%2522HPO%2522:100.0%257D", "Show Evidence...")</f>
        <v>Show Evidence...</v>
      </c>
    </row>
    <row r="2314" spans="1:10" ht="12.75">
      <c r="A2314" s="2" t="s">
        <v>3403</v>
      </c>
      <c r="B2314" s="2" t="s">
        <v>3404</v>
      </c>
      <c r="C2314" s="2" t="s">
        <v>24</v>
      </c>
      <c r="D2314" s="2" t="s">
        <v>3405</v>
      </c>
      <c r="E2314" s="2" t="s">
        <v>53</v>
      </c>
      <c r="F2314" s="11" t="s">
        <v>3576</v>
      </c>
      <c r="G2314" t="s">
        <v>36</v>
      </c>
      <c r="H2314" t="s">
        <v>3577</v>
      </c>
      <c r="I2314" t="s">
        <v>3436</v>
      </c>
      <c r="J2314" s="6" t="str">
        <f>HYPERLINK("https://www.biovista.com/db/link/%5B%5B%22Disease%7Cpyridoxine%20dependent%20epilepsy%22%5D,%20%5B%22Gene%7CProton%20Coupled%20Folate%20Transporter%22%5D%5D?strength-weight-map=%257B%2522MEDLINE_STRENGTH_AB%2522:1.0,%2522HPO%2522:100.0%257D", "Show Evidence...")</f>
        <v>Show Evidence...</v>
      </c>
    </row>
    <row r="2315" spans="1:10" ht="12.75">
      <c r="A2315" s="2" t="s">
        <v>3403</v>
      </c>
      <c r="B2315" s="2" t="s">
        <v>3404</v>
      </c>
      <c r="C2315" s="2" t="s">
        <v>24</v>
      </c>
      <c r="D2315" s="2" t="s">
        <v>3405</v>
      </c>
      <c r="E2315" s="2" t="s">
        <v>293</v>
      </c>
      <c r="F2315" s="11">
        <v>940035</v>
      </c>
      <c r="G2315" t="s">
        <v>36</v>
      </c>
      <c r="H2315" t="s">
        <v>3578</v>
      </c>
      <c r="I2315" t="s">
        <v>3436</v>
      </c>
      <c r="J2315" s="6" t="str">
        <f>HYPERLINK("https://www.biovista.com/db/link/%5B%5B%22Disease%7Cpyridoxine%20dependent%20epilepsy%22%5D,%20%5B%22Gene%7Cpyrroline-5-carboxylate%20reductase%22%5D%5D?strength-weight-map=%257B%2522MEDLINE_STRENGTH_AB%2522:1.0,%2522HPO%2522:100.0%257D", "Show Evidence...")</f>
        <v>Show Evidence...</v>
      </c>
    </row>
    <row r="2316" spans="1:10" ht="12.75">
      <c r="A2316" s="2" t="s">
        <v>3403</v>
      </c>
      <c r="B2316" s="2" t="s">
        <v>3404</v>
      </c>
      <c r="C2316" s="2" t="s">
        <v>24</v>
      </c>
      <c r="D2316" s="2" t="s">
        <v>3405</v>
      </c>
      <c r="E2316" s="2" t="s">
        <v>293</v>
      </c>
      <c r="F2316" s="11">
        <v>56729</v>
      </c>
      <c r="G2316" t="s">
        <v>36</v>
      </c>
      <c r="H2316" t="s">
        <v>3579</v>
      </c>
      <c r="I2316" t="s">
        <v>3436</v>
      </c>
      <c r="J2316" s="6" t="str">
        <f>HYPERLINK("https://www.biovista.com/db/link/%5B%5B%22Disease%7Cpyridoxine%20dependent%20epilepsy%22%5D,%20%5B%22Gene%7CRETN%22%5D%5D?strength-weight-map=%257B%2522MEDLINE_STRENGTH_AB%2522:1.0,%2522HPO%2522:100.0%257D", "Show Evidence...")</f>
        <v>Show Evidence...</v>
      </c>
    </row>
    <row r="2317" spans="1:10" ht="12.75">
      <c r="A2317" s="2" t="s">
        <v>3403</v>
      </c>
      <c r="B2317" s="2" t="s">
        <v>3404</v>
      </c>
      <c r="C2317" s="2" t="s">
        <v>24</v>
      </c>
      <c r="D2317" s="2" t="s">
        <v>3405</v>
      </c>
      <c r="E2317" s="2" t="s">
        <v>293</v>
      </c>
      <c r="F2317" s="11">
        <v>6328</v>
      </c>
      <c r="G2317" t="s">
        <v>36</v>
      </c>
      <c r="H2317" t="s">
        <v>3580</v>
      </c>
      <c r="I2317" t="s">
        <v>3436</v>
      </c>
      <c r="J2317" s="6" t="str">
        <f>HYPERLINK("https://www.biovista.com/db/link/%5B%5B%22Disease%7Cpyridoxine%20dependent%20epilepsy%22%5D,%20%5B%22Gene%7CSCN3A%22%5D%5D?strength-weight-map=%257B%2522MEDLINE_STRENGTH_AB%2522:1.0,%2522HPO%2522:100.0%257D", "Show Evidence...")</f>
        <v>Show Evidence...</v>
      </c>
    </row>
    <row r="2318" spans="1:10" ht="12.75">
      <c r="A2318" s="2" t="s">
        <v>3403</v>
      </c>
      <c r="B2318" s="2" t="s">
        <v>3404</v>
      </c>
      <c r="C2318" s="2" t="s">
        <v>24</v>
      </c>
      <c r="D2318" s="2" t="s">
        <v>3405</v>
      </c>
      <c r="E2318" s="2" t="s">
        <v>293</v>
      </c>
      <c r="F2318" s="11">
        <v>6332</v>
      </c>
      <c r="G2318" t="s">
        <v>36</v>
      </c>
      <c r="H2318" t="s">
        <v>3581</v>
      </c>
      <c r="I2318" t="s">
        <v>3436</v>
      </c>
      <c r="J2318" s="6" t="str">
        <f>HYPERLINK("https://www.biovista.com/db/link/%5B%5B%22Disease%7Cpyridoxine%20dependent%20epilepsy%22%5D,%20%5B%22Gene%7CSCN7A%22%5D%5D?strength-weight-map=%257B%2522MEDLINE_STRENGTH_AB%2522:1.0,%2522HPO%2522:100.0%257D", "Show Evidence...")</f>
        <v>Show Evidence...</v>
      </c>
    </row>
    <row r="2319" spans="1:10" ht="12.75">
      <c r="A2319" s="2" t="s">
        <v>3403</v>
      </c>
      <c r="B2319" s="2" t="s">
        <v>3404</v>
      </c>
      <c r="C2319" s="2" t="s">
        <v>24</v>
      </c>
      <c r="D2319" s="2" t="s">
        <v>3405</v>
      </c>
      <c r="E2319" s="2" t="s">
        <v>293</v>
      </c>
      <c r="F2319" s="11">
        <v>6335</v>
      </c>
      <c r="G2319" t="s">
        <v>36</v>
      </c>
      <c r="H2319" t="s">
        <v>3582</v>
      </c>
      <c r="I2319" t="s">
        <v>3436</v>
      </c>
      <c r="J2319" s="6" t="str">
        <f>HYPERLINK("https://www.biovista.com/db/link/%5B%5B%22Disease%7Cpyridoxine%20dependent%20epilepsy%22%5D,%20%5B%22Gene%7CSCN9A%22%5D%5D?strength-weight-map=%257B%2522MEDLINE_STRENGTH_AB%2522:1.0,%2522HPO%2522:100.0%257D", "Show Evidence...")</f>
        <v>Show Evidence...</v>
      </c>
    </row>
    <row r="2320" spans="1:10" ht="12.75">
      <c r="A2320" s="2" t="s">
        <v>3403</v>
      </c>
      <c r="B2320" s="2" t="s">
        <v>3404</v>
      </c>
      <c r="C2320" s="2" t="s">
        <v>24</v>
      </c>
      <c r="D2320" s="2" t="s">
        <v>3405</v>
      </c>
      <c r="E2320" s="2" t="s">
        <v>293</v>
      </c>
      <c r="F2320" s="11">
        <v>6697</v>
      </c>
      <c r="G2320" t="s">
        <v>36</v>
      </c>
      <c r="H2320" t="s">
        <v>1635</v>
      </c>
      <c r="I2320" t="s">
        <v>3436</v>
      </c>
      <c r="J2320" s="6" t="str">
        <f>HYPERLINK("https://www.biovista.com/db/link/%5B%5B%22Disease%7Cpyridoxine%20dependent%20epilepsy%22%5D,%20%5B%22Gene%7Csepiapterin%20reductase%22%5D%5D?strength-weight-map=%257B%2522MEDLINE_STRENGTH_AB%2522:1.0,%2522HPO%2522:100.0%257D", "Show Evidence...")</f>
        <v>Show Evidence...</v>
      </c>
    </row>
    <row r="2321" spans="1:10" ht="12.75">
      <c r="A2321" s="2" t="s">
        <v>3403</v>
      </c>
      <c r="B2321" s="2" t="s">
        <v>3404</v>
      </c>
      <c r="C2321" s="2" t="s">
        <v>24</v>
      </c>
      <c r="D2321" s="2" t="s">
        <v>3405</v>
      </c>
      <c r="E2321" s="2" t="s">
        <v>293</v>
      </c>
      <c r="F2321" s="11">
        <v>6549</v>
      </c>
      <c r="G2321" t="s">
        <v>36</v>
      </c>
      <c r="H2321" t="s">
        <v>3583</v>
      </c>
      <c r="I2321" t="s">
        <v>3436</v>
      </c>
      <c r="J2321" s="6" t="str">
        <f>HYPERLINK("https://www.biovista.com/db/link/%5B%5B%22Disease%7Cpyridoxine%20dependent%20epilepsy%22%5D,%20%5B%22Gene%7CSLC9A2%22%5D%5D?strength-weight-map=%257B%2522MEDLINE_STRENGTH_AB%2522:1.0,%2522HPO%2522:100.0%257D", "Show Evidence...")</f>
        <v>Show Evidence...</v>
      </c>
    </row>
    <row r="2322" spans="1:10" ht="12.75">
      <c r="A2322" s="2" t="s">
        <v>3403</v>
      </c>
      <c r="B2322" s="2" t="s">
        <v>3404</v>
      </c>
      <c r="C2322" s="2" t="s">
        <v>24</v>
      </c>
      <c r="D2322" s="2" t="s">
        <v>3405</v>
      </c>
      <c r="E2322" s="2" t="s">
        <v>293</v>
      </c>
      <c r="F2322" s="11">
        <v>129685</v>
      </c>
      <c r="G2322" t="s">
        <v>36</v>
      </c>
      <c r="H2322" t="s">
        <v>3584</v>
      </c>
      <c r="I2322" t="s">
        <v>3436</v>
      </c>
      <c r="J2322" s="6" t="str">
        <f>HYPERLINK("https://www.biovista.com/db/link/%5B%5B%22Disease%7Cpyridoxine%20dependent%20epilepsy%22%5D,%20%5B%22Gene%7CTAF8%22%5D%5D?strength-weight-map=%257B%2522MEDLINE_STRENGTH_AB%2522:1.0,%2522HPO%2522:100.0%257D", "Show Evidence...")</f>
        <v>Show Evidence...</v>
      </c>
    </row>
    <row r="2323" spans="1:10" ht="12.75">
      <c r="A2323" s="2" t="s">
        <v>3403</v>
      </c>
      <c r="B2323" s="2" t="s">
        <v>3404</v>
      </c>
      <c r="C2323" s="2" t="s">
        <v>24</v>
      </c>
      <c r="D2323" s="2" t="s">
        <v>3405</v>
      </c>
      <c r="E2323" s="2" t="s">
        <v>53</v>
      </c>
      <c r="F2323" s="11" t="s">
        <v>3585</v>
      </c>
      <c r="G2323" t="s">
        <v>36</v>
      </c>
      <c r="H2323" t="s">
        <v>3586</v>
      </c>
      <c r="I2323" t="s">
        <v>3436</v>
      </c>
      <c r="J2323" s="6" t="str">
        <f>HYPERLINK("https://www.biovista.com/db/link/%5B%5B%22Disease%7Cpyridoxine%20dependent%20epilepsy%22%5D,%20%5B%22Gene%7CTetrahydrofolate%20Dehydrogenase%22%5D%5D?strength-weight-map=%257B%2522MEDLINE_STRENGTH_AB%2522:1.0,%2522HPO%2522:100.0%257D", "Show Evidence...")</f>
        <v>Show Evidence...</v>
      </c>
    </row>
    <row r="2324" spans="1:10" ht="12.75">
      <c r="A2324" s="2" t="s">
        <v>3403</v>
      </c>
      <c r="B2324" s="2" t="s">
        <v>3404</v>
      </c>
      <c r="C2324" s="2" t="s">
        <v>24</v>
      </c>
      <c r="D2324" s="2" t="s">
        <v>3405</v>
      </c>
      <c r="E2324" s="2" t="s">
        <v>431</v>
      </c>
      <c r="F2324" s="11" t="s">
        <v>517</v>
      </c>
      <c r="G2324" t="s">
        <v>38</v>
      </c>
      <c r="H2324" t="s">
        <v>518</v>
      </c>
      <c r="I2324" t="s">
        <v>3587</v>
      </c>
      <c r="J2324" s="6" t="str">
        <f>HYPERLINK("https://www.biovista.com/db/link/%5B%5B%22Disease%7Cpyridoxine%20dependent%20epilepsy%22%5D,%20%5B%22Human%20Phenotype%7CSeizure%22%5D%5D?strength-weight-map=%257B%2522MEDLINE_STRENGTH_AB%2522:1.0,%2522HPO%2522:100.0%257D", "Show Evidence...")</f>
        <v>Show Evidence...</v>
      </c>
    </row>
    <row r="2325" spans="1:10" ht="12.75">
      <c r="A2325" s="2" t="s">
        <v>3403</v>
      </c>
      <c r="B2325" s="2" t="s">
        <v>3404</v>
      </c>
      <c r="C2325" s="2" t="s">
        <v>24</v>
      </c>
      <c r="D2325" s="2" t="s">
        <v>3405</v>
      </c>
      <c r="E2325" s="2" t="s">
        <v>431</v>
      </c>
      <c r="F2325" s="11" t="s">
        <v>3588</v>
      </c>
      <c r="G2325" t="s">
        <v>38</v>
      </c>
      <c r="H2325" t="s">
        <v>3589</v>
      </c>
      <c r="I2325" t="s">
        <v>3590</v>
      </c>
      <c r="J2325" s="6" t="str">
        <f>HYPERLINK("https://www.biovista.com/db/link/%5B%5B%22Disease%7Cpyridoxine%20dependent%20epilepsy%22%5D,%20%5B%22Human%20Phenotype%7CNeonatal%20respiratory%20distress%22%5D%5D?strength-weight-map=%257B%2522MEDLINE_STRENGTH_AB%2522:1.0,%2522HPO%2522:100.0%257D", "Show Evidence...")</f>
        <v>Show Evidence...</v>
      </c>
    </row>
    <row r="2326" spans="1:10" ht="12.75">
      <c r="A2326" s="2" t="s">
        <v>3403</v>
      </c>
      <c r="B2326" s="2" t="s">
        <v>3404</v>
      </c>
      <c r="C2326" s="2" t="s">
        <v>24</v>
      </c>
      <c r="D2326" s="2" t="s">
        <v>3405</v>
      </c>
      <c r="E2326" s="2" t="s">
        <v>431</v>
      </c>
      <c r="F2326" s="11" t="s">
        <v>3591</v>
      </c>
      <c r="G2326" t="s">
        <v>38</v>
      </c>
      <c r="H2326" t="s">
        <v>3592</v>
      </c>
      <c r="I2326" t="s">
        <v>3593</v>
      </c>
      <c r="J2326" s="6" t="str">
        <f>HYPERLINK("https://www.biovista.com/db/link/%5B%5B%22Disease%7Cpyridoxine%20dependent%20epilepsy%22%5D,%20%5B%22Human%20Phenotype%7CEEG%20with%20burst%20suppression%22%5D%5D?strength-weight-map=%257B%2522MEDLINE_STRENGTH_AB%2522:1.0,%2522HPO%2522:100.0%257D", "Show Evidence...")</f>
        <v>Show Evidence...</v>
      </c>
    </row>
    <row r="2327" spans="1:10" ht="12.75">
      <c r="A2327" s="2" t="s">
        <v>3403</v>
      </c>
      <c r="B2327" s="2" t="s">
        <v>3404</v>
      </c>
      <c r="C2327" s="2" t="s">
        <v>24</v>
      </c>
      <c r="D2327" s="2" t="s">
        <v>3405</v>
      </c>
      <c r="E2327" s="2" t="s">
        <v>431</v>
      </c>
      <c r="F2327" s="11" t="s">
        <v>3594</v>
      </c>
      <c r="G2327" t="s">
        <v>38</v>
      </c>
      <c r="H2327" t="s">
        <v>3595</v>
      </c>
      <c r="I2327" t="s">
        <v>3596</v>
      </c>
      <c r="J2327" s="6" t="str">
        <f>HYPERLINK("https://www.biovista.com/db/link/%5B%5B%22Disease%7Cpyridoxine%20dependent%20epilepsy%22%5D,%20%5B%22Human%20Phenotype%7CPrenatal%20movement%20abnormality%22%5D%5D?strength-weight-map=%257B%2522MEDLINE_STRENGTH_AB%2522:1.0,%2522HPO%2522:100.0%257D", "Show Evidence...")</f>
        <v>Show Evidence...</v>
      </c>
    </row>
    <row r="2328" spans="1:10" ht="12.75">
      <c r="A2328" s="2" t="s">
        <v>3403</v>
      </c>
      <c r="B2328" s="2" t="s">
        <v>3404</v>
      </c>
      <c r="C2328" s="2" t="s">
        <v>24</v>
      </c>
      <c r="D2328" s="2" t="s">
        <v>3405</v>
      </c>
      <c r="E2328" s="2" t="s">
        <v>431</v>
      </c>
      <c r="F2328" s="11" t="s">
        <v>2246</v>
      </c>
      <c r="G2328" t="s">
        <v>38</v>
      </c>
      <c r="H2328" t="s">
        <v>2247</v>
      </c>
      <c r="I2328" t="s">
        <v>3597</v>
      </c>
      <c r="J2328" s="6" t="str">
        <f>HYPERLINK("https://www.biovista.com/db/link/%5B%5B%22Disease%7Cpyridoxine%20dependent%20epilepsy%22%5D,%20%5B%22Human%20Phenotype%7CStatus%20epilepticus%22%5D%5D?strength-weight-map=%257B%2522MEDLINE_STRENGTH_AB%2522:1.0,%2522HPO%2522:100.0%257D", "Show Evidence...")</f>
        <v>Show Evidence...</v>
      </c>
    </row>
    <row r="2329" spans="1:10" ht="12.75">
      <c r="A2329" s="2" t="s">
        <v>3403</v>
      </c>
      <c r="B2329" s="2" t="s">
        <v>3404</v>
      </c>
      <c r="C2329" s="2" t="s">
        <v>24</v>
      </c>
      <c r="D2329" s="2" t="s">
        <v>3405</v>
      </c>
      <c r="E2329" s="2" t="s">
        <v>431</v>
      </c>
      <c r="F2329" s="11" t="s">
        <v>1362</v>
      </c>
      <c r="G2329" t="s">
        <v>38</v>
      </c>
      <c r="H2329" t="s">
        <v>1363</v>
      </c>
      <c r="I2329" t="s">
        <v>3598</v>
      </c>
      <c r="J2329" s="6" t="str">
        <f>HYPERLINK("https://www.biovista.com/db/link/%5B%5B%22Disease%7Cpyridoxine%20dependent%20epilepsy%22%5D,%20%5B%22Human%20Phenotype%7CNeonatal%20onset%22%5D%5D?strength-weight-map=%257B%2522MEDLINE_STRENGTH_AB%2522:1.0,%2522HPO%2522:100.0%257D", "Show Evidence...")</f>
        <v>Show Evidence...</v>
      </c>
    </row>
    <row r="2330" spans="1:10" ht="12.75">
      <c r="A2330" s="2" t="s">
        <v>3403</v>
      </c>
      <c r="B2330" s="2" t="s">
        <v>3404</v>
      </c>
      <c r="C2330" s="2" t="s">
        <v>24</v>
      </c>
      <c r="D2330" s="2" t="s">
        <v>3405</v>
      </c>
      <c r="E2330" s="2" t="s">
        <v>431</v>
      </c>
      <c r="F2330" s="11" t="s">
        <v>3599</v>
      </c>
      <c r="G2330" t="s">
        <v>38</v>
      </c>
      <c r="H2330" t="s">
        <v>3600</v>
      </c>
      <c r="I2330" t="s">
        <v>3601</v>
      </c>
      <c r="J2330" s="6" t="str">
        <f>HYPERLINK("https://www.biovista.com/db/link/%5B%5B%22Disease%7Cpyridoxine%20dependent%20epilepsy%22%5D,%20%5B%22Human%20Phenotype%7CClonic%20seizure%22%5D%5D?strength-weight-map=%257B%2522MEDLINE_STRENGTH_AB%2522:1.0,%2522HPO%2522:100.0%257D", "Show Evidence...")</f>
        <v>Show Evidence...</v>
      </c>
    </row>
    <row r="2331" spans="1:10" ht="12.75">
      <c r="A2331" s="2" t="s">
        <v>3403</v>
      </c>
      <c r="B2331" s="2" t="s">
        <v>3404</v>
      </c>
      <c r="C2331" s="2" t="s">
        <v>24</v>
      </c>
      <c r="D2331" s="2" t="s">
        <v>3405</v>
      </c>
      <c r="E2331" s="2" t="s">
        <v>431</v>
      </c>
      <c r="F2331" s="11" t="s">
        <v>3602</v>
      </c>
      <c r="G2331" t="s">
        <v>38</v>
      </c>
      <c r="H2331" t="s">
        <v>3603</v>
      </c>
      <c r="I2331" t="s">
        <v>1233</v>
      </c>
      <c r="J2331" s="6" t="str">
        <f>HYPERLINK("https://www.biovista.com/db/link/%5B%5B%22Disease%7Cpyridoxine%20dependent%20epilepsy%22%5D,%20%5B%22Human%20Phenotype%7CBilateral%20tonic-clonic%20seizure%22%5D%5D?strength-weight-map=%257B%2522MEDLINE_STRENGTH_AB%2522:1.0,%2522HPO%2522:100.0%257D", "Show Evidence...")</f>
        <v>Show Evidence...</v>
      </c>
    </row>
    <row r="2332" spans="1:10" ht="12.75">
      <c r="A2332" s="2" t="s">
        <v>3403</v>
      </c>
      <c r="B2332" s="2" t="s">
        <v>3404</v>
      </c>
      <c r="C2332" s="2" t="s">
        <v>24</v>
      </c>
      <c r="D2332" s="2" t="s">
        <v>3405</v>
      </c>
      <c r="E2332" s="2" t="s">
        <v>431</v>
      </c>
      <c r="F2332" s="11" t="s">
        <v>3604</v>
      </c>
      <c r="G2332" t="s">
        <v>38</v>
      </c>
      <c r="H2332" t="s">
        <v>3605</v>
      </c>
      <c r="I2332" t="s">
        <v>1233</v>
      </c>
      <c r="J2332" s="6" t="s">
        <v>3606</v>
      </c>
    </row>
    <row r="2333" spans="1:10" ht="12.75">
      <c r="A2333" s="2" t="s">
        <v>3403</v>
      </c>
      <c r="B2333" s="2" t="s">
        <v>3404</v>
      </c>
      <c r="C2333" s="2" t="s">
        <v>24</v>
      </c>
      <c r="D2333" s="2" t="s">
        <v>3405</v>
      </c>
      <c r="E2333" s="2" t="s">
        <v>431</v>
      </c>
      <c r="F2333" s="11" t="s">
        <v>1306</v>
      </c>
      <c r="G2333" t="s">
        <v>38</v>
      </c>
      <c r="H2333" t="s">
        <v>1307</v>
      </c>
      <c r="I2333" t="s">
        <v>3607</v>
      </c>
      <c r="J2333" s="6" t="s">
        <v>3608</v>
      </c>
    </row>
    <row r="2334" spans="1:10" ht="12.75">
      <c r="A2334" s="2" t="s">
        <v>3403</v>
      </c>
      <c r="B2334" s="2" t="s">
        <v>3404</v>
      </c>
      <c r="C2334" s="2" t="s">
        <v>24</v>
      </c>
      <c r="D2334" s="2" t="s">
        <v>3405</v>
      </c>
      <c r="E2334" s="2" t="s">
        <v>431</v>
      </c>
      <c r="F2334" s="11" t="s">
        <v>1303</v>
      </c>
      <c r="G2334" t="s">
        <v>38</v>
      </c>
      <c r="H2334" t="s">
        <v>1304</v>
      </c>
      <c r="I2334" t="s">
        <v>3609</v>
      </c>
      <c r="J2334" s="6" t="str">
        <f>HYPERLINK("https://www.biovista.com/db/link/%5B%5B%22Disease%7Cpyridoxine%20dependent%20epilepsy%22%5D,%20%5B%22Human%20Phenotype%7CIrritability%22%5D%5D?strength-weight-map=%257B%2522MEDLINE_STRENGTH_AB%2522:1.0,%2522HPO%2522:100.0%257D", "Show Evidence...")</f>
        <v>Show Evidence...</v>
      </c>
    </row>
    <row r="2335" spans="1:10" ht="12.75">
      <c r="A2335" s="2" t="s">
        <v>3403</v>
      </c>
      <c r="B2335" s="2" t="s">
        <v>3404</v>
      </c>
      <c r="C2335" s="2" t="s">
        <v>24</v>
      </c>
      <c r="D2335" s="2" t="s">
        <v>3405</v>
      </c>
      <c r="E2335" s="2" t="s">
        <v>431</v>
      </c>
      <c r="F2335" s="11" t="s">
        <v>3610</v>
      </c>
      <c r="G2335" t="s">
        <v>38</v>
      </c>
      <c r="H2335" t="s">
        <v>3611</v>
      </c>
      <c r="I2335" t="s">
        <v>3612</v>
      </c>
      <c r="J2335" s="6" t="str">
        <f>HYPERLINK("https://www.biovista.com/db/link/%5B%5B%22Disease%7Cpyridoxine%20dependent%20epilepsy%22%5D,%20%5B%22Human%20Phenotype%7CFocal-onset%20seizure%22%5D%5D?strength-weight-map=%257B%2522MEDLINE_STRENGTH_AB%2522:1.0,%2522HPO%2522:100.0%257D", "Show Evidence...")</f>
        <v>Show Evidence...</v>
      </c>
    </row>
    <row r="2336" spans="1:10" ht="12.75">
      <c r="A2336" s="2" t="s">
        <v>3403</v>
      </c>
      <c r="B2336" s="2" t="s">
        <v>3404</v>
      </c>
      <c r="C2336" s="2" t="s">
        <v>24</v>
      </c>
      <c r="D2336" s="2" t="s">
        <v>3405</v>
      </c>
      <c r="E2336" s="2" t="s">
        <v>431</v>
      </c>
      <c r="F2336" s="11" t="s">
        <v>2203</v>
      </c>
      <c r="G2336" t="s">
        <v>38</v>
      </c>
      <c r="H2336" t="s">
        <v>2204</v>
      </c>
      <c r="I2336" t="s">
        <v>3613</v>
      </c>
      <c r="J2336" s="6" t="str">
        <f>HYPERLINK("https://www.biovista.com/db/link/%5B%5B%22Disease%7Cpyridoxine%20dependent%20epilepsy%22%5D,%20%5B%22Human%20Phenotype%7CHypoplasia%20of%20the%20corpus%20callosum%22%5D%5D?strength-weight-map=%257B%2522MEDLINE_STRENGTH_AB%2522:1.0,%2522HPO%2522:100.0%257D", "Show Evidence...")</f>
        <v>Show Evidence...</v>
      </c>
    </row>
    <row r="2337" spans="1:10" ht="12.75">
      <c r="A2337" s="2" t="s">
        <v>3403</v>
      </c>
      <c r="B2337" s="2" t="s">
        <v>3404</v>
      </c>
      <c r="C2337" s="2" t="s">
        <v>24</v>
      </c>
      <c r="D2337" s="2" t="s">
        <v>3405</v>
      </c>
      <c r="E2337" s="2" t="s">
        <v>431</v>
      </c>
      <c r="F2337" s="11" t="s">
        <v>3614</v>
      </c>
      <c r="G2337" t="s">
        <v>38</v>
      </c>
      <c r="H2337" t="s">
        <v>3615</v>
      </c>
      <c r="I2337" t="s">
        <v>3616</v>
      </c>
      <c r="J2337" s="6" t="str">
        <f>HYPERLINK("https://www.biovista.com/db/link/%5B%5B%22Disease%7Cpyridoxine%20dependent%20epilepsy%22%5D,%20%5B%22Human%20Phenotype%7CNeurodevelopmental%20delay%22%5D%5D?strength-weight-map=%257B%2522MEDLINE_STRENGTH_AB%2522:1.0,%2522HPO%2522:100.0%257D", "Show Evidence...")</f>
        <v>Show Evidence...</v>
      </c>
    </row>
    <row r="2338" spans="1:10" ht="12.75">
      <c r="A2338" s="2" t="s">
        <v>3403</v>
      </c>
      <c r="B2338" s="2" t="s">
        <v>3404</v>
      </c>
      <c r="C2338" s="2" t="s">
        <v>24</v>
      </c>
      <c r="D2338" s="2" t="s">
        <v>3405</v>
      </c>
      <c r="E2338" s="2" t="s">
        <v>431</v>
      </c>
      <c r="F2338" s="11" t="s">
        <v>3617</v>
      </c>
      <c r="G2338" t="s">
        <v>38</v>
      </c>
      <c r="H2338" t="s">
        <v>3618</v>
      </c>
      <c r="I2338" t="s">
        <v>3619</v>
      </c>
      <c r="J2338" s="6" t="str">
        <f>HYPERLINK("https://www.biovista.com/db/link/%5B%5B%22Disease%7Cpyridoxine%20dependent%20epilepsy%22%5D,%20%5B%22Human%20Phenotype%7CFetal%20distress%22%5D%5D?strength-weight-map=%257B%2522MEDLINE_STRENGTH_AB%2522:1.0,%2522HPO%2522:100.0%257D", "Show Evidence...")</f>
        <v>Show Evidence...</v>
      </c>
    </row>
    <row r="2339" spans="1:10" ht="12.75">
      <c r="A2339" s="2" t="s">
        <v>3403</v>
      </c>
      <c r="B2339" s="2" t="s">
        <v>3404</v>
      </c>
      <c r="C2339" s="2" t="s">
        <v>24</v>
      </c>
      <c r="D2339" s="2" t="s">
        <v>3405</v>
      </c>
      <c r="E2339" s="2" t="s">
        <v>431</v>
      </c>
      <c r="F2339" s="11" t="s">
        <v>3620</v>
      </c>
      <c r="G2339" t="s">
        <v>38</v>
      </c>
      <c r="H2339" t="s">
        <v>3621</v>
      </c>
      <c r="I2339" t="s">
        <v>3622</v>
      </c>
      <c r="J2339" s="6" t="str">
        <f>HYPERLINK("https://www.biovista.com/db/link/%5B%5B%22Disease%7Cpyridoxine%20dependent%20epilepsy%22%5D,%20%5B%22Human%20Phenotype%7CEarly%20onset%20absence%20seizures%22%5D%5D?strength-weight-map=%257B%2522MEDLINE_STRENGTH_AB%2522:1.0,%2522HPO%2522:100.0%257D", "Show Evidence...")</f>
        <v>Show Evidence...</v>
      </c>
    </row>
    <row r="2340" spans="1:10" ht="12.75">
      <c r="A2340" s="2" t="s">
        <v>3403</v>
      </c>
      <c r="B2340" s="2" t="s">
        <v>3404</v>
      </c>
      <c r="C2340" s="2" t="s">
        <v>24</v>
      </c>
      <c r="D2340" s="2" t="s">
        <v>3405</v>
      </c>
      <c r="E2340" s="2" t="s">
        <v>431</v>
      </c>
      <c r="F2340" s="11" t="s">
        <v>3623</v>
      </c>
      <c r="G2340" t="s">
        <v>38</v>
      </c>
      <c r="H2340" t="s">
        <v>3624</v>
      </c>
      <c r="I2340" t="s">
        <v>3622</v>
      </c>
      <c r="J2340" t="s">
        <v>3625</v>
      </c>
    </row>
    <row r="2341" spans="1:10" ht="12.75">
      <c r="A2341" s="2" t="s">
        <v>3403</v>
      </c>
      <c r="B2341" s="2" t="s">
        <v>3404</v>
      </c>
      <c r="C2341" s="2" t="s">
        <v>24</v>
      </c>
      <c r="D2341" s="2" t="s">
        <v>3405</v>
      </c>
      <c r="E2341" s="2" t="s">
        <v>431</v>
      </c>
      <c r="F2341" s="11" t="s">
        <v>444</v>
      </c>
      <c r="G2341" t="s">
        <v>38</v>
      </c>
      <c r="H2341" t="s">
        <v>445</v>
      </c>
      <c r="I2341" t="s">
        <v>3622</v>
      </c>
      <c r="J2341" s="6" t="str">
        <f>HYPERLINK("https://www.biovista.com/db/link/%5B%5B%22Disease%7Cpyridoxine%20dependent%20epilepsy%22%5D,%20%5B%22Human%20Phenotype%7CFeeding%20difficulties%22%5D%5D?strength-weight-map=%257B%2522MEDLINE_STRENGTH_AB%2522:1.0,%2522HPO%2522:100.0%257D", "Show Evidence...")</f>
        <v>Show Evidence...</v>
      </c>
    </row>
    <row r="2342" spans="1:10" ht="12.75">
      <c r="A2342" s="2" t="s">
        <v>3403</v>
      </c>
      <c r="B2342" s="2" t="s">
        <v>3404</v>
      </c>
      <c r="C2342" s="2" t="s">
        <v>24</v>
      </c>
      <c r="D2342" s="2" t="s">
        <v>3405</v>
      </c>
      <c r="E2342" s="2" t="s">
        <v>431</v>
      </c>
      <c r="F2342" s="11" t="s">
        <v>3626</v>
      </c>
      <c r="G2342" t="s">
        <v>38</v>
      </c>
      <c r="H2342" t="s">
        <v>3627</v>
      </c>
      <c r="I2342" t="s">
        <v>3622</v>
      </c>
      <c r="J2342" s="6" t="str">
        <f>HYPERLINK("https://www.biovista.com/db/link/%5B%5B%22Disease%7Cpyridoxine%20dependent%20epilepsy%22%5D,%20%5B%22Human%20Phenotype%7CFocal%20aware%20motor%20seizure%22%5D%5D?strength-weight-map=%257B%2522MEDLINE_STRENGTH_AB%2522:1.0,%2522HPO%2522:100.0%257D", "Show Evidence...")</f>
        <v>Show Evidence...</v>
      </c>
    </row>
    <row r="2343" spans="1:10" ht="12.75">
      <c r="A2343" s="2" t="s">
        <v>3403</v>
      </c>
      <c r="B2343" s="2" t="s">
        <v>3404</v>
      </c>
      <c r="C2343" s="2" t="s">
        <v>24</v>
      </c>
      <c r="D2343" s="2" t="s">
        <v>3405</v>
      </c>
      <c r="E2343" s="2" t="s">
        <v>431</v>
      </c>
      <c r="F2343" s="11" t="s">
        <v>3628</v>
      </c>
      <c r="G2343" t="s">
        <v>38</v>
      </c>
      <c r="H2343" t="s">
        <v>3629</v>
      </c>
      <c r="I2343" t="s">
        <v>3622</v>
      </c>
      <c r="J2343" s="6" t="str">
        <f>HYPERLINK("https://www.biovista.com/db/link/%5B%5B%22Disease%7Cpyridoxine%20dependent%20epilepsy%22%5D,%20%5B%22Human%20Phenotype%7CLow%20APGAR%20score%22%5D%5D?strength-weight-map=%257B%2522MEDLINE_STRENGTH_AB%2522:1.0,%2522HPO%2522:100.0%257D", "Show Evidence...")</f>
        <v>Show Evidence...</v>
      </c>
    </row>
    <row r="2344" spans="1:10" ht="12.75">
      <c r="A2344" s="2" t="s">
        <v>3403</v>
      </c>
      <c r="B2344" s="2" t="s">
        <v>3404</v>
      </c>
      <c r="C2344" s="2" t="s">
        <v>24</v>
      </c>
      <c r="D2344" s="2" t="s">
        <v>3405</v>
      </c>
      <c r="E2344" s="2" t="s">
        <v>431</v>
      </c>
      <c r="F2344" s="11" t="s">
        <v>514</v>
      </c>
      <c r="G2344" t="s">
        <v>38</v>
      </c>
      <c r="H2344" t="s">
        <v>515</v>
      </c>
      <c r="I2344" t="s">
        <v>3630</v>
      </c>
      <c r="J2344" s="6" t="str">
        <f>HYPERLINK("https://www.biovista.com/db/link/%5B%5B%22Disease%7Cpyridoxine%20dependent%20epilepsy%22%5D,%20%5B%22Human%20Phenotype%7CHypotonia%22%5D%5D?strength-weight-map=%257B%2522MEDLINE_STRENGTH_AB%2522:1.0,%2522HPO%2522:100.0%257D", "Show Evidence...")</f>
        <v>Show Evidence...</v>
      </c>
    </row>
    <row r="2345" spans="1:10" ht="12.75">
      <c r="A2345" s="2" t="s">
        <v>3403</v>
      </c>
      <c r="B2345" s="2" t="s">
        <v>3404</v>
      </c>
      <c r="C2345" s="2" t="s">
        <v>24</v>
      </c>
      <c r="D2345" s="2" t="s">
        <v>3405</v>
      </c>
      <c r="E2345" s="2" t="s">
        <v>431</v>
      </c>
      <c r="F2345" s="11" t="s">
        <v>3147</v>
      </c>
      <c r="G2345" t="s">
        <v>38</v>
      </c>
      <c r="H2345" t="s">
        <v>3148</v>
      </c>
      <c r="I2345" t="s">
        <v>3631</v>
      </c>
      <c r="J2345" s="6" t="str">
        <f>HYPERLINK("https://www.biovista.com/db/link/%5B%5B%22Disease%7Cpyridoxine%20dependent%20epilepsy%22%5D,%20%5B%22Human%20Phenotype%7CStrabismus%22%5D%5D?strength-weight-map=%257B%2522MEDLINE_STRENGTH_AB%2522:1.0,%2522HPO%2522:100.0%257D", "Show Evidence...")</f>
        <v>Show Evidence...</v>
      </c>
    </row>
    <row r="2346" spans="1:10" ht="12.75">
      <c r="A2346" s="2" t="s">
        <v>3403</v>
      </c>
      <c r="B2346" s="2" t="s">
        <v>3404</v>
      </c>
      <c r="C2346" s="2" t="s">
        <v>24</v>
      </c>
      <c r="D2346" s="2" t="s">
        <v>3405</v>
      </c>
      <c r="E2346" s="2" t="s">
        <v>431</v>
      </c>
      <c r="F2346" s="11" t="s">
        <v>1350</v>
      </c>
      <c r="G2346" t="s">
        <v>38</v>
      </c>
      <c r="H2346" t="s">
        <v>1351</v>
      </c>
      <c r="I2346" t="s">
        <v>3632</v>
      </c>
      <c r="J2346" s="6" t="str">
        <f>HYPERLINK("https://www.biovista.com/db/link/%5B%5B%22Disease%7Cpyridoxine%20dependent%20epilepsy%22%5D,%20%5B%22Human%20Phenotype%7CHydrocephalus%22%5D%5D?strength-weight-map=%257B%2522MEDLINE_STRENGTH_AB%2522:1.0,%2522HPO%2522:100.0%257D", "Show Evidence...")</f>
        <v>Show Evidence...</v>
      </c>
    </row>
    <row r="2347" spans="1:10" ht="12.75">
      <c r="A2347" s="2" t="s">
        <v>3403</v>
      </c>
      <c r="B2347" s="2" t="s">
        <v>3404</v>
      </c>
      <c r="C2347" s="2" t="s">
        <v>24</v>
      </c>
      <c r="D2347" s="2" t="s">
        <v>3405</v>
      </c>
      <c r="E2347" s="2" t="s">
        <v>431</v>
      </c>
      <c r="F2347" s="11" t="s">
        <v>470</v>
      </c>
      <c r="G2347" t="s">
        <v>38</v>
      </c>
      <c r="H2347" t="s">
        <v>471</v>
      </c>
      <c r="I2347" t="s">
        <v>3633</v>
      </c>
      <c r="J2347" s="6" t="str">
        <f>HYPERLINK("https://www.biovista.com/db/link/%5B%5B%22Disease%7Cpyridoxine%20dependent%20epilepsy%22%5D,%20%5B%22Human%20Phenotype%7CIntellectual%20disability%22%5D%5D?strength-weight-map=%257B%2522MEDLINE_STRENGTH_AB%2522:1.0,%2522HPO%2522:100.0%257D", "Show Evidence...")</f>
        <v>Show Evidence...</v>
      </c>
    </row>
    <row r="2348" spans="1:10" ht="12.75">
      <c r="A2348" s="2" t="s">
        <v>3403</v>
      </c>
      <c r="B2348" s="2" t="s">
        <v>3404</v>
      </c>
      <c r="C2348" s="2" t="s">
        <v>24</v>
      </c>
      <c r="D2348" s="2" t="s">
        <v>3405</v>
      </c>
      <c r="E2348" s="2" t="s">
        <v>431</v>
      </c>
      <c r="F2348" s="11" t="s">
        <v>3634</v>
      </c>
      <c r="G2348" t="s">
        <v>38</v>
      </c>
      <c r="H2348" t="s">
        <v>3635</v>
      </c>
      <c r="I2348" t="s">
        <v>3636</v>
      </c>
      <c r="J2348" s="6" t="str">
        <f>HYPERLINK("https://www.biovista.com/db/link/%5B%5B%22Disease%7Cpyridoxine%20dependent%20epilepsy%22%5D,%20%5B%22Human%20Phenotype%7CEpileptic%20spasm%22%5D%5D?strength-weight-map=%257B%2522MEDLINE_STRENGTH_AB%2522:1.0,%2522HPO%2522:100.0%257D", "Show Evidence...")</f>
        <v>Show Evidence...</v>
      </c>
    </row>
    <row r="2349" spans="1:10" ht="12.75">
      <c r="A2349" s="2" t="s">
        <v>3403</v>
      </c>
      <c r="B2349" s="2" t="s">
        <v>3404</v>
      </c>
      <c r="C2349" s="2" t="s">
        <v>24</v>
      </c>
      <c r="D2349" s="2" t="s">
        <v>3405</v>
      </c>
      <c r="E2349" s="2" t="s">
        <v>431</v>
      </c>
      <c r="F2349" s="11" t="s">
        <v>2205</v>
      </c>
      <c r="G2349" t="s">
        <v>38</v>
      </c>
      <c r="H2349" t="s">
        <v>2206</v>
      </c>
      <c r="I2349" t="s">
        <v>3637</v>
      </c>
      <c r="J2349" s="6" t="str">
        <f>HYPERLINK("https://www.biovista.com/db/link/%5B%5B%22Disease%7Cpyridoxine%20dependent%20epilepsy%22%5D,%20%5B%22Human%20Phenotype%7CHypsarrhythmia%22%5D%5D?strength-weight-map=%257B%2522MEDLINE_STRENGTH_AB%2522:1.0,%2522HPO%2522:100.0%257D", "Show Evidence...")</f>
        <v>Show Evidence...</v>
      </c>
    </row>
    <row r="2350" spans="1:10" ht="12.75">
      <c r="A2350" s="2" t="s">
        <v>3403</v>
      </c>
      <c r="B2350" s="2" t="s">
        <v>3404</v>
      </c>
      <c r="C2350" s="2" t="s">
        <v>24</v>
      </c>
      <c r="D2350" s="2" t="s">
        <v>3405</v>
      </c>
      <c r="E2350" s="2" t="s">
        <v>431</v>
      </c>
      <c r="F2350" s="11" t="s">
        <v>1327</v>
      </c>
      <c r="G2350" t="s">
        <v>38</v>
      </c>
      <c r="H2350" t="s">
        <v>1328</v>
      </c>
      <c r="I2350" t="s">
        <v>3638</v>
      </c>
      <c r="J2350" s="6" t="str">
        <f>HYPERLINK("https://www.biovista.com/db/link/%5B%5B%22Disease%7Cpyridoxine%20dependent%20epilepsy%22%5D,%20%5B%22Human%20Phenotype%7CVentriculomegaly%22%5D%5D?strength-weight-map=%257B%2522MEDLINE_STRENGTH_AB%2522:1.0,%2522HPO%2522:100.0%257D", "Show Evidence...")</f>
        <v>Show Evidence...</v>
      </c>
    </row>
    <row r="2351" spans="1:10" ht="12.75">
      <c r="A2351" s="2" t="s">
        <v>3403</v>
      </c>
      <c r="B2351" s="2" t="s">
        <v>3404</v>
      </c>
      <c r="C2351" s="2" t="s">
        <v>24</v>
      </c>
      <c r="D2351" s="2" t="s">
        <v>3405</v>
      </c>
      <c r="E2351" s="2" t="s">
        <v>431</v>
      </c>
      <c r="F2351" s="11" t="s">
        <v>1422</v>
      </c>
      <c r="G2351" t="s">
        <v>38</v>
      </c>
      <c r="H2351" t="s">
        <v>1423</v>
      </c>
      <c r="I2351" t="s">
        <v>3639</v>
      </c>
      <c r="J2351" s="6" t="str">
        <f>HYPERLINK("https://www.biovista.com/db/link/%5B%5B%22Disease%7Cpyridoxine%20dependent%20epilepsy%22%5D,%20%5B%22Human%20Phenotype%7CBrain%20atrophy%22%5D%5D?strength-weight-map=%257B%2522MEDLINE_STRENGTH_AB%2522:1.0,%2522HPO%2522:100.0%257D", "Show Evidence...")</f>
        <v>Show Evidence...</v>
      </c>
    </row>
    <row r="2352" spans="1:10" ht="12.75">
      <c r="A2352" s="2" t="s">
        <v>3403</v>
      </c>
      <c r="B2352" s="2" t="s">
        <v>3404</v>
      </c>
      <c r="C2352" s="2" t="s">
        <v>24</v>
      </c>
      <c r="D2352" s="2" t="s">
        <v>3405</v>
      </c>
      <c r="E2352" s="2" t="s">
        <v>431</v>
      </c>
      <c r="F2352" s="11" t="s">
        <v>3220</v>
      </c>
      <c r="G2352" t="s">
        <v>38</v>
      </c>
      <c r="H2352" t="s">
        <v>3221</v>
      </c>
      <c r="I2352" t="s">
        <v>3640</v>
      </c>
      <c r="J2352" s="6" t="str">
        <f>HYPERLINK("https://www.biovista.com/db/link/%5B%5B%22Disease%7Cpyridoxine%20dependent%20epilepsy%22%5D,%20%5B%22Human%20Phenotype%7CEnlarged%20cisterna%20magna%22%5D%5D?strength-weight-map=%257B%2522MEDLINE_STRENGTH_AB%2522:1.0,%2522HPO%2522:100.0%257D", "Show Evidence...")</f>
        <v>Show Evidence...</v>
      </c>
    </row>
    <row r="2353" spans="1:10" ht="12.75">
      <c r="A2353" s="2" t="s">
        <v>3403</v>
      </c>
      <c r="B2353" s="2" t="s">
        <v>3404</v>
      </c>
      <c r="C2353" s="2" t="s">
        <v>24</v>
      </c>
      <c r="D2353" s="2" t="s">
        <v>3405</v>
      </c>
      <c r="E2353" s="2" t="s">
        <v>431</v>
      </c>
      <c r="F2353" s="11" t="s">
        <v>3641</v>
      </c>
      <c r="G2353" t="s">
        <v>38</v>
      </c>
      <c r="H2353" t="s">
        <v>3642</v>
      </c>
      <c r="I2353" t="s">
        <v>3640</v>
      </c>
      <c r="J2353" s="6" t="str">
        <f>HYPERLINK("https://www.biovista.com/db/link/%5B%5B%22Disease%7Cpyridoxine%20dependent%20epilepsy%22%5D,%20%5B%22Human%20Phenotype%7CMultifocal%20epileptiform%20discharges%22%5D%5D?strength-weight-map=%257B%2522MEDLINE_STRENGTH_AB%2522:1.0,%2522HPO%2522:100.0%257D", "Show Evidence...")</f>
        <v>Show Evidence...</v>
      </c>
    </row>
    <row r="2354" spans="1:10" ht="12.75">
      <c r="A2354" s="2" t="s">
        <v>3403</v>
      </c>
      <c r="B2354" s="2" t="s">
        <v>3404</v>
      </c>
      <c r="C2354" s="2" t="s">
        <v>24</v>
      </c>
      <c r="D2354" s="2" t="s">
        <v>3405</v>
      </c>
      <c r="E2354" s="2" t="s">
        <v>431</v>
      </c>
      <c r="F2354" s="11" t="s">
        <v>3643</v>
      </c>
      <c r="G2354" t="s">
        <v>38</v>
      </c>
      <c r="H2354" t="s">
        <v>3644</v>
      </c>
      <c r="I2354" t="s">
        <v>3640</v>
      </c>
      <c r="J2354" s="6" t="str">
        <f>HYPERLINK("https://www.biovista.com/db/link/%5B%5B%22Disease%7Cpyridoxine%20dependent%20epilepsy%22%5D,%20%5B%22Human%20Phenotype%7CNeonatal%20asphyxia%22%5D%5D?strength-weight-map=%257B%2522MEDLINE_STRENGTH_AB%2522:1.0,%2522HPO%2522:100.0%257D", "Show Evidence...")</f>
        <v>Show Evidence...</v>
      </c>
    </row>
    <row r="2355" spans="1:10" ht="12.75">
      <c r="A2355" s="2" t="s">
        <v>3403</v>
      </c>
      <c r="B2355" s="2" t="s">
        <v>3404</v>
      </c>
      <c r="C2355" s="2" t="s">
        <v>24</v>
      </c>
      <c r="D2355" s="2" t="s">
        <v>3405</v>
      </c>
      <c r="E2355" s="2" t="s">
        <v>431</v>
      </c>
      <c r="F2355" s="11" t="s">
        <v>1779</v>
      </c>
      <c r="G2355" t="s">
        <v>38</v>
      </c>
      <c r="H2355" t="s">
        <v>1780</v>
      </c>
      <c r="I2355" t="s">
        <v>3645</v>
      </c>
      <c r="J2355" s="6" t="str">
        <f>HYPERLINK("https://www.biovista.com/db/link/%5B%5B%22Disease%7Cpyridoxine%20dependent%20epilepsy%22%5D,%20%5B%22Human%20Phenotype%7CAbnormality%20of%20eye%20movement%22%5D%5D?strength-weight-map=%257B%2522MEDLINE_STRENGTH_AB%2522:1.0,%2522HPO%2522:100.0%257D", "Show Evidence...")</f>
        <v>Show Evidence...</v>
      </c>
    </row>
    <row r="2356" spans="1:10" ht="12.75">
      <c r="A2356" s="2" t="s">
        <v>3403</v>
      </c>
      <c r="B2356" s="2" t="s">
        <v>3404</v>
      </c>
      <c r="C2356" s="2" t="s">
        <v>24</v>
      </c>
      <c r="D2356" s="2" t="s">
        <v>3405</v>
      </c>
      <c r="E2356" s="2" t="s">
        <v>431</v>
      </c>
      <c r="F2356" s="11" t="s">
        <v>3646</v>
      </c>
      <c r="G2356" t="s">
        <v>38</v>
      </c>
      <c r="H2356" t="s">
        <v>3647</v>
      </c>
      <c r="I2356" t="s">
        <v>3645</v>
      </c>
      <c r="J2356" s="6" t="str">
        <f>HYPERLINK("https://www.biovista.com/db/link/%5B%5B%22Disease%7Cpyridoxine%20dependent%20epilepsy%22%5D,%20%5B%22Human%20Phenotype%7CMeconium%20stained%20amniotic%20fluid%22%5D%5D?strength-weight-map=%257B%2522MEDLINE_STRENGTH_AB%2522:1.0,%2522HPO%2522:100.0%257D", "Show Evidence...")</f>
        <v>Show Evidence...</v>
      </c>
    </row>
    <row r="2357" spans="1:10" ht="12.75">
      <c r="A2357" s="2" t="s">
        <v>3403</v>
      </c>
      <c r="B2357" s="2" t="s">
        <v>3404</v>
      </c>
      <c r="C2357" s="2" t="s">
        <v>24</v>
      </c>
      <c r="D2357" s="2" t="s">
        <v>3405</v>
      </c>
      <c r="E2357" s="2" t="s">
        <v>431</v>
      </c>
      <c r="F2357" s="11" t="s">
        <v>3648</v>
      </c>
      <c r="G2357" t="s">
        <v>38</v>
      </c>
      <c r="H2357" t="s">
        <v>3649</v>
      </c>
      <c r="I2357" t="s">
        <v>3650</v>
      </c>
      <c r="J2357" s="6" t="str">
        <f>HYPERLINK("https://www.biovista.com/db/link/%5B%5B%22Disease%7Cpyridoxine%20dependent%20epilepsy%22%5D,%20%5B%22Human%20Phenotype%7CAtonic%20seizure%22%5D%5D?strength-weight-map=%257B%2522MEDLINE_STRENGTH_AB%2522:1.0,%2522HPO%2522:100.0%257D", "Show Evidence...")</f>
        <v>Show Evidence...</v>
      </c>
    </row>
    <row r="2358" spans="1:10" ht="12.75">
      <c r="A2358" s="2" t="s">
        <v>3403</v>
      </c>
      <c r="B2358" s="2" t="s">
        <v>3404</v>
      </c>
      <c r="C2358" s="2" t="s">
        <v>24</v>
      </c>
      <c r="D2358" s="2" t="s">
        <v>3405</v>
      </c>
      <c r="E2358" s="2" t="s">
        <v>431</v>
      </c>
      <c r="F2358" s="11" t="s">
        <v>3651</v>
      </c>
      <c r="G2358" t="s">
        <v>38</v>
      </c>
      <c r="H2358" t="s">
        <v>3652</v>
      </c>
      <c r="I2358" t="s">
        <v>3650</v>
      </c>
      <c r="J2358" s="6" t="str">
        <f>HYPERLINK("https://www.biovista.com/db/link/%5B%5B%22Disease%7Cpyridoxine%20dependent%20epilepsy%22%5D,%20%5B%22Human%20Phenotype%7CDelayed%20CNS%20myelination%22%5D%5D?strength-weight-map=%257B%2522MEDLINE_STRENGTH_AB%2522:1.0,%2522HPO%2522:100.0%257D", "Show Evidence...")</f>
        <v>Show Evidence...</v>
      </c>
    </row>
    <row r="2359" spans="1:10" ht="12.75">
      <c r="A2359" s="2" t="s">
        <v>3403</v>
      </c>
      <c r="B2359" s="2" t="s">
        <v>3404</v>
      </c>
      <c r="C2359" s="2" t="s">
        <v>24</v>
      </c>
      <c r="D2359" s="2" t="s">
        <v>3405</v>
      </c>
      <c r="E2359" s="2" t="s">
        <v>431</v>
      </c>
      <c r="F2359" s="11" t="s">
        <v>3653</v>
      </c>
      <c r="G2359" t="s">
        <v>38</v>
      </c>
      <c r="H2359" t="s">
        <v>3654</v>
      </c>
      <c r="I2359" t="s">
        <v>3650</v>
      </c>
      <c r="J2359" s="6" t="s">
        <v>3655</v>
      </c>
    </row>
    <row r="2360" spans="1:10" ht="12.75">
      <c r="A2360" s="2" t="s">
        <v>3403</v>
      </c>
      <c r="B2360" s="2" t="s">
        <v>3404</v>
      </c>
      <c r="C2360" s="2" t="s">
        <v>24</v>
      </c>
      <c r="D2360" s="2" t="s">
        <v>3405</v>
      </c>
      <c r="E2360" s="2" t="s">
        <v>431</v>
      </c>
      <c r="F2360" s="11" t="s">
        <v>3656</v>
      </c>
      <c r="G2360" t="s">
        <v>38</v>
      </c>
      <c r="H2360" t="s">
        <v>3657</v>
      </c>
      <c r="I2360" t="s">
        <v>3650</v>
      </c>
      <c r="J2360" s="6" t="s">
        <v>3658</v>
      </c>
    </row>
    <row r="2361" spans="1:10" ht="12.75">
      <c r="A2361" s="2" t="s">
        <v>3403</v>
      </c>
      <c r="B2361" s="2" t="s">
        <v>3404</v>
      </c>
      <c r="C2361" s="2" t="s">
        <v>24</v>
      </c>
      <c r="D2361" s="2" t="s">
        <v>3405</v>
      </c>
      <c r="E2361" s="2" t="s">
        <v>431</v>
      </c>
      <c r="F2361" s="11" t="s">
        <v>3659</v>
      </c>
      <c r="G2361" t="s">
        <v>38</v>
      </c>
      <c r="H2361" t="s">
        <v>3660</v>
      </c>
      <c r="I2361" t="s">
        <v>3650</v>
      </c>
      <c r="J2361" s="6" t="str">
        <f>HYPERLINK("https://www.biovista.com/db/link/%5B%5B%22Disease%7Cpyridoxine%20dependent%20epilepsy%22%5D,%20%5B%22Human%20Phenotype%7CFacial%20grimacing%22%5D%5D?strength-weight-map=%257B%2522MEDLINE_STRENGTH_AB%2522:1.0,%2522HPO%2522:100.0%257D", "Show Evidence...")</f>
        <v>Show Evidence...</v>
      </c>
    </row>
    <row r="2362" spans="1:10" ht="12.75">
      <c r="A2362" s="2" t="s">
        <v>3403</v>
      </c>
      <c r="B2362" s="2" t="s">
        <v>3404</v>
      </c>
      <c r="C2362" s="2" t="s">
        <v>24</v>
      </c>
      <c r="D2362" s="2" t="s">
        <v>3405</v>
      </c>
      <c r="E2362" s="2" t="s">
        <v>431</v>
      </c>
      <c r="F2362" s="11" t="s">
        <v>3661</v>
      </c>
      <c r="G2362" t="s">
        <v>38</v>
      </c>
      <c r="H2362" t="s">
        <v>3662</v>
      </c>
      <c r="I2362" t="s">
        <v>3650</v>
      </c>
      <c r="J2362" s="6" t="str">
        <f>HYPERLINK("https://www.biovista.com/db/link/%5B%5B%22Disease%7Cpyridoxine%20dependent%20epilepsy%22%5D,%20%5B%22Human%20Phenotype%7CFocal%20myoclonic%20seizure%22%5D%5D?strength-weight-map=%257B%2522MEDLINE_STRENGTH_AB%2522:1.0,%2522HPO%2522:100.0%257D", "Show Evidence...")</f>
        <v>Show Evidence...</v>
      </c>
    </row>
    <row r="2363" spans="1:10" ht="12.75">
      <c r="A2363" s="2" t="s">
        <v>3403</v>
      </c>
      <c r="B2363" s="2" t="s">
        <v>3404</v>
      </c>
      <c r="C2363" s="2" t="s">
        <v>24</v>
      </c>
      <c r="D2363" s="2" t="s">
        <v>3405</v>
      </c>
      <c r="E2363" s="2" t="s">
        <v>431</v>
      </c>
      <c r="F2363" s="11" t="s">
        <v>3663</v>
      </c>
      <c r="G2363" t="s">
        <v>38</v>
      </c>
      <c r="H2363" t="s">
        <v>3664</v>
      </c>
      <c r="I2363" t="s">
        <v>3650</v>
      </c>
      <c r="J2363" s="6" t="str">
        <f>HYPERLINK("https://www.biovista.com/db/link/%5B%5B%22Disease%7Cpyridoxine%20dependent%20epilepsy%22%5D,%20%5B%22Human%20Phenotype%7CRestlessness%22%5D%5D?strength-weight-map=%257B%2522MEDLINE_STRENGTH_AB%2522:1.0,%2522HPO%2522:100.0%257D", "Show Evidence...")</f>
        <v>Show Evidence...</v>
      </c>
    </row>
    <row r="2364" spans="1:10" ht="12.75">
      <c r="A2364" s="2" t="s">
        <v>3403</v>
      </c>
      <c r="B2364" s="2" t="s">
        <v>3404</v>
      </c>
      <c r="C2364" s="2" t="s">
        <v>24</v>
      </c>
      <c r="D2364" s="2" t="s">
        <v>3405</v>
      </c>
      <c r="E2364" s="2" t="s">
        <v>431</v>
      </c>
      <c r="F2364" s="11" t="s">
        <v>1294</v>
      </c>
      <c r="G2364" t="s">
        <v>38</v>
      </c>
      <c r="H2364" t="s">
        <v>1295</v>
      </c>
      <c r="I2364" t="s">
        <v>3650</v>
      </c>
      <c r="J2364" s="6" t="str">
        <f>HYPERLINK("https://www.biovista.com/db/link/%5B%5B%22Disease%7Cpyridoxine%20dependent%20epilepsy%22%5D,%20%5B%22Human%20Phenotype%7CWidened%20subarachnoid%20space%22%5D%5D?strength-weight-map=%257B%2522MEDLINE_STRENGTH_AB%2522:1.0,%2522HPO%2522:100.0%257D", "Show Evidence...")</f>
        <v>Show Evidence...</v>
      </c>
    </row>
    <row r="2365" spans="1:10" ht="12.75">
      <c r="A2365" s="2" t="s">
        <v>3403</v>
      </c>
      <c r="B2365" s="2" t="s">
        <v>3404</v>
      </c>
      <c r="C2365" s="2" t="s">
        <v>24</v>
      </c>
      <c r="D2365" s="2" t="s">
        <v>3405</v>
      </c>
      <c r="E2365" s="2" t="s">
        <v>431</v>
      </c>
      <c r="F2365" s="11" t="s">
        <v>1372</v>
      </c>
      <c r="G2365" t="s">
        <v>38</v>
      </c>
      <c r="H2365" t="s">
        <v>1373</v>
      </c>
      <c r="I2365" t="s">
        <v>3665</v>
      </c>
      <c r="J2365" s="6" t="str">
        <f>HYPERLINK("https://www.biovista.com/db/link/%5B%5B%22Disease%7Cpyridoxine%20dependent%20epilepsy%22%5D,%20%5B%22Human%20Phenotype%7CGlobal%20developmental%20delay%22%5D%5D?strength-weight-map=%257B%2522MEDLINE_STRENGTH_AB%2522:1.0,%2522HPO%2522:100.0%257D", "Show Evidence...")</f>
        <v>Show Evidence...</v>
      </c>
    </row>
    <row r="2366" spans="1:10" ht="12.75">
      <c r="A2366" s="2" t="s">
        <v>3403</v>
      </c>
      <c r="B2366" s="2" t="s">
        <v>3404</v>
      </c>
      <c r="C2366" s="2" t="s">
        <v>24</v>
      </c>
      <c r="D2366" s="2" t="s">
        <v>3405</v>
      </c>
      <c r="E2366" s="2" t="s">
        <v>431</v>
      </c>
      <c r="F2366" s="11" t="s">
        <v>2094</v>
      </c>
      <c r="G2366" t="s">
        <v>38</v>
      </c>
      <c r="H2366" t="s">
        <v>2095</v>
      </c>
      <c r="I2366" t="s">
        <v>3666</v>
      </c>
      <c r="J2366" s="6" t="str">
        <f>HYPERLINK("https://www.biovista.com/db/link/%5B%5B%22Disease%7Cpyridoxine%20dependent%20epilepsy%22%5D,%20%5B%22Human%20Phenotype%7CLactic%20acidosis%22%5D%5D?strength-weight-map=%257B%2522MEDLINE_STRENGTH_AB%2522:1.0,%2522HPO%2522:100.0%257D", "Show Evidence...")</f>
        <v>Show Evidence...</v>
      </c>
    </row>
    <row r="2367" spans="1:10" ht="12.75">
      <c r="A2367" s="2" t="s">
        <v>3403</v>
      </c>
      <c r="B2367" s="2" t="s">
        <v>3404</v>
      </c>
      <c r="C2367" s="2" t="s">
        <v>24</v>
      </c>
      <c r="D2367" s="2" t="s">
        <v>3405</v>
      </c>
      <c r="E2367" s="2" t="s">
        <v>431</v>
      </c>
      <c r="F2367" s="11" t="s">
        <v>3667</v>
      </c>
      <c r="G2367" t="s">
        <v>38</v>
      </c>
      <c r="H2367" t="s">
        <v>3668</v>
      </c>
      <c r="I2367" t="s">
        <v>3411</v>
      </c>
      <c r="J2367" s="6" t="str">
        <f>HYPERLINK("https://www.biovista.com/db/link/%5B%5B%22Disease%7Cpyridoxine%20dependent%20epilepsy%22%5D,%20%5B%22Human%20Phenotype%7CRefractory%22%5D%5D?strength-weight-map=%257B%2522MEDLINE_STRENGTH_AB%2522:1.0,%2522HPO%2522:100.0%257D", "Show Evidence...")</f>
        <v>Show Evidence...</v>
      </c>
    </row>
    <row r="2368" spans="1:10" ht="12.75">
      <c r="A2368" s="2" t="s">
        <v>3403</v>
      </c>
      <c r="B2368" s="2" t="s">
        <v>3404</v>
      </c>
      <c r="C2368" s="2" t="s">
        <v>24</v>
      </c>
      <c r="D2368" s="2" t="s">
        <v>3405</v>
      </c>
      <c r="E2368" s="2" t="s">
        <v>431</v>
      </c>
      <c r="F2368" s="11" t="s">
        <v>1424</v>
      </c>
      <c r="G2368" t="s">
        <v>38</v>
      </c>
      <c r="H2368" t="s">
        <v>1425</v>
      </c>
      <c r="I2368" t="s">
        <v>3669</v>
      </c>
      <c r="J2368" s="6" t="str">
        <f>HYPERLINK("https://www.biovista.com/db/link/%5B%5B%22Disease%7Cpyridoxine%20dependent%20epilepsy%22%5D,%20%5B%22Human%20Phenotype%7CHypoglycemia%22%5D%5D?strength-weight-map=%257B%2522MEDLINE_STRENGTH_AB%2522:1.0,%2522HPO%2522:100.0%257D", "Show Evidence...")</f>
        <v>Show Evidence...</v>
      </c>
    </row>
    <row r="2369" spans="1:10" ht="12.75">
      <c r="A2369" s="2" t="s">
        <v>3403</v>
      </c>
      <c r="B2369" s="2" t="s">
        <v>3404</v>
      </c>
      <c r="C2369" s="2" t="s">
        <v>24</v>
      </c>
      <c r="D2369" s="2" t="s">
        <v>3405</v>
      </c>
      <c r="E2369" s="2" t="s">
        <v>431</v>
      </c>
      <c r="F2369" s="11" t="s">
        <v>3670</v>
      </c>
      <c r="G2369" t="s">
        <v>38</v>
      </c>
      <c r="H2369" t="s">
        <v>3671</v>
      </c>
      <c r="I2369" t="s">
        <v>3672</v>
      </c>
      <c r="J2369" s="6" t="str">
        <f>HYPERLINK("https://www.biovista.com/db/link/%5B%5B%22Disease%7Cpyridoxine%20dependent%20epilepsy%22%5D,%20%5B%22Human%20Phenotype%7CEpileptic%20encephalopathy%22%5D%5D?strength-weight-map=%257B%2522MEDLINE_STRENGTH_AB%2522:1.0,%2522HPO%2522:100.0%257D", "Show Evidence...")</f>
        <v>Show Evidence...</v>
      </c>
    </row>
    <row r="2370" spans="1:10" ht="12.75">
      <c r="A2370" s="2" t="s">
        <v>3403</v>
      </c>
      <c r="B2370" s="2" t="s">
        <v>3404</v>
      </c>
      <c r="C2370" s="2" t="s">
        <v>24</v>
      </c>
      <c r="D2370" s="2" t="s">
        <v>3405</v>
      </c>
      <c r="E2370" s="2" t="s">
        <v>431</v>
      </c>
      <c r="F2370" s="11" t="s">
        <v>640</v>
      </c>
      <c r="G2370" t="s">
        <v>38</v>
      </c>
      <c r="H2370" t="s">
        <v>641</v>
      </c>
      <c r="I2370" t="s">
        <v>3673</v>
      </c>
      <c r="J2370" s="6" t="str">
        <f>HYPERLINK("https://www.biovista.com/db/link/%5B%5B%22Disease%7Cpyridoxine%20dependent%20epilepsy%22%5D,%20%5B%22Human%20Phenotype%7CRecurrent%22%5D%5D?strength-weight-map=%257B%2522MEDLINE_STRENGTH_AB%2522:1.0,%2522HPO%2522:100.0%257D", "Show Evidence...")</f>
        <v>Show Evidence...</v>
      </c>
    </row>
    <row r="2371" spans="1:10" ht="12.75">
      <c r="A2371" s="2" t="s">
        <v>3403</v>
      </c>
      <c r="B2371" s="2" t="s">
        <v>3404</v>
      </c>
      <c r="C2371" s="2" t="s">
        <v>24</v>
      </c>
      <c r="D2371" s="2" t="s">
        <v>3405</v>
      </c>
      <c r="E2371" s="2" t="s">
        <v>431</v>
      </c>
      <c r="F2371" s="11" t="s">
        <v>3674</v>
      </c>
      <c r="G2371" t="s">
        <v>38</v>
      </c>
      <c r="H2371" t="s">
        <v>3675</v>
      </c>
      <c r="I2371" t="s">
        <v>3676</v>
      </c>
      <c r="J2371" s="6" t="str">
        <f>HYPERLINK("https://www.biovista.com/db/link/%5B%5B%22Disease%7Cpyridoxine%20dependent%20epilepsy%22%5D,%20%5B%22Human%20Phenotype%7CSeizure%20cluster%22%5D%5D?strength-weight-map=%257B%2522MEDLINE_STRENGTH_AB%2522:1.0,%2522HPO%2522:100.0%257D", "Show Evidence...")</f>
        <v>Show Evidence...</v>
      </c>
    </row>
    <row r="2372" spans="1:10" ht="12.75">
      <c r="A2372" s="2" t="s">
        <v>3403</v>
      </c>
      <c r="B2372" s="2" t="s">
        <v>3404</v>
      </c>
      <c r="C2372" s="2" t="s">
        <v>24</v>
      </c>
      <c r="D2372" s="2" t="s">
        <v>3405</v>
      </c>
      <c r="E2372" s="2" t="s">
        <v>431</v>
      </c>
      <c r="F2372" s="11" t="s">
        <v>3677</v>
      </c>
      <c r="G2372" t="s">
        <v>38</v>
      </c>
      <c r="H2372" t="s">
        <v>3678</v>
      </c>
      <c r="I2372" t="s">
        <v>3490</v>
      </c>
      <c r="J2372" s="6" t="str">
        <f>HYPERLINK("https://www.biovista.com/db/link/%5B%5B%22Disease%7Cpyridoxine%20dependent%20epilepsy%22%5D,%20%5B%22Human%20Phenotype%7CMultifocal%22%5D%5D?strength-weight-map=%257B%2522MEDLINE_STRENGTH_AB%2522:1.0,%2522HPO%2522:100.0%257D", "Show Evidence...")</f>
        <v>Show Evidence...</v>
      </c>
    </row>
    <row r="2373" spans="1:10" ht="12.75">
      <c r="A2373" s="2" t="s">
        <v>3403</v>
      </c>
      <c r="B2373" s="2" t="s">
        <v>3404</v>
      </c>
      <c r="C2373" s="2" t="s">
        <v>24</v>
      </c>
      <c r="D2373" s="2" t="s">
        <v>3405</v>
      </c>
      <c r="E2373" s="2" t="s">
        <v>431</v>
      </c>
      <c r="F2373" s="11" t="s">
        <v>1260</v>
      </c>
      <c r="G2373" t="s">
        <v>38</v>
      </c>
      <c r="H2373" t="s">
        <v>1261</v>
      </c>
      <c r="I2373" t="s">
        <v>3492</v>
      </c>
      <c r="J2373" s="6" t="str">
        <f>HYPERLINK("https://www.biovista.com/db/link/%5B%5B%22Disease%7Cpyridoxine%20dependent%20epilepsy%22%5D,%20%5B%22Human%20Phenotype%7CEncephalopathy%22%5D%5D?strength-weight-map=%257B%2522MEDLINE_STRENGTH_AB%2522:1.0,%2522HPO%2522:100.0%257D", "Show Evidence...")</f>
        <v>Show Evidence...</v>
      </c>
    </row>
    <row r="2374" spans="1:10" ht="12.75">
      <c r="A2374" s="2" t="s">
        <v>3403</v>
      </c>
      <c r="B2374" s="2" t="s">
        <v>3404</v>
      </c>
      <c r="C2374" s="2" t="s">
        <v>24</v>
      </c>
      <c r="D2374" s="2" t="s">
        <v>3405</v>
      </c>
      <c r="E2374" s="2" t="s">
        <v>431</v>
      </c>
      <c r="F2374" s="11" t="s">
        <v>617</v>
      </c>
      <c r="G2374" t="s">
        <v>38</v>
      </c>
      <c r="H2374" t="s">
        <v>618</v>
      </c>
      <c r="I2374" t="s">
        <v>3492</v>
      </c>
      <c r="J2374" s="6" t="str">
        <f>HYPERLINK("https://www.biovista.com/db/link/%5B%5B%22Disease%7Cpyridoxine%20dependent%20epilepsy%22%5D,%20%5B%22Human%20Phenotype%7CHealthy%22%5D%5D?strength-weight-map=%257B%2522MEDLINE_STRENGTH_AB%2522:1.0,%2522HPO%2522:100.0%257D", "Show Evidence...")</f>
        <v>Show Evidence...</v>
      </c>
    </row>
    <row r="2375" spans="1:10" ht="12.75">
      <c r="A2375" s="2" t="s">
        <v>3403</v>
      </c>
      <c r="B2375" s="2" t="s">
        <v>3404</v>
      </c>
      <c r="C2375" s="2" t="s">
        <v>24</v>
      </c>
      <c r="D2375" s="2" t="s">
        <v>3405</v>
      </c>
      <c r="E2375" s="2" t="s">
        <v>431</v>
      </c>
      <c r="F2375" s="11" t="s">
        <v>1331</v>
      </c>
      <c r="G2375" t="s">
        <v>38</v>
      </c>
      <c r="H2375" t="s">
        <v>1332</v>
      </c>
      <c r="I2375" t="s">
        <v>3679</v>
      </c>
      <c r="J2375" s="6" t="str">
        <f>HYPERLINK("https://www.biovista.com/db/link/%5B%5B%22Disease%7Cpyridoxine%20dependent%20epilepsy%22%5D,%20%5B%22Human%20Phenotype%7CInfantile%20spasms%22%5D%5D?strength-weight-map=%257B%2522MEDLINE_STRENGTH_AB%2522:1.0,%2522HPO%2522:100.0%257D", "Show Evidence...")</f>
        <v>Show Evidence...</v>
      </c>
    </row>
    <row r="2376" spans="1:10" ht="12.75">
      <c r="A2376" s="2" t="s">
        <v>3403</v>
      </c>
      <c r="B2376" s="2" t="s">
        <v>3404</v>
      </c>
      <c r="C2376" s="2" t="s">
        <v>24</v>
      </c>
      <c r="D2376" s="2" t="s">
        <v>3405</v>
      </c>
      <c r="E2376" s="2" t="s">
        <v>431</v>
      </c>
      <c r="F2376" s="11" t="s">
        <v>1767</v>
      </c>
      <c r="G2376" t="s">
        <v>38</v>
      </c>
      <c r="H2376" t="s">
        <v>1768</v>
      </c>
      <c r="I2376" t="s">
        <v>3679</v>
      </c>
      <c r="J2376" s="6" t="str">
        <f>HYPERLINK("https://www.biovista.com/db/link/%5B%5B%22Disease%7Cpyridoxine%20dependent%20epilepsy%22%5D,%20%5B%22Human%20Phenotype%7CMyoclonus%22%5D%5D?strength-weight-map=%257B%2522MEDLINE_STRENGTH_AB%2522:1.0,%2522HPO%2522:100.0%257D", "Show Evidence...")</f>
        <v>Show Evidence...</v>
      </c>
    </row>
    <row r="2377" spans="1:10" ht="12.75">
      <c r="A2377" s="2" t="s">
        <v>3403</v>
      </c>
      <c r="B2377" s="2" t="s">
        <v>3404</v>
      </c>
      <c r="C2377" s="2" t="s">
        <v>24</v>
      </c>
      <c r="D2377" s="2" t="s">
        <v>3405</v>
      </c>
      <c r="E2377" s="2" t="s">
        <v>431</v>
      </c>
      <c r="F2377" s="11" t="s">
        <v>1765</v>
      </c>
      <c r="G2377" t="s">
        <v>38</v>
      </c>
      <c r="H2377" t="s">
        <v>1766</v>
      </c>
      <c r="I2377" t="s">
        <v>3417</v>
      </c>
      <c r="J2377" s="6" t="str">
        <f>HYPERLINK("https://www.biovista.com/db/link/%5B%5B%22Disease%7Cpyridoxine%20dependent%20epilepsy%22%5D,%20%5B%22Human%20Phenotype%7CMicrocephaly%22%5D%5D?strength-weight-map=%257B%2522MEDLINE_STRENGTH_AB%2522:1.0,%2522HPO%2522:100.0%257D", "Show Evidence...")</f>
        <v>Show Evidence...</v>
      </c>
    </row>
    <row r="2378" spans="1:10" ht="12.75">
      <c r="A2378" s="2" t="s">
        <v>3403</v>
      </c>
      <c r="B2378" s="2" t="s">
        <v>3404</v>
      </c>
      <c r="C2378" s="2" t="s">
        <v>24</v>
      </c>
      <c r="D2378" s="2" t="s">
        <v>3405</v>
      </c>
      <c r="E2378" s="2" t="s">
        <v>431</v>
      </c>
      <c r="F2378" s="11" t="s">
        <v>3680</v>
      </c>
      <c r="G2378" t="s">
        <v>38</v>
      </c>
      <c r="H2378" t="s">
        <v>3681</v>
      </c>
      <c r="I2378" t="s">
        <v>3417</v>
      </c>
      <c r="J2378" s="6" t="s">
        <v>3682</v>
      </c>
    </row>
    <row r="2379" spans="1:10" ht="12.75">
      <c r="A2379" s="2" t="s">
        <v>3403</v>
      </c>
      <c r="B2379" s="2" t="s">
        <v>3404</v>
      </c>
      <c r="C2379" s="2" t="s">
        <v>24</v>
      </c>
      <c r="D2379" s="2" t="s">
        <v>3405</v>
      </c>
      <c r="E2379" s="2" t="s">
        <v>431</v>
      </c>
      <c r="F2379" s="11" t="s">
        <v>1418</v>
      </c>
      <c r="G2379" t="s">
        <v>38</v>
      </c>
      <c r="H2379" t="s">
        <v>1419</v>
      </c>
      <c r="I2379" t="s">
        <v>3418</v>
      </c>
      <c r="J2379" s="6" t="str">
        <f>HYPERLINK("https://www.biovista.com/db/link/%5B%5B%22Disease%7Cpyridoxine%20dependent%20epilepsy%22%5D,%20%5B%22Human%20Phenotype%7CPurpura%22%5D%5D?strength-weight-map=%257B%2522MEDLINE_STRENGTH_AB%2522:1.0,%2522HPO%2522:100.0%257D", "Show Evidence...")</f>
        <v>Show Evidence...</v>
      </c>
    </row>
    <row r="2380" spans="1:10" ht="12.75">
      <c r="A2380" s="2" t="s">
        <v>3403</v>
      </c>
      <c r="B2380" s="2" t="s">
        <v>3404</v>
      </c>
      <c r="C2380" s="2" t="s">
        <v>24</v>
      </c>
      <c r="D2380" s="2" t="s">
        <v>3405</v>
      </c>
      <c r="E2380" s="2" t="s">
        <v>431</v>
      </c>
      <c r="F2380" s="11" t="s">
        <v>3683</v>
      </c>
      <c r="G2380" t="s">
        <v>38</v>
      </c>
      <c r="H2380" t="s">
        <v>3684</v>
      </c>
      <c r="I2380" t="s">
        <v>3418</v>
      </c>
      <c r="J2380" s="6" t="str">
        <f>HYPERLINK("https://www.biovista.com/db/link/%5B%5B%22Disease%7Cpyridoxine%20dependent%20epilepsy%22%5D,%20%5B%22Human%20Phenotype%7CRickets%22%5D%5D?strength-weight-map=%257B%2522MEDLINE_STRENGTH_AB%2522:1.0,%2522HPO%2522:100.0%257D", "Show Evidence...")</f>
        <v>Show Evidence...</v>
      </c>
    </row>
    <row r="2381" spans="1:10" ht="12.75">
      <c r="A2381" s="2" t="s">
        <v>3403</v>
      </c>
      <c r="B2381" s="2" t="s">
        <v>3404</v>
      </c>
      <c r="C2381" s="2" t="s">
        <v>24</v>
      </c>
      <c r="D2381" s="2" t="s">
        <v>3405</v>
      </c>
      <c r="E2381" s="2" t="s">
        <v>431</v>
      </c>
      <c r="F2381" s="11" t="s">
        <v>1408</v>
      </c>
      <c r="G2381" t="s">
        <v>38</v>
      </c>
      <c r="H2381" t="s">
        <v>1409</v>
      </c>
      <c r="I2381" t="s">
        <v>3496</v>
      </c>
      <c r="J2381" s="6" t="str">
        <f>HYPERLINK("https://www.biovista.com/db/link/%5B%5B%22Disease%7Cpyridoxine%20dependent%20epilepsy%22%5D,%20%5B%22Human%20Phenotype%7CClinical%20course%22%5D%5D?strength-weight-map=%257B%2522MEDLINE_STRENGTH_AB%2522:1.0,%2522HPO%2522:100.0%257D", "Show Evidence...")</f>
        <v>Show Evidence...</v>
      </c>
    </row>
    <row r="2382" spans="1:10" ht="12.75">
      <c r="A2382" s="2" t="s">
        <v>3403</v>
      </c>
      <c r="B2382" s="2" t="s">
        <v>3404</v>
      </c>
      <c r="C2382" s="2" t="s">
        <v>24</v>
      </c>
      <c r="D2382" s="2" t="s">
        <v>3405</v>
      </c>
      <c r="E2382" s="2" t="s">
        <v>431</v>
      </c>
      <c r="F2382" s="11" t="s">
        <v>3685</v>
      </c>
      <c r="G2382" t="s">
        <v>38</v>
      </c>
      <c r="H2382" t="s">
        <v>3686</v>
      </c>
      <c r="I2382" t="s">
        <v>3496</v>
      </c>
      <c r="J2382" s="6" t="s">
        <v>3687</v>
      </c>
    </row>
    <row r="2383" spans="1:10" ht="12.75">
      <c r="A2383" s="2" t="s">
        <v>3403</v>
      </c>
      <c r="B2383" s="2" t="s">
        <v>3404</v>
      </c>
      <c r="C2383" s="2" t="s">
        <v>24</v>
      </c>
      <c r="D2383" s="2" t="s">
        <v>3405</v>
      </c>
      <c r="E2383" s="2" t="s">
        <v>431</v>
      </c>
      <c r="F2383" s="11" t="s">
        <v>3233</v>
      </c>
      <c r="G2383" t="s">
        <v>38</v>
      </c>
      <c r="H2383" t="s">
        <v>3234</v>
      </c>
      <c r="I2383" t="s">
        <v>3496</v>
      </c>
      <c r="J2383" s="6" t="str">
        <f>HYPERLINK("https://www.biovista.com/db/link/%5B%5B%22Disease%7Cpyridoxine%20dependent%20epilepsy%22%5D,%20%5B%22Human%20Phenotype%7CGeneralized-onset%20seizure%22%5D%5D?strength-weight-map=%257B%2522MEDLINE_STRENGTH_AB%2522:1.0,%2522HPO%2522:100.0%257D", "Show Evidence...")</f>
        <v>Show Evidence...</v>
      </c>
    </row>
    <row r="2384" spans="1:10" ht="12.75">
      <c r="A2384" s="2" t="s">
        <v>3403</v>
      </c>
      <c r="B2384" s="2" t="s">
        <v>3404</v>
      </c>
      <c r="C2384" s="2" t="s">
        <v>24</v>
      </c>
      <c r="D2384" s="2" t="s">
        <v>3405</v>
      </c>
      <c r="E2384" s="2" t="s">
        <v>431</v>
      </c>
      <c r="F2384" s="11" t="s">
        <v>643</v>
      </c>
      <c r="G2384" t="s">
        <v>38</v>
      </c>
      <c r="H2384" t="s">
        <v>644</v>
      </c>
      <c r="I2384" t="s">
        <v>3496</v>
      </c>
      <c r="J2384" s="6" t="s">
        <v>3688</v>
      </c>
    </row>
    <row r="2385" spans="1:10" ht="12.75">
      <c r="A2385" s="2" t="s">
        <v>3403</v>
      </c>
      <c r="B2385" s="2" t="s">
        <v>3404</v>
      </c>
      <c r="C2385" s="2" t="s">
        <v>24</v>
      </c>
      <c r="D2385" s="2" t="s">
        <v>3405</v>
      </c>
      <c r="E2385" s="2" t="s">
        <v>431</v>
      </c>
      <c r="F2385" s="11" t="s">
        <v>3689</v>
      </c>
      <c r="G2385" t="s">
        <v>38</v>
      </c>
      <c r="H2385" t="s">
        <v>3690</v>
      </c>
      <c r="I2385" t="s">
        <v>3496</v>
      </c>
      <c r="J2385" s="6" t="str">
        <f>HYPERLINK("https://www.biovista.com/db/link/%5B%5B%22Disease%7Cpyridoxine%20dependent%20epilepsy%22%5D,%20%5B%22Human%20Phenotype%7CMolybdenum%20cofactor%20deficiency%22%5D%5D?strength-weight-map=%257B%2522MEDLINE_STRENGTH_AB%2522:1.0,%2522HPO%2522:100.0%257D", "Show Evidence...")</f>
        <v>Show Evidence...</v>
      </c>
    </row>
    <row r="2386" spans="1:10" ht="12.75">
      <c r="A2386" s="2" t="s">
        <v>3403</v>
      </c>
      <c r="B2386" s="2" t="s">
        <v>3404</v>
      </c>
      <c r="C2386" s="2" t="s">
        <v>24</v>
      </c>
      <c r="D2386" s="2" t="s">
        <v>3405</v>
      </c>
      <c r="E2386" s="2" t="s">
        <v>431</v>
      </c>
      <c r="F2386" s="11" t="s">
        <v>3691</v>
      </c>
      <c r="G2386" t="s">
        <v>38</v>
      </c>
      <c r="H2386" t="s">
        <v>3692</v>
      </c>
      <c r="I2386" t="s">
        <v>3496</v>
      </c>
      <c r="J2386" s="6" t="str">
        <f>HYPERLINK("https://www.biovista.com/db/link/%5B%5B%22Disease%7Cpyridoxine%20dependent%20epilepsy%22%5D,%20%5B%22Human%20Phenotype%7CNeonatal%20seizure%22%5D%5D?strength-weight-map=%257B%2522MEDLINE_STRENGTH_AB%2522:1.0,%2522HPO%2522:100.0%257D", "Show Evidence...")</f>
        <v>Show Evidence...</v>
      </c>
    </row>
    <row r="2387" spans="1:10" ht="12.75">
      <c r="A2387" s="2" t="s">
        <v>3403</v>
      </c>
      <c r="B2387" s="2" t="s">
        <v>3404</v>
      </c>
      <c r="C2387" s="2" t="s">
        <v>24</v>
      </c>
      <c r="D2387" s="2" t="s">
        <v>3405</v>
      </c>
      <c r="E2387" s="2" t="s">
        <v>431</v>
      </c>
      <c r="F2387" s="11" t="s">
        <v>614</v>
      </c>
      <c r="G2387" t="s">
        <v>38</v>
      </c>
      <c r="H2387" t="s">
        <v>615</v>
      </c>
      <c r="I2387" t="s">
        <v>3496</v>
      </c>
      <c r="J2387" s="6" t="str">
        <f>HYPERLINK("https://www.biovista.com/db/link/%5B%5B%22Disease%7Cpyridoxine%20dependent%20epilepsy%22%5D,%20%5B%22Human%20Phenotype%7CNeoplasm%22%5D%5D?strength-weight-map=%257B%2522MEDLINE_STRENGTH_AB%2522:1.0,%2522HPO%2522:100.0%257D", "Show Evidence...")</f>
        <v>Show Evidence...</v>
      </c>
    </row>
    <row r="2388" spans="1:10" ht="12.75">
      <c r="A2388" s="2" t="s">
        <v>3403</v>
      </c>
      <c r="B2388" s="2" t="s">
        <v>3404</v>
      </c>
      <c r="C2388" s="2" t="s">
        <v>24</v>
      </c>
      <c r="D2388" s="2" t="s">
        <v>3405</v>
      </c>
      <c r="E2388" s="2" t="s">
        <v>431</v>
      </c>
      <c r="F2388" s="11" t="s">
        <v>1312</v>
      </c>
      <c r="G2388" t="s">
        <v>38</v>
      </c>
      <c r="H2388" t="s">
        <v>1313</v>
      </c>
      <c r="I2388" t="s">
        <v>3419</v>
      </c>
      <c r="J2388" s="6" t="s">
        <v>3693</v>
      </c>
    </row>
    <row r="2389" spans="1:10" ht="12.75">
      <c r="A2389" s="2" t="s">
        <v>3403</v>
      </c>
      <c r="B2389" s="2" t="s">
        <v>3404</v>
      </c>
      <c r="C2389" s="2" t="s">
        <v>24</v>
      </c>
      <c r="D2389" s="2" t="s">
        <v>3405</v>
      </c>
      <c r="E2389" s="2" t="s">
        <v>431</v>
      </c>
      <c r="F2389" s="11" t="s">
        <v>464</v>
      </c>
      <c r="G2389" t="s">
        <v>38</v>
      </c>
      <c r="H2389" t="s">
        <v>465</v>
      </c>
      <c r="I2389" t="s">
        <v>3419</v>
      </c>
      <c r="J2389" s="6" t="str">
        <f>HYPERLINK("https://www.biovista.com/db/link/%5B%5B%22Disease%7Cpyridoxine%20dependent%20epilepsy%22%5D,%20%5B%22Human%20Phenotype%7CAtaxia%22%5D%5D?strength-weight-map=%257B%2522MEDLINE_STRENGTH_AB%2522:1.0,%2522HPO%2522:100.0%257D", "Show Evidence...")</f>
        <v>Show Evidence...</v>
      </c>
    </row>
    <row r="2390" spans="1:10" ht="12.75">
      <c r="A2390" s="2" t="s">
        <v>3403</v>
      </c>
      <c r="B2390" s="2" t="s">
        <v>3404</v>
      </c>
      <c r="C2390" s="2" t="s">
        <v>24</v>
      </c>
      <c r="D2390" s="2" t="s">
        <v>3405</v>
      </c>
      <c r="E2390" s="2" t="s">
        <v>431</v>
      </c>
      <c r="F2390" s="11" t="s">
        <v>694</v>
      </c>
      <c r="G2390" t="s">
        <v>38</v>
      </c>
      <c r="H2390" t="s">
        <v>695</v>
      </c>
      <c r="I2390" t="s">
        <v>3419</v>
      </c>
      <c r="J2390" s="6" t="str">
        <f>HYPERLINK("https://www.biovista.com/db/link/%5B%5B%22Disease%7Cpyridoxine%20dependent%20epilepsy%22%5D,%20%5B%22Human%20Phenotype%7CCognitive%20impairment%22%5D%5D?strength-weight-map=%257B%2522MEDLINE_STRENGTH_AB%2522:1.0,%2522HPO%2522:100.0%257D", "Show Evidence...")</f>
        <v>Show Evidence...</v>
      </c>
    </row>
    <row r="2391" spans="1:10" ht="12.75">
      <c r="A2391" s="2" t="s">
        <v>3403</v>
      </c>
      <c r="B2391" s="2" t="s">
        <v>3404</v>
      </c>
      <c r="C2391" s="2" t="s">
        <v>24</v>
      </c>
      <c r="D2391" s="2" t="s">
        <v>3405</v>
      </c>
      <c r="E2391" s="2" t="s">
        <v>431</v>
      </c>
      <c r="F2391" s="11" t="s">
        <v>3694</v>
      </c>
      <c r="G2391" t="s">
        <v>38</v>
      </c>
      <c r="H2391" t="s">
        <v>3695</v>
      </c>
      <c r="I2391" t="s">
        <v>3419</v>
      </c>
      <c r="J2391" s="6" t="str">
        <f>HYPERLINK("https://www.biovista.com/db/link/%5B%5B%22Disease%7Cpyridoxine%20dependent%20epilepsy%22%5D,%20%5B%22Human%20Phenotype%7CConfusional%20arousal%22%5D%5D?strength-weight-map=%257B%2522MEDLINE_STRENGTH_AB%2522:1.0,%2522HPO%2522:100.0%257D", "Show Evidence...")</f>
        <v>Show Evidence...</v>
      </c>
    </row>
    <row r="2392" spans="1:10" ht="12.75">
      <c r="A2392" s="2" t="s">
        <v>3403</v>
      </c>
      <c r="B2392" s="2" t="s">
        <v>3404</v>
      </c>
      <c r="C2392" s="2" t="s">
        <v>24</v>
      </c>
      <c r="D2392" s="2" t="s">
        <v>3405</v>
      </c>
      <c r="E2392" s="2" t="s">
        <v>431</v>
      </c>
      <c r="F2392" s="11" t="s">
        <v>1413</v>
      </c>
      <c r="G2392" t="s">
        <v>38</v>
      </c>
      <c r="H2392" t="s">
        <v>1414</v>
      </c>
      <c r="I2392" t="s">
        <v>3419</v>
      </c>
      <c r="J2392" s="6" t="str">
        <f>HYPERLINK("https://www.biovista.com/db/link/%5B%5B%22Disease%7Cpyridoxine%20dependent%20epilepsy%22%5D,%20%5B%22Human%20Phenotype%7CFever%22%5D%5D?strength-weight-map=%257B%2522MEDLINE_STRENGTH_AB%2522:1.0,%2522HPO%2522:100.0%257D", "Show Evidence...")</f>
        <v>Show Evidence...</v>
      </c>
    </row>
    <row r="2393" spans="1:10" ht="12.75">
      <c r="A2393" s="2" t="s">
        <v>3403</v>
      </c>
      <c r="B2393" s="2" t="s">
        <v>3404</v>
      </c>
      <c r="C2393" s="2" t="s">
        <v>24</v>
      </c>
      <c r="D2393" s="2" t="s">
        <v>3405</v>
      </c>
      <c r="E2393" s="2" t="s">
        <v>431</v>
      </c>
      <c r="F2393" s="11" t="s">
        <v>3696</v>
      </c>
      <c r="G2393" t="s">
        <v>38</v>
      </c>
      <c r="H2393" t="s">
        <v>3697</v>
      </c>
      <c r="I2393" t="s">
        <v>3419</v>
      </c>
      <c r="J2393" s="6" t="str">
        <f>HYPERLINK("https://www.biovista.com/db/link/%5B%5B%22Disease%7Cpyridoxine%20dependent%20epilepsy%22%5D,%20%5B%22Human%20Phenotype%7CHypercalcemia%22%5D%5D?strength-weight-map=%257B%2522MEDLINE_STRENGTH_AB%2522:1.0,%2522HPO%2522:100.0%257D", "Show Evidence...")</f>
        <v>Show Evidence...</v>
      </c>
    </row>
    <row r="2394" spans="1:10" ht="12.75">
      <c r="A2394" s="2" t="s">
        <v>3403</v>
      </c>
      <c r="B2394" s="2" t="s">
        <v>3404</v>
      </c>
      <c r="C2394" s="2" t="s">
        <v>24</v>
      </c>
      <c r="D2394" s="2" t="s">
        <v>3405</v>
      </c>
      <c r="E2394" s="2" t="s">
        <v>431</v>
      </c>
      <c r="F2394" s="11" t="s">
        <v>3698</v>
      </c>
      <c r="G2394" t="s">
        <v>38</v>
      </c>
      <c r="H2394" t="s">
        <v>3699</v>
      </c>
      <c r="I2394" t="s">
        <v>3419</v>
      </c>
      <c r="J2394" s="6" t="str">
        <f>HYPERLINK("https://www.biovista.com/db/link/%5B%5B%22Disease%7Cpyridoxine%20dependent%20epilepsy%22%5D,%20%5B%22Human%20Phenotype%7COsteomalacia%22%5D%5D?strength-weight-map=%257B%2522MEDLINE_STRENGTH_AB%2522:1.0,%2522HPO%2522:100.0%257D", "Show Evidence...")</f>
        <v>Show Evidence...</v>
      </c>
    </row>
    <row r="2395" spans="1:10" ht="12.75">
      <c r="A2395" s="2" t="s">
        <v>3403</v>
      </c>
      <c r="B2395" s="2" t="s">
        <v>3404</v>
      </c>
      <c r="C2395" s="2" t="s">
        <v>24</v>
      </c>
      <c r="D2395" s="2" t="s">
        <v>3405</v>
      </c>
      <c r="E2395" s="2" t="s">
        <v>431</v>
      </c>
      <c r="F2395" s="11" t="s">
        <v>3700</v>
      </c>
      <c r="G2395" t="s">
        <v>38</v>
      </c>
      <c r="H2395" t="s">
        <v>3701</v>
      </c>
      <c r="I2395" t="s">
        <v>3419</v>
      </c>
      <c r="J2395" s="6" t="str">
        <f>HYPERLINK("https://www.biovista.com/db/link/%5B%5B%22Disease%7Cpyridoxine%20dependent%20epilepsy%22%5D,%20%5B%22Human%20Phenotype%7CPhenotypic%20variability%22%5D%5D?strength-weight-map=%257B%2522MEDLINE_STRENGTH_AB%2522:1.0,%2522HPO%2522:100.0%257D", "Show Evidence...")</f>
        <v>Show Evidence...</v>
      </c>
    </row>
    <row r="2396" spans="1:10" ht="12.75">
      <c r="A2396" s="2" t="s">
        <v>3403</v>
      </c>
      <c r="B2396" s="2" t="s">
        <v>3404</v>
      </c>
      <c r="C2396" s="2" t="s">
        <v>24</v>
      </c>
      <c r="D2396" s="2" t="s">
        <v>3405</v>
      </c>
      <c r="E2396" s="2" t="s">
        <v>431</v>
      </c>
      <c r="F2396" s="11" t="s">
        <v>1431</v>
      </c>
      <c r="G2396" t="s">
        <v>38</v>
      </c>
      <c r="H2396" t="s">
        <v>1432</v>
      </c>
      <c r="I2396" t="s">
        <v>3419</v>
      </c>
      <c r="J2396" s="6" t="str">
        <f>HYPERLINK("https://www.biovista.com/db/link/%5B%5B%22Disease%7Cpyridoxine%20dependent%20epilepsy%22%5D,%20%5B%22Human%20Phenotype%7CPostural%20instability%22%5D%5D?strength-weight-map=%257B%2522MEDLINE_STRENGTH_AB%2522:1.0,%2522HPO%2522:100.0%257D", "Show Evidence...")</f>
        <v>Show Evidence...</v>
      </c>
    </row>
    <row r="2397" spans="1:10" ht="12.75">
      <c r="A2397" s="2" t="s">
        <v>3403</v>
      </c>
      <c r="B2397" s="2" t="s">
        <v>3404</v>
      </c>
      <c r="C2397" s="2" t="s">
        <v>24</v>
      </c>
      <c r="D2397" s="2" t="s">
        <v>3405</v>
      </c>
      <c r="E2397" s="2" t="s">
        <v>431</v>
      </c>
      <c r="F2397" s="11" t="s">
        <v>3309</v>
      </c>
      <c r="G2397" t="s">
        <v>38</v>
      </c>
      <c r="H2397" t="s">
        <v>3310</v>
      </c>
      <c r="I2397" t="s">
        <v>3419</v>
      </c>
      <c r="J2397" s="6" t="str">
        <f>HYPERLINK("https://www.biovista.com/db/link/%5B%5B%22Disease%7Cpyridoxine%20dependent%20epilepsy%22%5D,%20%5B%22Human%20Phenotype%7CRespiratory%20distress%22%5D%5D?strength-weight-map=%257B%2522MEDLINE_STRENGTH_AB%2522:1.0,%2522HPO%2522:100.0%257D", "Show Evidence...")</f>
        <v>Show Evidence...</v>
      </c>
    </row>
    <row r="2398" spans="1:10" ht="12.75">
      <c r="A2398" s="2" t="s">
        <v>3403</v>
      </c>
      <c r="B2398" s="2" t="s">
        <v>3404</v>
      </c>
      <c r="C2398" s="2" t="s">
        <v>24</v>
      </c>
      <c r="D2398" s="2" t="s">
        <v>3405</v>
      </c>
      <c r="E2398" s="2" t="s">
        <v>431</v>
      </c>
      <c r="F2398" s="11" t="s">
        <v>1368</v>
      </c>
      <c r="G2398" t="s">
        <v>38</v>
      </c>
      <c r="H2398" t="s">
        <v>1369</v>
      </c>
      <c r="I2398" t="s">
        <v>3424</v>
      </c>
      <c r="J2398" s="6" t="str">
        <f>HYPERLINK("https://www.biovista.com/db/link/%5B%5B%22Disease%7Cpyridoxine%20dependent%20epilepsy%22%5D,%20%5B%22Human%20Phenotype%7CAbnormality%20of%20movement%22%5D%5D?strength-weight-map=%257B%2522MEDLINE_STRENGTH_AB%2522:1.0,%2522HPO%2522:100.0%257D", "Show Evidence...")</f>
        <v>Show Evidence...</v>
      </c>
    </row>
    <row r="2399" spans="1:10" ht="12.75">
      <c r="A2399" s="2" t="s">
        <v>3403</v>
      </c>
      <c r="B2399" s="2" t="s">
        <v>3404</v>
      </c>
      <c r="C2399" s="2" t="s">
        <v>24</v>
      </c>
      <c r="D2399" s="2" t="s">
        <v>3405</v>
      </c>
      <c r="E2399" s="2" t="s">
        <v>431</v>
      </c>
      <c r="F2399" s="11" t="s">
        <v>3702</v>
      </c>
      <c r="G2399" t="s">
        <v>38</v>
      </c>
      <c r="H2399" t="s">
        <v>3703</v>
      </c>
      <c r="I2399" t="s">
        <v>3424</v>
      </c>
      <c r="J2399" s="6" t="str">
        <f>HYPERLINK("https://www.biovista.com/db/link/%5B%5B%22Disease%7Cpyridoxine%20dependent%20epilepsy%22%5D,%20%5B%22Human%20Phenotype%7CApnea%22%5D%5D?strength-weight-map=%257B%2522MEDLINE_STRENGTH_AB%2522:1.0,%2522HPO%2522:100.0%257D", "Show Evidence...")</f>
        <v>Show Evidence...</v>
      </c>
    </row>
    <row r="2400" spans="1:10" ht="12.75">
      <c r="A2400" s="2" t="s">
        <v>3403</v>
      </c>
      <c r="B2400" s="2" t="s">
        <v>3404</v>
      </c>
      <c r="C2400" s="2" t="s">
        <v>24</v>
      </c>
      <c r="D2400" s="2" t="s">
        <v>3405</v>
      </c>
      <c r="E2400" s="2" t="s">
        <v>431</v>
      </c>
      <c r="F2400" s="11" t="s">
        <v>631</v>
      </c>
      <c r="G2400" t="s">
        <v>38</v>
      </c>
      <c r="H2400" t="s">
        <v>632</v>
      </c>
      <c r="I2400" t="s">
        <v>3424</v>
      </c>
      <c r="J2400" s="6" t="str">
        <f>HYPERLINK("https://www.biovista.com/db/link/%5B%5B%22Disease%7Cpyridoxine%20dependent%20epilepsy%22%5D,%20%5B%22Human%20Phenotype%7CAsthenia%22%5D%5D?strength-weight-map=%257B%2522MEDLINE_STRENGTH_AB%2522:1.0,%2522HPO%2522:100.0%257D", "Show Evidence...")</f>
        <v>Show Evidence...</v>
      </c>
    </row>
    <row r="2401" spans="1:10" ht="12.75">
      <c r="A2401" s="2" t="s">
        <v>3403</v>
      </c>
      <c r="B2401" s="2" t="s">
        <v>3404</v>
      </c>
      <c r="C2401" s="2" t="s">
        <v>24</v>
      </c>
      <c r="D2401" s="2" t="s">
        <v>3405</v>
      </c>
      <c r="E2401" s="2" t="s">
        <v>431</v>
      </c>
      <c r="F2401" s="11" t="s">
        <v>2859</v>
      </c>
      <c r="G2401" t="s">
        <v>38</v>
      </c>
      <c r="H2401" t="s">
        <v>2860</v>
      </c>
      <c r="I2401" t="s">
        <v>3424</v>
      </c>
      <c r="J2401" s="6" t="str">
        <f>HYPERLINK("https://www.biovista.com/db/link/%5B%5B%22Disease%7Cpyridoxine%20dependent%20epilepsy%22%5D,%20%5B%22Human%20Phenotype%7CAutism%22%5D%5D?strength-weight-map=%257B%2522MEDLINE_STRENGTH_AB%2522:1.0,%2522HPO%2522:100.0%257D", "Show Evidence...")</f>
        <v>Show Evidence...</v>
      </c>
    </row>
    <row r="2402" spans="1:10" ht="12.75">
      <c r="A2402" s="2" t="s">
        <v>3403</v>
      </c>
      <c r="B2402" s="2" t="s">
        <v>3404</v>
      </c>
      <c r="C2402" s="2" t="s">
        <v>24</v>
      </c>
      <c r="D2402" s="2" t="s">
        <v>3405</v>
      </c>
      <c r="E2402" s="2" t="s">
        <v>431</v>
      </c>
      <c r="F2402" s="11" t="s">
        <v>1225</v>
      </c>
      <c r="G2402" t="s">
        <v>38</v>
      </c>
      <c r="H2402" t="s">
        <v>1226</v>
      </c>
      <c r="I2402" t="s">
        <v>3424</v>
      </c>
      <c r="J2402" s="6" t="str">
        <f>HYPERLINK("https://www.biovista.com/db/link/%5B%5B%22Disease%7Cpyridoxine%20dependent%20epilepsy%22%5D,%20%5B%22Human%20Phenotype%7CDystonia%22%5D%5D?strength-weight-map=%257B%2522MEDLINE_STRENGTH_AB%2522:1.0,%2522HPO%2522:100.0%257D", "Show Evidence...")</f>
        <v>Show Evidence...</v>
      </c>
    </row>
    <row r="2403" spans="1:10" ht="12.75">
      <c r="A2403" s="2" t="s">
        <v>3403</v>
      </c>
      <c r="B2403" s="2" t="s">
        <v>3404</v>
      </c>
      <c r="C2403" s="2" t="s">
        <v>24</v>
      </c>
      <c r="D2403" s="2" t="s">
        <v>3405</v>
      </c>
      <c r="E2403" s="2" t="s">
        <v>431</v>
      </c>
      <c r="F2403" s="11" t="s">
        <v>3704</v>
      </c>
      <c r="G2403" t="s">
        <v>38</v>
      </c>
      <c r="H2403" t="s">
        <v>3705</v>
      </c>
      <c r="I2403" t="s">
        <v>3424</v>
      </c>
      <c r="J2403" s="6" t="str">
        <f>HYPERLINK("https://www.biovista.com/db/link/%5B%5B%22Disease%7Cpyridoxine%20dependent%20epilepsy%22%5D,%20%5B%22Human%20Phenotype%7CFocal%20motor%20seizure%22%5D%5D?strength-weight-map=%257B%2522MEDLINE_STRENGTH_AB%2522:1.0,%2522HPO%2522:100.0%257D", "Show Evidence...")</f>
        <v>Show Evidence...</v>
      </c>
    </row>
    <row r="2404" spans="1:10" ht="12.75">
      <c r="A2404" s="2" t="s">
        <v>3403</v>
      </c>
      <c r="B2404" s="2" t="s">
        <v>3404</v>
      </c>
      <c r="C2404" s="2" t="s">
        <v>24</v>
      </c>
      <c r="D2404" s="2" t="s">
        <v>3405</v>
      </c>
      <c r="E2404" s="2" t="s">
        <v>431</v>
      </c>
      <c r="F2404" s="11" t="s">
        <v>1448</v>
      </c>
      <c r="G2404" t="s">
        <v>38</v>
      </c>
      <c r="H2404" t="s">
        <v>1449</v>
      </c>
      <c r="I2404" t="s">
        <v>3424</v>
      </c>
      <c r="J2404" s="6" t="str">
        <f>HYPERLINK("https://www.biovista.com/db/link/%5B%5B%22Disease%7Cpyridoxine%20dependent%20epilepsy%22%5D,%20%5B%22Human%20Phenotype%7CGliosis%22%5D%5D?strength-weight-map=%257B%2522MEDLINE_STRENGTH_AB%2522:1.0,%2522HPO%2522:100.0%257D", "Show Evidence...")</f>
        <v>Show Evidence...</v>
      </c>
    </row>
    <row r="2405" spans="1:10" ht="12.75">
      <c r="A2405" s="2" t="s">
        <v>3403</v>
      </c>
      <c r="B2405" s="2" t="s">
        <v>3404</v>
      </c>
      <c r="C2405" s="2" t="s">
        <v>24</v>
      </c>
      <c r="D2405" s="2" t="s">
        <v>3405</v>
      </c>
      <c r="E2405" s="2" t="s">
        <v>431</v>
      </c>
      <c r="F2405" s="11" t="s">
        <v>3706</v>
      </c>
      <c r="G2405" t="s">
        <v>38</v>
      </c>
      <c r="H2405" t="s">
        <v>3707</v>
      </c>
      <c r="I2405" t="s">
        <v>3424</v>
      </c>
      <c r="J2405" s="6" t="str">
        <f>HYPERLINK("https://www.biovista.com/db/link/%5B%5B%22Disease%7Cpyridoxine%20dependent%20epilepsy%22%5D,%20%5B%22Human%20Phenotype%7CIntellectual%20disability,%20severe%22%5D%5D?strength-weight-map=%257B%2522MEDLINE_STRENGTH_AB%2522:1.0,%2522HPO%2522:100.0%257D", "Show Evidence...")</f>
        <v>Show Evidence...</v>
      </c>
    </row>
    <row r="2406" spans="1:10" ht="12.75">
      <c r="A2406" s="2" t="s">
        <v>3403</v>
      </c>
      <c r="B2406" s="2" t="s">
        <v>3404</v>
      </c>
      <c r="C2406" s="2" t="s">
        <v>24</v>
      </c>
      <c r="D2406" s="2" t="s">
        <v>3405</v>
      </c>
      <c r="E2406" s="2" t="s">
        <v>431</v>
      </c>
      <c r="F2406" s="11" t="s">
        <v>1257</v>
      </c>
      <c r="G2406" t="s">
        <v>38</v>
      </c>
      <c r="H2406" t="s">
        <v>1258</v>
      </c>
      <c r="I2406" t="s">
        <v>3424</v>
      </c>
      <c r="J2406" s="6" t="str">
        <f>HYPERLINK("https://www.biovista.com/db/link/%5B%5B%22Disease%7Cpyridoxine%20dependent%20epilepsy%22%5D,%20%5B%22Human%20Phenotype%7CMacrocephaly%22%5D%5D?strength-weight-map=%257B%2522MEDLINE_STRENGTH_AB%2522:1.0,%2522HPO%2522:100.0%257D", "Show Evidence...")</f>
        <v>Show Evidence...</v>
      </c>
    </row>
    <row r="2407" spans="1:10" ht="12.75">
      <c r="A2407" s="2" t="s">
        <v>3403</v>
      </c>
      <c r="B2407" s="2" t="s">
        <v>3404</v>
      </c>
      <c r="C2407" s="2" t="s">
        <v>24</v>
      </c>
      <c r="D2407" s="2" t="s">
        <v>3405</v>
      </c>
      <c r="E2407" s="2" t="s">
        <v>431</v>
      </c>
      <c r="F2407" s="11" t="s">
        <v>520</v>
      </c>
      <c r="G2407" t="s">
        <v>38</v>
      </c>
      <c r="H2407" t="s">
        <v>521</v>
      </c>
      <c r="I2407" t="s">
        <v>3424</v>
      </c>
      <c r="J2407" s="6" t="str">
        <f>HYPERLINK("https://www.biovista.com/db/link/%5B%5B%22Disease%7Cpyridoxine%20dependent%20epilepsy%22%5D,%20%5B%22Human%20Phenotype%7CMotor%20delay%22%5D%5D?strength-weight-map=%257B%2522MEDLINE_STRENGTH_AB%2522:1.0,%2522HPO%2522:100.0%257D", "Show Evidence...")</f>
        <v>Show Evidence...</v>
      </c>
    </row>
    <row r="2408" spans="1:10" ht="12.75">
      <c r="A2408" s="2" t="s">
        <v>3403</v>
      </c>
      <c r="B2408" s="2" t="s">
        <v>3404</v>
      </c>
      <c r="C2408" s="2" t="s">
        <v>24</v>
      </c>
      <c r="D2408" s="2" t="s">
        <v>3405</v>
      </c>
      <c r="E2408" s="2" t="s">
        <v>431</v>
      </c>
      <c r="F2408" s="11" t="s">
        <v>1443</v>
      </c>
      <c r="G2408" t="s">
        <v>38</v>
      </c>
      <c r="H2408" t="s">
        <v>1444</v>
      </c>
      <c r="I2408" t="s">
        <v>3424</v>
      </c>
      <c r="J2408" s="6" t="s">
        <v>3708</v>
      </c>
    </row>
    <row r="2409" spans="1:10" ht="12.75">
      <c r="A2409" s="2" t="s">
        <v>3403</v>
      </c>
      <c r="B2409" s="2" t="s">
        <v>3404</v>
      </c>
      <c r="C2409" s="2" t="s">
        <v>24</v>
      </c>
      <c r="D2409" s="2" t="s">
        <v>3405</v>
      </c>
      <c r="E2409" s="2" t="s">
        <v>431</v>
      </c>
      <c r="F2409" s="11" t="s">
        <v>3709</v>
      </c>
      <c r="G2409" t="s">
        <v>38</v>
      </c>
      <c r="H2409" t="s">
        <v>3710</v>
      </c>
      <c r="I2409" t="s">
        <v>3424</v>
      </c>
      <c r="J2409" s="6" t="str">
        <f>HYPERLINK("https://www.biovista.com/db/link/%5B%5B%22Disease%7Cpyridoxine%20dependent%20epilepsy%22%5D,%20%5B%22Human%20Phenotype%7CNonketotic%20hyperglycinemia%22%5D%5D?strength-weight-map=%257B%2522MEDLINE_STRENGTH_AB%2522:1.0,%2522HPO%2522:100.0%257D", "Show Evidence...")</f>
        <v>Show Evidence...</v>
      </c>
    </row>
    <row r="2410" spans="1:10" ht="12.75">
      <c r="A2410" s="2" t="s">
        <v>3403</v>
      </c>
      <c r="B2410" s="2" t="s">
        <v>3404</v>
      </c>
      <c r="C2410" s="2" t="s">
        <v>24</v>
      </c>
      <c r="D2410" s="2" t="s">
        <v>3405</v>
      </c>
      <c r="E2410" s="2" t="s">
        <v>431</v>
      </c>
      <c r="F2410" s="11" t="s">
        <v>1401</v>
      </c>
      <c r="G2410" t="s">
        <v>38</v>
      </c>
      <c r="H2410" t="s">
        <v>1402</v>
      </c>
      <c r="I2410" t="s">
        <v>3424</v>
      </c>
      <c r="J2410" s="6" t="str">
        <f>HYPERLINK("https://www.biovista.com/db/link/%5B%5B%22Disease%7Cpyridoxine%20dependent%20epilepsy%22%5D,%20%5B%22Human%20Phenotype%7COrganic%20aciduria%22%5D%5D?strength-weight-map=%257B%2522MEDLINE_STRENGTH_AB%2522:1.0,%2522HPO%2522:100.0%257D", "Show Evidence...")</f>
        <v>Show Evidence...</v>
      </c>
    </row>
    <row r="2411" spans="1:10" ht="12.75">
      <c r="A2411" s="2" t="s">
        <v>3403</v>
      </c>
      <c r="B2411" s="2" t="s">
        <v>3404</v>
      </c>
      <c r="C2411" s="2" t="s">
        <v>24</v>
      </c>
      <c r="D2411" s="2" t="s">
        <v>3405</v>
      </c>
      <c r="E2411" s="2" t="s">
        <v>431</v>
      </c>
      <c r="F2411" s="11" t="s">
        <v>3711</v>
      </c>
      <c r="G2411" t="s">
        <v>38</v>
      </c>
      <c r="H2411" t="s">
        <v>3712</v>
      </c>
      <c r="I2411" t="s">
        <v>3424</v>
      </c>
      <c r="J2411" s="6" t="str">
        <f>HYPERLINK("https://www.biovista.com/db/link/%5B%5B%22Disease%7Cpyridoxine%20dependent%20epilepsy%22%5D,%20%5B%22Human%20Phenotype%7CSensory%20neuropathy%22%5D%5D?strength-weight-map=%257B%2522MEDLINE_STRENGTH_AB%2522:1.0,%2522HPO%2522:100.0%257D", "Show Evidence...")</f>
        <v>Show Evidence...</v>
      </c>
    </row>
    <row r="2412" spans="1:10" ht="12.75">
      <c r="A2412" s="2" t="s">
        <v>3403</v>
      </c>
      <c r="B2412" s="2" t="s">
        <v>3404</v>
      </c>
      <c r="C2412" s="2" t="s">
        <v>24</v>
      </c>
      <c r="D2412" s="2" t="s">
        <v>3405</v>
      </c>
      <c r="E2412" s="2" t="s">
        <v>431</v>
      </c>
      <c r="F2412" s="11" t="s">
        <v>3713</v>
      </c>
      <c r="G2412" t="s">
        <v>38</v>
      </c>
      <c r="H2412" t="s">
        <v>3714</v>
      </c>
      <c r="I2412" t="s">
        <v>3424</v>
      </c>
      <c r="J2412" s="6" t="str">
        <f>HYPERLINK("https://www.biovista.com/db/link/%5B%5B%22Disease%7Cpyridoxine%20dependent%20epilepsy%22%5D,%20%5B%22Human%20Phenotype%7CSulfite%20oxidase%20deficiency%22%5D%5D?strength-weight-map=%257B%2522MEDLINE_STRENGTH_AB%2522:1.0,%2522HPO%2522:100.0%257D", "Show Evidence...")</f>
        <v>Show Evidence...</v>
      </c>
    </row>
    <row r="2413" spans="1:10" ht="12.75">
      <c r="A2413" s="2" t="s">
        <v>3403</v>
      </c>
      <c r="B2413" s="2" t="s">
        <v>3404</v>
      </c>
      <c r="C2413" s="2" t="s">
        <v>24</v>
      </c>
      <c r="D2413" s="2" t="s">
        <v>3405</v>
      </c>
      <c r="E2413" s="2" t="s">
        <v>431</v>
      </c>
      <c r="F2413" s="11" t="s">
        <v>2192</v>
      </c>
      <c r="G2413" t="s">
        <v>38</v>
      </c>
      <c r="H2413" t="s">
        <v>2193</v>
      </c>
      <c r="I2413" t="s">
        <v>3427</v>
      </c>
      <c r="J2413" s="6" t="str">
        <f>HYPERLINK("https://www.biovista.com/db/link/%5B%5B%22Disease%7Cpyridoxine%20dependent%20epilepsy%22%5D,%20%5B%22Human%20Phenotype%7CAgenesis%20of%20corpus%20callosum%22%5D%5D?strength-weight-map=%257B%2522MEDLINE_STRENGTH_AB%2522:1.0,%2522HPO%2522:100.0%257D", "Show Evidence...")</f>
        <v>Show Evidence...</v>
      </c>
    </row>
    <row r="2414" spans="1:10" ht="12.75">
      <c r="A2414" s="2" t="s">
        <v>3403</v>
      </c>
      <c r="B2414" s="2" t="s">
        <v>3404</v>
      </c>
      <c r="C2414" s="2" t="s">
        <v>24</v>
      </c>
      <c r="D2414" s="2" t="s">
        <v>3405</v>
      </c>
      <c r="E2414" s="2" t="s">
        <v>431</v>
      </c>
      <c r="F2414" s="11" t="s">
        <v>2242</v>
      </c>
      <c r="G2414" t="s">
        <v>38</v>
      </c>
      <c r="H2414" t="s">
        <v>2243</v>
      </c>
      <c r="I2414" t="s">
        <v>3427</v>
      </c>
      <c r="J2414" s="6" t="str">
        <f>HYPERLINK("https://www.biovista.com/db/link/%5B%5B%22Disease%7Cpyridoxine%20dependent%20epilepsy%22%5D,%20%5B%22Human%20Phenotype%7CCataract%22%5D%5D?strength-weight-map=%257B%2522MEDLINE_STRENGTH_AB%2522:1.0,%2522HPO%2522:100.0%257D", "Show Evidence...")</f>
        <v>Show Evidence...</v>
      </c>
    </row>
    <row r="2415" spans="1:10" ht="12.75">
      <c r="A2415" s="2" t="s">
        <v>3403</v>
      </c>
      <c r="B2415" s="2" t="s">
        <v>3404</v>
      </c>
      <c r="C2415" s="2" t="s">
        <v>24</v>
      </c>
      <c r="D2415" s="2" t="s">
        <v>3405</v>
      </c>
      <c r="E2415" s="2" t="s">
        <v>431</v>
      </c>
      <c r="F2415" s="11" t="s">
        <v>3715</v>
      </c>
      <c r="G2415" t="s">
        <v>38</v>
      </c>
      <c r="H2415" t="s">
        <v>3716</v>
      </c>
      <c r="I2415" t="s">
        <v>3427</v>
      </c>
      <c r="J2415" s="6" t="str">
        <f>HYPERLINK("https://www.biovista.com/db/link/%5B%5B%22Disease%7Cpyridoxine%20dependent%20epilepsy%22%5D,%20%5B%22Human%20Phenotype%7CDevelopmental%20cataract%22%5D%5D?strength-weight-map=%257B%2522MEDLINE_STRENGTH_AB%2522:1.0,%2522HPO%2522:100.0%257D", "Show Evidence...")</f>
        <v>Show Evidence...</v>
      </c>
    </row>
    <row r="2416" spans="1:10" ht="12.75">
      <c r="A2416" s="2" t="s">
        <v>3403</v>
      </c>
      <c r="B2416" s="2" t="s">
        <v>3404</v>
      </c>
      <c r="C2416" s="2" t="s">
        <v>24</v>
      </c>
      <c r="D2416" s="2" t="s">
        <v>3405</v>
      </c>
      <c r="E2416" s="2" t="s">
        <v>431</v>
      </c>
      <c r="F2416" s="11" t="s">
        <v>3717</v>
      </c>
      <c r="G2416" t="s">
        <v>38</v>
      </c>
      <c r="H2416" t="s">
        <v>3718</v>
      </c>
      <c r="I2416" t="s">
        <v>3427</v>
      </c>
      <c r="J2416" s="6" t="str">
        <f>HYPERLINK("https://www.biovista.com/db/link/%5B%5B%22Disease%7Cpyridoxine%20dependent%20epilepsy%22%5D,%20%5B%22Human%20Phenotype%7CErratic%20myoclonus%22%5D%5D?strength-weight-map=%257B%2522MEDLINE_STRENGTH_AB%2522:1.0,%2522HPO%2522:100.0%257D", "Show Evidence...")</f>
        <v>Show Evidence...</v>
      </c>
    </row>
    <row r="2417" spans="1:10" ht="12.75">
      <c r="A2417" s="2" t="s">
        <v>3403</v>
      </c>
      <c r="B2417" s="2" t="s">
        <v>3404</v>
      </c>
      <c r="C2417" s="2" t="s">
        <v>24</v>
      </c>
      <c r="D2417" s="2" t="s">
        <v>3405</v>
      </c>
      <c r="E2417" s="2" t="s">
        <v>431</v>
      </c>
      <c r="F2417" s="11" t="s">
        <v>3719</v>
      </c>
      <c r="G2417" t="s">
        <v>38</v>
      </c>
      <c r="H2417" t="s">
        <v>3720</v>
      </c>
      <c r="I2417" t="s">
        <v>3427</v>
      </c>
      <c r="J2417" s="6" t="str">
        <f>HYPERLINK("https://www.biovista.com/db/link/%5B%5B%22Disease%7Cpyridoxine%20dependent%20epilepsy%22%5D,%20%5B%22Human%20Phenotype%7CFocal%20cortical%20dysplasia%22%5D%5D?strength-weight-map=%257B%2522MEDLINE_STRENGTH_AB%2522:1.0,%2522HPO%2522:100.0%257D", "Show Evidence...")</f>
        <v>Show Evidence...</v>
      </c>
    </row>
    <row r="2418" spans="1:10" ht="12.75">
      <c r="A2418" s="2" t="s">
        <v>3403</v>
      </c>
      <c r="B2418" s="2" t="s">
        <v>3404</v>
      </c>
      <c r="C2418" s="2" t="s">
        <v>24</v>
      </c>
      <c r="D2418" s="2" t="s">
        <v>3405</v>
      </c>
      <c r="E2418" s="2" t="s">
        <v>431</v>
      </c>
      <c r="F2418" s="11" t="s">
        <v>3721</v>
      </c>
      <c r="G2418" t="s">
        <v>38</v>
      </c>
      <c r="H2418" t="s">
        <v>3722</v>
      </c>
      <c r="I2418" t="s">
        <v>3427</v>
      </c>
      <c r="J2418" s="6" t="str">
        <f>HYPERLINK("https://www.biovista.com/db/link/%5B%5B%22Disease%7Cpyridoxine%20dependent%20epilepsy%22%5D,%20%5B%22Human%20Phenotype%7CHyperammonemia%22%5D%5D?strength-weight-map=%257B%2522MEDLINE_STRENGTH_AB%2522:1.0,%2522HPO%2522:100.0%257D", "Show Evidence...")</f>
        <v>Show Evidence...</v>
      </c>
    </row>
    <row r="2419" spans="1:10" ht="12.75">
      <c r="A2419" s="2" t="s">
        <v>3403</v>
      </c>
      <c r="B2419" s="2" t="s">
        <v>3404</v>
      </c>
      <c r="C2419" s="2" t="s">
        <v>24</v>
      </c>
      <c r="D2419" s="2" t="s">
        <v>3405</v>
      </c>
      <c r="E2419" s="2" t="s">
        <v>431</v>
      </c>
      <c r="F2419" s="11" t="s">
        <v>3723</v>
      </c>
      <c r="G2419" t="s">
        <v>38</v>
      </c>
      <c r="H2419" t="s">
        <v>3724</v>
      </c>
      <c r="I2419" t="s">
        <v>3427</v>
      </c>
      <c r="J2419" s="6" t="str">
        <f>HYPERLINK("https://www.biovista.com/db/link/%5B%5B%22Disease%7Cpyridoxine%20dependent%20epilepsy%22%5D,%20%5B%22Human%20Phenotype%7CHyperglycinemia%22%5D%5D?strength-weight-map=%257B%2522MEDLINE_STRENGTH_AB%2522:1.0,%2522HPO%2522:100.0%257D", "Show Evidence...")</f>
        <v>Show Evidence...</v>
      </c>
    </row>
    <row r="2420" spans="1:10" ht="12.75">
      <c r="A2420" s="2" t="s">
        <v>3403</v>
      </c>
      <c r="B2420" s="2" t="s">
        <v>3404</v>
      </c>
      <c r="C2420" s="2" t="s">
        <v>24</v>
      </c>
      <c r="D2420" s="2" t="s">
        <v>3405</v>
      </c>
      <c r="E2420" s="2" t="s">
        <v>431</v>
      </c>
      <c r="F2420" s="11" t="s">
        <v>1249</v>
      </c>
      <c r="G2420" t="s">
        <v>38</v>
      </c>
      <c r="H2420" t="s">
        <v>1250</v>
      </c>
      <c r="I2420" t="s">
        <v>3427</v>
      </c>
      <c r="J2420" s="6" t="str">
        <f>HYPERLINK("https://www.biovista.com/db/link/%5B%5B%22Disease%7Cpyridoxine%20dependent%20epilepsy%22%5D,%20%5B%22Human%20Phenotype%7CInfantile%20onset%22%5D%5D?strength-weight-map=%257B%2522MEDLINE_STRENGTH_AB%2522:1.0,%2522HPO%2522:100.0%257D", "Show Evidence...")</f>
        <v>Show Evidence...</v>
      </c>
    </row>
    <row r="2421" spans="1:10" ht="12.75">
      <c r="A2421" s="2" t="s">
        <v>3403</v>
      </c>
      <c r="B2421" s="2" t="s">
        <v>3404</v>
      </c>
      <c r="C2421" s="2" t="s">
        <v>24</v>
      </c>
      <c r="D2421" s="2" t="s">
        <v>3405</v>
      </c>
      <c r="E2421" s="2" t="s">
        <v>431</v>
      </c>
      <c r="F2421" s="11" t="s">
        <v>2780</v>
      </c>
      <c r="G2421" t="s">
        <v>38</v>
      </c>
      <c r="H2421" t="s">
        <v>2781</v>
      </c>
      <c r="I2421" t="s">
        <v>3427</v>
      </c>
      <c r="J2421" s="6" t="str">
        <f>HYPERLINK("https://www.biovista.com/db/link/%5B%5B%22Disease%7Cpyridoxine%20dependent%20epilepsy%22%5D,%20%5B%22Human%20Phenotype%7CIntellectual%20disability,%20mild%22%5D%5D?strength-weight-map=%257B%2522MEDLINE_STRENGTH_AB%2522:1.0,%2522HPO%2522:100.0%257D", "Show Evidence...")</f>
        <v>Show Evidence...</v>
      </c>
    </row>
    <row r="2422" spans="1:10" ht="12.75">
      <c r="A2422" s="2" t="s">
        <v>3403</v>
      </c>
      <c r="B2422" s="2" t="s">
        <v>3404</v>
      </c>
      <c r="C2422" s="2" t="s">
        <v>24</v>
      </c>
      <c r="D2422" s="2" t="s">
        <v>3405</v>
      </c>
      <c r="E2422" s="2" t="s">
        <v>431</v>
      </c>
      <c r="F2422" s="11" t="s">
        <v>3725</v>
      </c>
      <c r="G2422" t="s">
        <v>38</v>
      </c>
      <c r="H2422" t="s">
        <v>3726</v>
      </c>
      <c r="I2422" t="s">
        <v>3427</v>
      </c>
      <c r="J2422" s="6" t="str">
        <f>HYPERLINK("https://www.biovista.com/db/link/%5B%5B%22Disease%7Cpyridoxine%20dependent%20epilepsy%22%5D,%20%5B%22Human%20Phenotype%7CMitochondrial%20encephalopathy%22%5D%5D?strength-weight-map=%257B%2522MEDLINE_STRENGTH_AB%2522:1.0,%2522HPO%2522:100.0%257D", "Show Evidence...")</f>
        <v>Show Evidence...</v>
      </c>
    </row>
    <row r="2423" spans="1:10" ht="12.75">
      <c r="A2423" s="2" t="s">
        <v>3403</v>
      </c>
      <c r="B2423" s="2" t="s">
        <v>3404</v>
      </c>
      <c r="C2423" s="2" t="s">
        <v>24</v>
      </c>
      <c r="D2423" s="2" t="s">
        <v>3405</v>
      </c>
      <c r="E2423" s="2" t="s">
        <v>431</v>
      </c>
      <c r="F2423" s="11" t="s">
        <v>3727</v>
      </c>
      <c r="G2423" t="s">
        <v>38</v>
      </c>
      <c r="H2423" t="s">
        <v>3728</v>
      </c>
      <c r="I2423" t="s">
        <v>3427</v>
      </c>
      <c r="J2423" s="6" t="str">
        <f>HYPERLINK("https://www.biovista.com/db/link/%5B%5B%22Disease%7Cpyridoxine%20dependent%20epilepsy%22%5D,%20%5B%22Human%20Phenotype%7CVisual%20agnosia%22%5D%5D?strength-weight-map=%257B%2522MEDLINE_STRENGTH_AB%2522:1.0,%2522HPO%2522:100.0%257D", "Show Evidence...")</f>
        <v>Show Evidence...</v>
      </c>
    </row>
    <row r="2424" spans="1:10" ht="12.75">
      <c r="A2424" s="2" t="s">
        <v>3403</v>
      </c>
      <c r="B2424" s="2" t="s">
        <v>3404</v>
      </c>
      <c r="C2424" s="2" t="s">
        <v>24</v>
      </c>
      <c r="D2424" s="2" t="s">
        <v>3405</v>
      </c>
      <c r="E2424" s="2" t="s">
        <v>704</v>
      </c>
      <c r="F2424" s="11" t="s">
        <v>1480</v>
      </c>
      <c r="G2424" t="s">
        <v>37</v>
      </c>
      <c r="H2424" t="s">
        <v>1481</v>
      </c>
      <c r="I2424" t="s">
        <v>3672</v>
      </c>
      <c r="J2424" s="6" t="str">
        <f>HYPERLINK("https://www.biovista.com/db/link/%5B%5B%22Disease%7Cpyridoxine%20dependent%20epilepsy%22%5D,%20%5B%22Pathway%7Clysine%20catabolic%20process%22%5D%5D?strength-weight-map=%257B%2522MEDLINE_STRENGTH_AB%2522:1.0,%2522HPO%2522:100.0%257D", "Show Evidence...")</f>
        <v>Show Evidence...</v>
      </c>
    </row>
    <row r="2425" spans="1:10" ht="12.75">
      <c r="A2425" s="2" t="s">
        <v>3403</v>
      </c>
      <c r="B2425" s="2" t="s">
        <v>3404</v>
      </c>
      <c r="C2425" s="2" t="s">
        <v>24</v>
      </c>
      <c r="D2425" s="2" t="s">
        <v>3405</v>
      </c>
      <c r="E2425" s="2" t="s">
        <v>704</v>
      </c>
      <c r="F2425" s="11" t="s">
        <v>1495</v>
      </c>
      <c r="G2425" t="s">
        <v>37</v>
      </c>
      <c r="H2425" t="s">
        <v>1496</v>
      </c>
      <c r="I2425" t="s">
        <v>3413</v>
      </c>
      <c r="J2425" s="6" t="str">
        <f>HYPERLINK("https://www.biovista.com/db/link/%5B%5B%22Disease%7Cpyridoxine%20dependent%20epilepsy%22%5D,%20%5B%22Pathway%7Clysine%20metabolic%20process%22%5D%5D?strength-weight-map=%257B%2522MEDLINE_STRENGTH_AB%2522:1.0,%2522HPO%2522:100.0%257D", "Show Evidence...")</f>
        <v>Show Evidence...</v>
      </c>
    </row>
    <row r="2426" spans="1:10" ht="12.75">
      <c r="A2426" s="2" t="s">
        <v>3403</v>
      </c>
      <c r="B2426" s="2" t="s">
        <v>3404</v>
      </c>
      <c r="C2426" s="2" t="s">
        <v>24</v>
      </c>
      <c r="D2426" s="2" t="s">
        <v>3405</v>
      </c>
      <c r="E2426" s="2" t="s">
        <v>704</v>
      </c>
      <c r="F2426" s="11" t="s">
        <v>1454</v>
      </c>
      <c r="G2426" t="s">
        <v>37</v>
      </c>
      <c r="H2426" t="s">
        <v>1455</v>
      </c>
      <c r="I2426" t="s">
        <v>3414</v>
      </c>
      <c r="J2426" s="6" t="str">
        <f>HYPERLINK("https://www.biovista.com/db/link/%5B%5B%22Disease%7Cpyridoxine%20dependent%20epilepsy%22%5D,%20%5B%22Pathway%7Cexcretion%22%5D%5D?strength-weight-map=%257B%2522MEDLINE_STRENGTH_AB%2522:1.0,%2522HPO%2522:100.0%257D", "Show Evidence...")</f>
        <v>Show Evidence...</v>
      </c>
    </row>
    <row r="2427" spans="1:10" ht="12.75">
      <c r="A2427" s="2" t="s">
        <v>3403</v>
      </c>
      <c r="B2427" s="2" t="s">
        <v>3404</v>
      </c>
      <c r="C2427" s="2" t="s">
        <v>24</v>
      </c>
      <c r="D2427" s="2" t="s">
        <v>3405</v>
      </c>
      <c r="E2427" s="2" t="s">
        <v>704</v>
      </c>
      <c r="F2427" s="11" t="s">
        <v>726</v>
      </c>
      <c r="G2427" t="s">
        <v>37</v>
      </c>
      <c r="H2427" t="s">
        <v>727</v>
      </c>
      <c r="I2427" t="s">
        <v>3729</v>
      </c>
      <c r="J2427" s="6" t="str">
        <f>HYPERLINK("https://www.biovista.com/db/link/%5B%5B%22Disease%7Cpyridoxine%20dependent%20epilepsy%22%5D,%20%5B%22Pathway%7Ccognition%22%5D%5D?strength-weight-map=%257B%2522MEDLINE_STRENGTH_AB%2522:1.0,%2522HPO%2522:100.0%257D", "Show Evidence...")</f>
        <v>Show Evidence...</v>
      </c>
    </row>
    <row r="2428" spans="1:10" ht="12.75">
      <c r="A2428" s="2" t="s">
        <v>3403</v>
      </c>
      <c r="B2428" s="2" t="s">
        <v>3404</v>
      </c>
      <c r="C2428" s="2" t="s">
        <v>24</v>
      </c>
      <c r="D2428" s="2" t="s">
        <v>3405</v>
      </c>
      <c r="E2428" s="2" t="s">
        <v>704</v>
      </c>
      <c r="F2428" s="11" t="s">
        <v>3730</v>
      </c>
      <c r="G2428" t="s">
        <v>37</v>
      </c>
      <c r="H2428" t="s">
        <v>3731</v>
      </c>
      <c r="I2428" t="s">
        <v>3679</v>
      </c>
      <c r="J2428" s="6" t="str">
        <f>HYPERLINK("https://www.biovista.com/db/link/%5B%5B%22Disease%7Cpyridoxine%20dependent%20epilepsy%22%5D,%20%5B%22Pathway%7Cvitamin%20B6%20metabolic%20process%22%5D%5D?strength-weight-map=%257B%2522MEDLINE_STRENGTH_AB%2522:1.0,%2522HPO%2522:100.0%257D", "Show Evidence...")</f>
        <v>Show Evidence...</v>
      </c>
    </row>
    <row r="2429" spans="1:10" ht="12.75">
      <c r="A2429" s="2" t="s">
        <v>3403</v>
      </c>
      <c r="B2429" s="2" t="s">
        <v>3404</v>
      </c>
      <c r="C2429" s="2" t="s">
        <v>24</v>
      </c>
      <c r="D2429" s="2" t="s">
        <v>3405</v>
      </c>
      <c r="E2429" s="2" t="s">
        <v>717</v>
      </c>
      <c r="F2429" s="11" t="s">
        <v>2344</v>
      </c>
      <c r="G2429" t="s">
        <v>37</v>
      </c>
      <c r="H2429" t="s">
        <v>2345</v>
      </c>
      <c r="I2429" t="s">
        <v>3417</v>
      </c>
      <c r="J2429" s="6" t="str">
        <f>HYPERLINK("https://www.biovista.com/db/link/%5B%5B%22Disease%7Cpyridoxine%20dependent%20epilepsy%22%5D,%20%5B%22Pathway%7Cbiomineralization%22%5D%5D?strength-weight-map=%257B%2522MEDLINE_STRENGTH_AB%2522:1.0,%2522HPO%2522:100.0%257D", "Show Evidence...")</f>
        <v>Show Evidence...</v>
      </c>
    </row>
    <row r="2430" spans="1:10" ht="12.75">
      <c r="A2430" s="2" t="s">
        <v>3403</v>
      </c>
      <c r="B2430" s="2" t="s">
        <v>3404</v>
      </c>
      <c r="C2430" s="2" t="s">
        <v>24</v>
      </c>
      <c r="D2430" s="2" t="s">
        <v>3405</v>
      </c>
      <c r="E2430" s="2" t="s">
        <v>704</v>
      </c>
      <c r="F2430" s="11" t="s">
        <v>1460</v>
      </c>
      <c r="G2430" t="s">
        <v>37</v>
      </c>
      <c r="H2430" t="s">
        <v>1461</v>
      </c>
      <c r="I2430" t="s">
        <v>3496</v>
      </c>
      <c r="J2430" s="6" t="str">
        <f>HYPERLINK("https://www.biovista.com/db/link/%5B%5B%22Disease%7Cpyridoxine%20dependent%20epilepsy%22%5D,%20%5B%22Pathway%7Ccatabolic%20process%22%5D%5D?strength-weight-map=%257B%2522MEDLINE_STRENGTH_AB%2522:1.0,%2522HPO%2522:100.0%257D", "Show Evidence...")</f>
        <v>Show Evidence...</v>
      </c>
    </row>
    <row r="2431" spans="1:10" ht="12.75">
      <c r="A2431" s="2" t="s">
        <v>3403</v>
      </c>
      <c r="B2431" s="2" t="s">
        <v>3404</v>
      </c>
      <c r="C2431" s="2" t="s">
        <v>24</v>
      </c>
      <c r="D2431" s="2" t="s">
        <v>3405</v>
      </c>
      <c r="E2431" s="2" t="s">
        <v>704</v>
      </c>
      <c r="F2431" s="11" t="s">
        <v>1502</v>
      </c>
      <c r="G2431" t="s">
        <v>37</v>
      </c>
      <c r="H2431" t="s">
        <v>1503</v>
      </c>
      <c r="I2431" t="s">
        <v>3496</v>
      </c>
      <c r="J2431" s="6" t="str">
        <f>HYPERLINK("https://www.biovista.com/db/link/%5B%5B%22Disease%7Cpyridoxine%20dependent%20epilepsy%22%5D,%20%5B%22Pathway%7Cdetoxification%22%5D%5D?strength-weight-map=%257B%2522MEDLINE_STRENGTH_AB%2522:1.0,%2522HPO%2522:100.0%257D", "Show Evidence...")</f>
        <v>Show Evidence...</v>
      </c>
    </row>
    <row r="2432" spans="1:10" ht="12.75">
      <c r="A2432" s="2" t="s">
        <v>3403</v>
      </c>
      <c r="B2432" s="2" t="s">
        <v>3404</v>
      </c>
      <c r="C2432" s="2" t="s">
        <v>24</v>
      </c>
      <c r="D2432" s="2" t="s">
        <v>3405</v>
      </c>
      <c r="E2432" s="2" t="s">
        <v>704</v>
      </c>
      <c r="F2432" s="11" t="s">
        <v>760</v>
      </c>
      <c r="G2432" t="s">
        <v>37</v>
      </c>
      <c r="H2432" t="s">
        <v>761</v>
      </c>
      <c r="I2432" t="s">
        <v>3419</v>
      </c>
      <c r="J2432" s="6" t="str">
        <f>HYPERLINK("https://www.biovista.com/db/link/%5B%5B%22Disease%7Cpyridoxine%20dependent%20epilepsy%22%5D,%20%5B%22Pathway%7Chomeostatic%20process%22%5D%5D?strength-weight-map=%257B%2522MEDLINE_STRENGTH_AB%2522:1.0,%2522HPO%2522:100.0%257D", "Show Evidence...")</f>
        <v>Show Evidence...</v>
      </c>
    </row>
    <row r="2433" spans="1:10" ht="12.75">
      <c r="A2433" s="2" t="s">
        <v>3403</v>
      </c>
      <c r="B2433" s="2" t="s">
        <v>3404</v>
      </c>
      <c r="C2433" s="2" t="s">
        <v>24</v>
      </c>
      <c r="D2433" s="2" t="s">
        <v>3405</v>
      </c>
      <c r="E2433" s="2" t="s">
        <v>717</v>
      </c>
      <c r="F2433" s="11" t="s">
        <v>1798</v>
      </c>
      <c r="G2433" t="s">
        <v>37</v>
      </c>
      <c r="H2433" t="s">
        <v>1799</v>
      </c>
      <c r="I2433" t="s">
        <v>3419</v>
      </c>
      <c r="J2433" s="6" t="str">
        <f>HYPERLINK("https://www.biovista.com/db/link/%5B%5B%22Disease%7Cpyridoxine%20dependent%20epilepsy%22%5D,%20%5B%22Pathway%7Cneurotransmitter%20metabolic%20process%22%5D%5D?strength-weight-map=%257B%2522MEDLINE_STRENGTH_AB%2522:1.0,%2522HPO%2522:100.0%257D", "Show Evidence...")</f>
        <v>Show Evidence...</v>
      </c>
    </row>
    <row r="2434" spans="1:10" ht="12.75">
      <c r="A2434" s="2" t="s">
        <v>3403</v>
      </c>
      <c r="B2434" s="2" t="s">
        <v>3404</v>
      </c>
      <c r="C2434" s="2" t="s">
        <v>24</v>
      </c>
      <c r="D2434" s="2" t="s">
        <v>3405</v>
      </c>
      <c r="E2434" s="2" t="s">
        <v>704</v>
      </c>
      <c r="F2434" s="11" t="s">
        <v>3732</v>
      </c>
      <c r="G2434" t="s">
        <v>37</v>
      </c>
      <c r="H2434" t="s">
        <v>3733</v>
      </c>
      <c r="I2434" t="s">
        <v>3424</v>
      </c>
      <c r="J2434" s="6" t="str">
        <f>HYPERLINK("https://www.biovista.com/db/link/%5B%5B%22Disease%7Cpyridoxine%20dependent%20epilepsy%22%5D,%20%5B%22Pathway%7Ccellular%20aldehyde%20metabolic%20process%22%5D%5D?strength-weight-map=%257B%2522MEDLINE_STRENGTH_AB%2522:1.0,%2522HPO%2522:100.0%257D", "Show Evidence...")</f>
        <v>Show Evidence...</v>
      </c>
    </row>
    <row r="2435" spans="1:10" ht="12.75">
      <c r="A2435" s="2" t="s">
        <v>3403</v>
      </c>
      <c r="B2435" s="2" t="s">
        <v>3404</v>
      </c>
      <c r="C2435" s="2" t="s">
        <v>24</v>
      </c>
      <c r="D2435" s="2" t="s">
        <v>3405</v>
      </c>
      <c r="E2435" s="2" t="s">
        <v>704</v>
      </c>
      <c r="F2435" s="11" t="s">
        <v>708</v>
      </c>
      <c r="G2435" t="s">
        <v>37</v>
      </c>
      <c r="H2435" t="s">
        <v>709</v>
      </c>
      <c r="I2435" t="s">
        <v>3424</v>
      </c>
      <c r="J2435" s="6" t="str">
        <f>HYPERLINK("https://www.biovista.com/db/link/%5B%5B%22Disease%7Cpyridoxine%20dependent%20epilepsy%22%5D,%20%5B%22Pathway%7Cchemical%20synaptic%20transmission%22%5D%5D?strength-weight-map=%257B%2522MEDLINE_STRENGTH_AB%2522:1.0,%2522HPO%2522:100.0%257D", "Show Evidence...")</f>
        <v>Show Evidence...</v>
      </c>
    </row>
    <row r="2436" spans="1:10" ht="12.75">
      <c r="A2436" s="2" t="s">
        <v>3403</v>
      </c>
      <c r="B2436" s="2" t="s">
        <v>3404</v>
      </c>
      <c r="C2436" s="2" t="s">
        <v>24</v>
      </c>
      <c r="D2436" s="2" t="s">
        <v>3405</v>
      </c>
      <c r="E2436" s="2" t="s">
        <v>704</v>
      </c>
      <c r="F2436" s="11" t="s">
        <v>1532</v>
      </c>
      <c r="G2436" t="s">
        <v>37</v>
      </c>
      <c r="H2436" t="s">
        <v>1533</v>
      </c>
      <c r="I2436" t="s">
        <v>3424</v>
      </c>
      <c r="J2436" s="6" t="str">
        <f>HYPERLINK("https://www.biovista.com/db/link/%5B%5B%22Disease%7Cpyridoxine%20dependent%20epilepsy%22%5D,%20%5B%22Pathway%7Clysine%20transport%22%5D%5D?strength-weight-map=%257B%2522MEDLINE_STRENGTH_AB%2522:1.0,%2522HPO%2522:100.0%257D", "Show Evidence...")</f>
        <v>Show Evidence...</v>
      </c>
    </row>
    <row r="2437" spans="1:10" ht="12.75">
      <c r="A2437" s="2" t="s">
        <v>3403</v>
      </c>
      <c r="B2437" s="2" t="s">
        <v>3404</v>
      </c>
      <c r="C2437" s="2" t="s">
        <v>24</v>
      </c>
      <c r="D2437" s="2" t="s">
        <v>3405</v>
      </c>
      <c r="E2437" s="2" t="s">
        <v>704</v>
      </c>
      <c r="F2437" s="11" t="s">
        <v>737</v>
      </c>
      <c r="G2437" t="s">
        <v>37</v>
      </c>
      <c r="H2437" t="s">
        <v>738</v>
      </c>
      <c r="I2437" t="s">
        <v>3424</v>
      </c>
      <c r="J2437" s="6" t="str">
        <f>HYPERLINK("https://www.biovista.com/db/link/%5B%5B%22Disease%7Cpyridoxine%20dependent%20epilepsy%22%5D,%20%5B%22Pathway%7CmRNA%20cis%20splicing,%20via%20spliceosome%22%5D%5D?strength-weight-map=%257B%2522MEDLINE_STRENGTH_AB%2522:1.0,%2522HPO%2522:100.0%257D", "Show Evidence...")</f>
        <v>Show Evidence...</v>
      </c>
    </row>
    <row r="2438" spans="1:10" ht="12.75">
      <c r="A2438" s="2" t="s">
        <v>3403</v>
      </c>
      <c r="B2438" s="2" t="s">
        <v>3404</v>
      </c>
      <c r="C2438" s="2" t="s">
        <v>24</v>
      </c>
      <c r="D2438" s="2" t="s">
        <v>3405</v>
      </c>
      <c r="E2438" s="2" t="s">
        <v>704</v>
      </c>
      <c r="F2438" s="11" t="s">
        <v>2324</v>
      </c>
      <c r="G2438" t="s">
        <v>37</v>
      </c>
      <c r="H2438" t="s">
        <v>2325</v>
      </c>
      <c r="I2438" t="s">
        <v>3424</v>
      </c>
      <c r="J2438" s="6" t="str">
        <f>HYPERLINK("https://www.biovista.com/db/link/%5B%5B%22Disease%7Cpyridoxine%20dependent%20epilepsy%22%5D,%20%5B%22Pathway%7Cprotein%20complex%20oligomerization%22%5D%5D?strength-weight-map=%257B%2522MEDLINE_STRENGTH_AB%2522:1.0,%2522HPO%2522:100.0%257D", "Show Evidence...")</f>
        <v>Show Evidence...</v>
      </c>
    </row>
    <row r="2439" spans="1:10" ht="12.75">
      <c r="A2439" s="2" t="s">
        <v>3403</v>
      </c>
      <c r="B2439" s="2" t="s">
        <v>3404</v>
      </c>
      <c r="C2439" s="2" t="s">
        <v>24</v>
      </c>
      <c r="D2439" s="2" t="s">
        <v>3405</v>
      </c>
      <c r="E2439" s="2" t="s">
        <v>704</v>
      </c>
      <c r="F2439" s="11" t="s">
        <v>1491</v>
      </c>
      <c r="G2439" t="s">
        <v>37</v>
      </c>
      <c r="H2439" t="s">
        <v>1492</v>
      </c>
      <c r="I2439" t="s">
        <v>3424</v>
      </c>
      <c r="J2439" s="6" t="str">
        <f>HYPERLINK("https://www.biovista.com/db/link/%5B%5B%22Disease%7Cpyridoxine%20dependent%20epilepsy%22%5D,%20%5B%22Pathway%7Creactive%20gliosis%22%5D%5D?strength-weight-map=%257B%2522MEDLINE_STRENGTH_AB%2522:1.0,%2522HPO%2522:100.0%257D", "Show Evidence...")</f>
        <v>Show Evidence...</v>
      </c>
    </row>
    <row r="2440" spans="1:10" ht="12.75">
      <c r="A2440" s="2" t="s">
        <v>3403</v>
      </c>
      <c r="B2440" s="2" t="s">
        <v>3404</v>
      </c>
      <c r="C2440" s="2" t="s">
        <v>24</v>
      </c>
      <c r="D2440" s="2" t="s">
        <v>3405</v>
      </c>
      <c r="E2440" s="2" t="s">
        <v>704</v>
      </c>
      <c r="F2440" s="11" t="s">
        <v>1802</v>
      </c>
      <c r="G2440" t="s">
        <v>37</v>
      </c>
      <c r="H2440" t="s">
        <v>1803</v>
      </c>
      <c r="I2440" t="s">
        <v>3424</v>
      </c>
      <c r="J2440" s="6" t="str">
        <f>HYPERLINK("https://www.biovista.com/db/link/%5B%5B%22Disease%7Cpyridoxine%20dependent%20epilepsy%22%5D,%20%5B%22Pathway%7Csequestering%20of%20neurotransmitter%22%5D%5D?strength-weight-map=%257B%2522MEDLINE_STRENGTH_AB%2522:1.0,%2522HPO%2522:100.0%257D", "Show Evidence...")</f>
        <v>Show Evidence...</v>
      </c>
    </row>
    <row r="2441" spans="1:10" ht="12.75">
      <c r="A2441" s="2" t="s">
        <v>3403</v>
      </c>
      <c r="B2441" s="2" t="s">
        <v>3404</v>
      </c>
      <c r="C2441" s="2" t="s">
        <v>24</v>
      </c>
      <c r="D2441" s="2" t="s">
        <v>3405</v>
      </c>
      <c r="E2441" s="2" t="s">
        <v>704</v>
      </c>
      <c r="F2441" s="11" t="s">
        <v>1470</v>
      </c>
      <c r="G2441" t="s">
        <v>37</v>
      </c>
      <c r="H2441" t="s">
        <v>1471</v>
      </c>
      <c r="I2441" t="s">
        <v>3427</v>
      </c>
      <c r="J2441" s="6" t="str">
        <f>HYPERLINK("https://www.biovista.com/db/link/%5B%5B%22Disease%7Cpyridoxine%20dependent%20epilepsy%22%5D,%20%5B%22Pathway%7Cbrain%20development%22%5D%5D?strength-weight-map=%257B%2522MEDLINE_STRENGTH_AB%2522:1.0,%2522HPO%2522:100.0%257D", "Show Evidence...")</f>
        <v>Show Evidence...</v>
      </c>
    </row>
    <row r="2442" spans="1:10" ht="12.75">
      <c r="A2442" s="2" t="s">
        <v>3403</v>
      </c>
      <c r="B2442" s="2" t="s">
        <v>3404</v>
      </c>
      <c r="C2442" s="2" t="s">
        <v>24</v>
      </c>
      <c r="D2442" s="2" t="s">
        <v>3405</v>
      </c>
      <c r="E2442" s="2" t="s">
        <v>704</v>
      </c>
      <c r="F2442" s="11" t="s">
        <v>733</v>
      </c>
      <c r="G2442" t="s">
        <v>37</v>
      </c>
      <c r="H2442" t="s">
        <v>734</v>
      </c>
      <c r="I2442" t="s">
        <v>3427</v>
      </c>
      <c r="J2442" s="6" t="str">
        <f>HYPERLINK("https://www.biovista.com/db/link/%5B%5B%22Disease%7Cpyridoxine%20dependent%20epilepsy%22%5D,%20%5B%22Pathway%7Ccellular%20respiration%22%5D%5D?strength-weight-map=%257B%2522MEDLINE_STRENGTH_AB%2522:1.0,%2522HPO%2522:100.0%257D", "Show Evidence...")</f>
        <v>Show Evidence...</v>
      </c>
    </row>
    <row r="2443" spans="1:10" ht="12.75">
      <c r="A2443" s="2" t="s">
        <v>3403</v>
      </c>
      <c r="B2443" s="2" t="s">
        <v>3404</v>
      </c>
      <c r="C2443" s="2" t="s">
        <v>24</v>
      </c>
      <c r="D2443" s="2" t="s">
        <v>3405</v>
      </c>
      <c r="E2443" s="2" t="s">
        <v>704</v>
      </c>
      <c r="F2443" s="11" t="s">
        <v>890</v>
      </c>
      <c r="G2443" t="s">
        <v>37</v>
      </c>
      <c r="H2443" t="s">
        <v>891</v>
      </c>
      <c r="I2443" t="s">
        <v>3427</v>
      </c>
      <c r="J2443" s="6" t="str">
        <f>HYPERLINK("https://www.biovista.com/db/link/%5B%5B%22Disease%7Cpyridoxine%20dependent%20epilepsy%22%5D,%20%5B%22Pathway%7Cembryo%20development%22%5D%5D?strength-weight-map=%257B%2522MEDLINE_STRENGTH_AB%2522:1.0,%2522HPO%2522:100.0%257D", "Show Evidence...")</f>
        <v>Show Evidence...</v>
      </c>
    </row>
    <row r="2444" spans="1:10" ht="12.75">
      <c r="A2444" s="2" t="s">
        <v>3403</v>
      </c>
      <c r="B2444" s="2" t="s">
        <v>3404</v>
      </c>
      <c r="C2444" s="2" t="s">
        <v>24</v>
      </c>
      <c r="D2444" s="2" t="s">
        <v>3405</v>
      </c>
      <c r="E2444" s="2" t="s">
        <v>704</v>
      </c>
      <c r="F2444" s="11" t="s">
        <v>821</v>
      </c>
      <c r="G2444" t="s">
        <v>37</v>
      </c>
      <c r="H2444" t="s">
        <v>822</v>
      </c>
      <c r="I2444" t="s">
        <v>3427</v>
      </c>
      <c r="J2444" s="6" t="str">
        <f>HYPERLINK("https://www.biovista.com/db/link/%5B%5B%22Disease%7Cpyridoxine%20dependent%20epilepsy%22%5D,%20%5B%22Pathway%7Cfemale%20pregnancy%22%5D%5D?strength-weight-map=%257B%2522MEDLINE_STRENGTH_AB%2522:1.0,%2522HPO%2522:100.0%257D", "Show Evidence...")</f>
        <v>Show Evidence...</v>
      </c>
    </row>
    <row r="2445" spans="1:10" ht="12.75">
      <c r="A2445" s="2" t="s">
        <v>3403</v>
      </c>
      <c r="B2445" s="2" t="s">
        <v>3404</v>
      </c>
      <c r="C2445" s="2" t="s">
        <v>24</v>
      </c>
      <c r="D2445" s="2" t="s">
        <v>3405</v>
      </c>
      <c r="E2445" s="2" t="s">
        <v>704</v>
      </c>
      <c r="F2445" s="11" t="s">
        <v>3734</v>
      </c>
      <c r="G2445" t="s">
        <v>37</v>
      </c>
      <c r="H2445" t="s">
        <v>3735</v>
      </c>
      <c r="I2445" t="s">
        <v>3427</v>
      </c>
      <c r="J2445" s="6" t="str">
        <f>HYPERLINK("https://www.biovista.com/db/link/%5B%5B%22Disease%7Cpyridoxine%20dependent%20epilepsy%22%5D,%20%5B%22Pathway%7Cfolic%20acid%20transport%22%5D%5D?strength-weight-map=%257B%2522MEDLINE_STRENGTH_AB%2522:1.0,%2522HPO%2522:100.0%257D", "Show Evidence...")</f>
        <v>Show Evidence...</v>
      </c>
    </row>
    <row r="2446" spans="1:10" ht="12.75">
      <c r="A2446" s="2" t="s">
        <v>3403</v>
      </c>
      <c r="B2446" s="2" t="s">
        <v>3404</v>
      </c>
      <c r="C2446" s="2" t="s">
        <v>24</v>
      </c>
      <c r="D2446" s="2" t="s">
        <v>3405</v>
      </c>
      <c r="E2446" s="2" t="s">
        <v>704</v>
      </c>
      <c r="F2446" s="11" t="s">
        <v>1472</v>
      </c>
      <c r="G2446" t="s">
        <v>37</v>
      </c>
      <c r="H2446" t="s">
        <v>1473</v>
      </c>
      <c r="I2446" t="s">
        <v>3427</v>
      </c>
      <c r="J2446" s="6" t="str">
        <f>HYPERLINK("https://www.biovista.com/db/link/%5B%5B%22Disease%7Cpyridoxine%20dependent%20epilepsy%22%5D,%20%5B%22Pathway%7Cmyelination%22%5D%5D?strength-weight-map=%257B%2522MEDLINE_STRENGTH_AB%2522:1.0,%2522HPO%2522:100.0%257D", "Show Evidence...")</f>
        <v>Show Evidence...</v>
      </c>
    </row>
    <row r="2447" spans="1:10" ht="12.75">
      <c r="A2447" s="2" t="s">
        <v>3403</v>
      </c>
      <c r="B2447" s="2" t="s">
        <v>3404</v>
      </c>
      <c r="C2447" s="2" t="s">
        <v>24</v>
      </c>
      <c r="D2447" s="2" t="s">
        <v>3405</v>
      </c>
      <c r="E2447" s="2" t="s">
        <v>704</v>
      </c>
      <c r="F2447" s="11" t="s">
        <v>795</v>
      </c>
      <c r="G2447" t="s">
        <v>37</v>
      </c>
      <c r="H2447" t="s">
        <v>796</v>
      </c>
      <c r="I2447" t="s">
        <v>3427</v>
      </c>
      <c r="J2447" s="6" t="str">
        <f>HYPERLINK("https://www.biovista.com/db/link/%5B%5B%22Disease%7Cpyridoxine%20dependent%20epilepsy%22%5D,%20%5B%22Pathway%7CRNA%20splicing%22%5D%5D?strength-weight-map=%257B%2522MEDLINE_STRENGTH_AB%2522:1.0,%2522HPO%2522:100.0%257D", "Show Evidence...")</f>
        <v>Show Evidence...</v>
      </c>
    </row>
    <row r="2448" spans="1:10" ht="12.75">
      <c r="A2448" s="2" t="s">
        <v>3403</v>
      </c>
      <c r="B2448" s="2" t="s">
        <v>3404</v>
      </c>
      <c r="C2448" s="2" t="s">
        <v>24</v>
      </c>
      <c r="D2448" s="2" t="s">
        <v>3405</v>
      </c>
      <c r="E2448" s="2" t="s">
        <v>704</v>
      </c>
      <c r="F2448" s="11" t="s">
        <v>3736</v>
      </c>
      <c r="G2448" t="s">
        <v>37</v>
      </c>
      <c r="H2448" t="s">
        <v>3737</v>
      </c>
      <c r="I2448" t="s">
        <v>3427</v>
      </c>
      <c r="J2448" s="6" t="str">
        <f>HYPERLINK("https://www.biovista.com/db/link/%5B%5B%22Disease%7Cpyridoxine%20dependent%20epilepsy%22%5D,%20%5B%22Pathway%7Ctranssulfuration%22%5D%5D?strength-weight-map=%257B%2522MEDLINE_STRENGTH_AB%2522:1.0,%2522HPO%2522:100.0%257D", "Show Evidence...")</f>
        <v>Show Evidence...</v>
      </c>
    </row>
    <row r="2449" spans="1:10" ht="12.75">
      <c r="A2449" s="2" t="s">
        <v>3403</v>
      </c>
      <c r="B2449" s="2" t="s">
        <v>3404</v>
      </c>
      <c r="C2449" s="2" t="s">
        <v>24</v>
      </c>
      <c r="D2449" s="2" t="s">
        <v>3405</v>
      </c>
      <c r="E2449" s="2" t="s">
        <v>704</v>
      </c>
      <c r="F2449" s="11" t="s">
        <v>811</v>
      </c>
      <c r="G2449" t="s">
        <v>37</v>
      </c>
      <c r="H2449" t="s">
        <v>812</v>
      </c>
      <c r="I2449" t="s">
        <v>3427</v>
      </c>
      <c r="J2449" s="6" t="str">
        <f>HYPERLINK("https://www.biovista.com/db/link/%5B%5B%22Disease%7Cpyridoxine%20dependent%20epilepsy%22%5D,%20%5B%22Pathway%7Ctricarboxylic%20acid%20cycle%22%5D%5D?strength-weight-map=%257B%2522MEDLINE_STRENGTH_AB%2522:1.0,%2522HPO%2522:100.0%257D", "Show Evidence...")</f>
        <v>Show Evidence...</v>
      </c>
    </row>
    <row r="2450" spans="1:10" ht="12.75">
      <c r="A2450" s="2" t="s">
        <v>3403</v>
      </c>
      <c r="B2450" s="2" t="s">
        <v>3404</v>
      </c>
      <c r="C2450" s="2" t="s">
        <v>24</v>
      </c>
      <c r="D2450" s="2" t="s">
        <v>3405</v>
      </c>
      <c r="E2450" s="2" t="s">
        <v>717</v>
      </c>
      <c r="F2450" s="11" t="s">
        <v>718</v>
      </c>
      <c r="G2450" t="s">
        <v>37</v>
      </c>
      <c r="H2450" t="s">
        <v>719</v>
      </c>
      <c r="I2450" t="s">
        <v>3436</v>
      </c>
      <c r="J2450" s="6" t="str">
        <f>HYPERLINK("https://www.biovista.com/db/link/%5B%5B%22Disease%7Cpyridoxine%20dependent%20epilepsy%22%5D,%20%5B%22Pathway%7Caging%22%5D%5D?strength-weight-map=%257B%2522MEDLINE_STRENGTH_AB%2522:1.0,%2522HPO%2522:100.0%257D", "Show Evidence...")</f>
        <v>Show Evidence...</v>
      </c>
    </row>
    <row r="2451" spans="1:10" ht="12.75">
      <c r="A2451" s="2" t="s">
        <v>3403</v>
      </c>
      <c r="B2451" s="2" t="s">
        <v>3404</v>
      </c>
      <c r="C2451" s="2" t="s">
        <v>24</v>
      </c>
      <c r="D2451" s="2" t="s">
        <v>3405</v>
      </c>
      <c r="E2451" s="2" t="s">
        <v>704</v>
      </c>
      <c r="F2451" s="11" t="s">
        <v>3738</v>
      </c>
      <c r="G2451" t="s">
        <v>37</v>
      </c>
      <c r="H2451" t="s">
        <v>3739</v>
      </c>
      <c r="I2451" t="s">
        <v>3436</v>
      </c>
      <c r="J2451" s="6" t="str">
        <f>HYPERLINK("https://www.biovista.com/db/link/%5B%5B%22Disease%7Cpyridoxine%20dependent%20epilepsy%22%5D,%20%5B%22Pathway%7Camino%20acid%20biosynthetic%20process%22%5D%5D?strength-weight-map=%257B%2522MEDLINE_STRENGTH_AB%2522:1.0,%2522HPO%2522:100.0%257D", "Show Evidence...")</f>
        <v>Show Evidence...</v>
      </c>
    </row>
    <row r="2452" spans="1:10" ht="12.75">
      <c r="A2452" s="2" t="s">
        <v>3403</v>
      </c>
      <c r="B2452" s="2" t="s">
        <v>3404</v>
      </c>
      <c r="C2452" s="2" t="s">
        <v>24</v>
      </c>
      <c r="D2452" s="2" t="s">
        <v>3405</v>
      </c>
      <c r="E2452" s="2" t="s">
        <v>704</v>
      </c>
      <c r="F2452" s="11" t="s">
        <v>720</v>
      </c>
      <c r="G2452" t="s">
        <v>37</v>
      </c>
      <c r="H2452" t="s">
        <v>721</v>
      </c>
      <c r="I2452" t="s">
        <v>3436</v>
      </c>
      <c r="J2452" s="6" t="str">
        <f>HYPERLINK("https://www.biovista.com/db/link/%5B%5B%22Disease%7Cpyridoxine%20dependent%20epilepsy%22%5D,%20%5B%22Pathway%7Capoptotic%20process%22%5D%5D?strength-weight-map=%257B%2522MEDLINE_STRENGTH_AB%2522:1.0,%2522HPO%2522:100.0%257D", "Show Evidence...")</f>
        <v>Show Evidence...</v>
      </c>
    </row>
    <row r="2453" spans="1:10" ht="12.75">
      <c r="A2453" s="2" t="s">
        <v>3403</v>
      </c>
      <c r="B2453" s="2" t="s">
        <v>3404</v>
      </c>
      <c r="C2453" s="2" t="s">
        <v>24</v>
      </c>
      <c r="D2453" s="2" t="s">
        <v>3405</v>
      </c>
      <c r="E2453" s="2" t="s">
        <v>704</v>
      </c>
      <c r="F2453" s="11" t="s">
        <v>3740</v>
      </c>
      <c r="G2453" t="s">
        <v>37</v>
      </c>
      <c r="H2453" t="s">
        <v>3741</v>
      </c>
      <c r="I2453" t="s">
        <v>3436</v>
      </c>
      <c r="J2453" s="6" t="str">
        <f>HYPERLINK("https://www.biovista.com/db/link/%5B%5B%22Disease%7Cpyridoxine%20dependent%20epilepsy%22%5D,%20%5B%22Pathway%7Casparagine%20biosynthetic%20process%22%5D%5D?strength-weight-map=%257B%2522MEDLINE_STRENGTH_AB%2522:1.0,%2522HPO%2522:100.0%257D", "Show Evidence...")</f>
        <v>Show Evidence...</v>
      </c>
    </row>
    <row r="2454" spans="1:10" ht="12.75">
      <c r="A2454" s="2" t="s">
        <v>3403</v>
      </c>
      <c r="B2454" s="2" t="s">
        <v>3404</v>
      </c>
      <c r="C2454" s="2" t="s">
        <v>24</v>
      </c>
      <c r="D2454" s="2" t="s">
        <v>3405</v>
      </c>
      <c r="E2454" s="2" t="s">
        <v>704</v>
      </c>
      <c r="F2454" s="11" t="s">
        <v>3742</v>
      </c>
      <c r="G2454" t="s">
        <v>37</v>
      </c>
      <c r="H2454" t="s">
        <v>3743</v>
      </c>
      <c r="I2454" t="s">
        <v>3436</v>
      </c>
      <c r="J2454" s="6" t="str">
        <f>HYPERLINK("https://www.biovista.com/db/link/%5B%5B%22Disease%7Cpyridoxine%20dependent%20epilepsy%22%5D,%20%5B%22Pathway%7Cbile%20acid%20biosynthetic%20process%22%5D%5D?strength-weight-map=%257B%2522MEDLINE_STRENGTH_AB%2522:1.0,%2522HPO%2522:100.0%257D", "Show Evidence...")</f>
        <v>Show Evidence...</v>
      </c>
    </row>
    <row r="2455" spans="1:10" ht="12.75">
      <c r="A2455" s="2" t="s">
        <v>3403</v>
      </c>
      <c r="B2455" s="2" t="s">
        <v>3404</v>
      </c>
      <c r="C2455" s="2" t="s">
        <v>24</v>
      </c>
      <c r="D2455" s="2" t="s">
        <v>3405</v>
      </c>
      <c r="E2455" s="2" t="s">
        <v>704</v>
      </c>
      <c r="F2455" s="11" t="s">
        <v>3744</v>
      </c>
      <c r="G2455" t="s">
        <v>37</v>
      </c>
      <c r="H2455" t="s">
        <v>3745</v>
      </c>
      <c r="I2455" t="s">
        <v>3436</v>
      </c>
      <c r="J2455" s="6" t="str">
        <f>HYPERLINK("https://www.biovista.com/db/link/%5B%5B%22Disease%7Cpyridoxine%20dependent%20epilepsy%22%5D,%20%5B%22Pathway%7Cbone%20mineralization%22%5D%5D?strength-weight-map=%257B%2522MEDLINE_STRENGTH_AB%2522:1.0,%2522HPO%2522:100.0%257D", "Show Evidence...")</f>
        <v>Show Evidence...</v>
      </c>
    </row>
    <row r="2456" spans="1:10" ht="12.75">
      <c r="A2456" s="2" t="s">
        <v>3403</v>
      </c>
      <c r="B2456" s="2" t="s">
        <v>3404</v>
      </c>
      <c r="C2456" s="2" t="s">
        <v>24</v>
      </c>
      <c r="D2456" s="2" t="s">
        <v>3405</v>
      </c>
      <c r="E2456" s="2" t="s">
        <v>704</v>
      </c>
      <c r="F2456" s="11" t="s">
        <v>1808</v>
      </c>
      <c r="G2456" t="s">
        <v>37</v>
      </c>
      <c r="H2456" t="s">
        <v>1809</v>
      </c>
      <c r="I2456" t="s">
        <v>3436</v>
      </c>
      <c r="J2456" s="6" t="str">
        <f>HYPERLINK("https://www.biovista.com/db/link/%5B%5B%22Disease%7Cpyridoxine%20dependent%20epilepsy%22%5D,%20%5B%22Pathway%7Ccatecholamine%20biosynthetic%20process%22%5D%5D?strength-weight-map=%257B%2522MEDLINE_STRENGTH_AB%2522:1.0,%2522HPO%2522:100.0%257D", "Show Evidence...")</f>
        <v>Show Evidence...</v>
      </c>
    </row>
    <row r="2457" spans="1:10" ht="12.75">
      <c r="A2457" s="2" t="s">
        <v>3403</v>
      </c>
      <c r="B2457" s="2" t="s">
        <v>3404</v>
      </c>
      <c r="C2457" s="2" t="s">
        <v>24</v>
      </c>
      <c r="D2457" s="2" t="s">
        <v>3405</v>
      </c>
      <c r="E2457" s="2" t="s">
        <v>704</v>
      </c>
      <c r="F2457" s="11" t="s">
        <v>839</v>
      </c>
      <c r="G2457" t="s">
        <v>37</v>
      </c>
      <c r="H2457" t="s">
        <v>840</v>
      </c>
      <c r="I2457" t="s">
        <v>3436</v>
      </c>
      <c r="J2457" s="6" t="str">
        <f>HYPERLINK("https://www.biovista.com/db/link/%5B%5B%22Disease%7Cpyridoxine%20dependent%20epilepsy%22%5D,%20%5B%22Pathway%7Ccell%20motility%22%5D%5D?strength-weight-map=%257B%2522MEDLINE_STRENGTH_AB%2522:1.0,%2522HPO%2522:100.0%257D", "Show Evidence...")</f>
        <v>Show Evidence...</v>
      </c>
    </row>
    <row r="2458" spans="1:10" ht="12.75">
      <c r="A2458" s="2" t="s">
        <v>3403</v>
      </c>
      <c r="B2458" s="2" t="s">
        <v>3404</v>
      </c>
      <c r="C2458" s="2" t="s">
        <v>24</v>
      </c>
      <c r="D2458" s="2" t="s">
        <v>3405</v>
      </c>
      <c r="E2458" s="2" t="s">
        <v>704</v>
      </c>
      <c r="F2458" s="11" t="s">
        <v>3746</v>
      </c>
      <c r="G2458" t="s">
        <v>37</v>
      </c>
      <c r="H2458" t="s">
        <v>3747</v>
      </c>
      <c r="I2458" t="s">
        <v>3436</v>
      </c>
      <c r="J2458" s="6" t="str">
        <f>HYPERLINK("https://www.biovista.com/db/link/%5B%5B%22Disease%7Cpyridoxine%20dependent%20epilepsy%22%5D,%20%5B%22Pathway%7Ccollagen%20catabolic%20process%22%5D%5D?strength-weight-map=%257B%2522MEDLINE_STRENGTH_AB%2522:1.0,%2522HPO%2522:100.0%257D", "Show Evidence...")</f>
        <v>Show Evidence...</v>
      </c>
    </row>
    <row r="2459" spans="1:10" ht="12.75">
      <c r="A2459" s="2" t="s">
        <v>3403</v>
      </c>
      <c r="B2459" s="2" t="s">
        <v>3404</v>
      </c>
      <c r="C2459" s="2" t="s">
        <v>24</v>
      </c>
      <c r="D2459" s="2" t="s">
        <v>3405</v>
      </c>
      <c r="E2459" s="2" t="s">
        <v>704</v>
      </c>
      <c r="F2459" s="11" t="s">
        <v>3748</v>
      </c>
      <c r="G2459" t="s">
        <v>37</v>
      </c>
      <c r="H2459" t="s">
        <v>3749</v>
      </c>
      <c r="I2459" t="s">
        <v>3436</v>
      </c>
      <c r="J2459" s="6" t="str">
        <f>HYPERLINK("https://www.biovista.com/db/link/%5B%5B%22Disease%7Cpyridoxine%20dependent%20epilepsy%22%5D,%20%5B%22Pathway%7Ccreatine%20metabolic%20process%22%5D%5D?strength-weight-map=%257B%2522MEDLINE_STRENGTH_AB%2522:1.0,%2522HPO%2522:100.0%257D", "Show Evidence...")</f>
        <v>Show Evidence...</v>
      </c>
    </row>
    <row r="2460" spans="1:10" ht="12.75">
      <c r="A2460" s="2" t="s">
        <v>3403</v>
      </c>
      <c r="B2460" s="2" t="s">
        <v>3404</v>
      </c>
      <c r="C2460" s="2" t="s">
        <v>24</v>
      </c>
      <c r="D2460" s="2" t="s">
        <v>3405</v>
      </c>
      <c r="E2460" s="2" t="s">
        <v>704</v>
      </c>
      <c r="F2460" s="11" t="s">
        <v>2939</v>
      </c>
      <c r="G2460" t="s">
        <v>37</v>
      </c>
      <c r="H2460" t="s">
        <v>2940</v>
      </c>
      <c r="I2460" t="s">
        <v>3436</v>
      </c>
      <c r="J2460" s="6" t="s">
        <v>3750</v>
      </c>
    </row>
    <row r="2461" spans="1:10" ht="12.75">
      <c r="A2461" s="2" t="s">
        <v>3403</v>
      </c>
      <c r="B2461" s="2" t="s">
        <v>3404</v>
      </c>
      <c r="C2461" s="2" t="s">
        <v>24</v>
      </c>
      <c r="D2461" s="2" t="s">
        <v>3405</v>
      </c>
      <c r="E2461" s="2" t="s">
        <v>704</v>
      </c>
      <c r="F2461" s="11" t="s">
        <v>791</v>
      </c>
      <c r="G2461" t="s">
        <v>37</v>
      </c>
      <c r="H2461" t="s">
        <v>792</v>
      </c>
      <c r="I2461" t="s">
        <v>3436</v>
      </c>
      <c r="J2461" s="6" t="str">
        <f>HYPERLINK("https://www.biovista.com/db/link/%5B%5B%22Disease%7Cpyridoxine%20dependent%20epilepsy%22%5D,%20%5B%22Pathway%7Celectron%20transport%20chain%22%5D%5D?strength-weight-map=%257B%2522MEDLINE_STRENGTH_AB%2522:1.0,%2522HPO%2522:100.0%257D", "Show Evidence...")</f>
        <v>Show Evidence...</v>
      </c>
    </row>
    <row r="2462" spans="1:10" ht="12.75">
      <c r="A2462" s="2" t="s">
        <v>3403</v>
      </c>
      <c r="B2462" s="2" t="s">
        <v>3404</v>
      </c>
      <c r="C2462" s="2" t="s">
        <v>24</v>
      </c>
      <c r="D2462" s="2" t="s">
        <v>3405</v>
      </c>
      <c r="E2462" s="2" t="s">
        <v>704</v>
      </c>
      <c r="F2462" s="11" t="s">
        <v>793</v>
      </c>
      <c r="G2462" t="s">
        <v>37</v>
      </c>
      <c r="H2462" t="s">
        <v>794</v>
      </c>
      <c r="I2462" t="s">
        <v>3436</v>
      </c>
      <c r="J2462" s="6" t="str">
        <f>HYPERLINK("https://www.biovista.com/db/link/%5B%5B%22Disease%7Cpyridoxine%20dependent%20epilepsy%22%5D,%20%5B%22Pathway%7Cerythrocyte%20differentiation%22%5D%5D?strength-weight-map=%257B%2522MEDLINE_STRENGTH_AB%2522:1.0,%2522HPO%2522:100.0%257D", "Show Evidence...")</f>
        <v>Show Evidence...</v>
      </c>
    </row>
    <row r="2463" spans="1:10" ht="12.75">
      <c r="A2463" s="2" t="s">
        <v>3403</v>
      </c>
      <c r="B2463" s="2" t="s">
        <v>3404</v>
      </c>
      <c r="C2463" s="2" t="s">
        <v>24</v>
      </c>
      <c r="D2463" s="2" t="s">
        <v>3405</v>
      </c>
      <c r="E2463" s="2" t="s">
        <v>704</v>
      </c>
      <c r="F2463" s="11" t="s">
        <v>892</v>
      </c>
      <c r="G2463" t="s">
        <v>37</v>
      </c>
      <c r="H2463" t="s">
        <v>893</v>
      </c>
      <c r="I2463" t="s">
        <v>3436</v>
      </c>
      <c r="J2463" s="6" t="str">
        <f>HYPERLINK("https://www.biovista.com/db/link/%5B%5B%22Disease%7Cpyridoxine%20dependent%20epilepsy%22%5D,%20%5B%22Pathway%7Cfertilization%22%5D%5D?strength-weight-map=%257B%2522MEDLINE_STRENGTH_AB%2522:1.0,%2522HPO%2522:100.0%257D", "Show Evidence...")</f>
        <v>Show Evidence...</v>
      </c>
    </row>
    <row r="2464" spans="1:10" ht="12.75">
      <c r="A2464" s="2" t="s">
        <v>3403</v>
      </c>
      <c r="B2464" s="2" t="s">
        <v>3404</v>
      </c>
      <c r="C2464" s="2" t="s">
        <v>24</v>
      </c>
      <c r="D2464" s="2" t="s">
        <v>3405</v>
      </c>
      <c r="E2464" s="2" t="s">
        <v>704</v>
      </c>
      <c r="F2464" s="11" t="s">
        <v>3751</v>
      </c>
      <c r="G2464" t="s">
        <v>37</v>
      </c>
      <c r="H2464" t="s">
        <v>3752</v>
      </c>
      <c r="I2464" t="s">
        <v>3436</v>
      </c>
      <c r="J2464" s="6" t="str">
        <f>HYPERLINK("https://www.biovista.com/db/link/%5B%5B%22Disease%7Cpyridoxine%20dependent%20epilepsy%22%5D,%20%5B%22Pathway%7Cfolic%20acid%20metabolic%20process%22%5D%5D?strength-weight-map=%257B%2522MEDLINE_STRENGTH_AB%2522:1.0,%2522HPO%2522:100.0%257D", "Show Evidence...")</f>
        <v>Show Evidence...</v>
      </c>
    </row>
    <row r="2465" spans="1:10" ht="12.75">
      <c r="A2465" s="2" t="s">
        <v>3403</v>
      </c>
      <c r="B2465" s="2" t="s">
        <v>3404</v>
      </c>
      <c r="C2465" s="2" t="s">
        <v>24</v>
      </c>
      <c r="D2465" s="2" t="s">
        <v>3405</v>
      </c>
      <c r="E2465" s="2" t="s">
        <v>704</v>
      </c>
      <c r="F2465" s="11" t="s">
        <v>3753</v>
      </c>
      <c r="G2465" t="s">
        <v>37</v>
      </c>
      <c r="H2465" t="s">
        <v>3754</v>
      </c>
      <c r="I2465" t="s">
        <v>3436</v>
      </c>
      <c r="J2465" s="6" t="str">
        <f>HYPERLINK("https://www.biovista.com/db/link/%5B%5B%22Disease%7Cpyridoxine%20dependent%20epilepsy%22%5D,%20%5B%22Pathway%7Cgamma-aminobutyric%20acid%20metabolic%20process%22%5D%5D?strength-weight-map=%257B%2522MEDLINE_STRENGTH_AB%2522:1.0,%2522HPO%2522:100.0%257D", "Show Evidence...")</f>
        <v>Show Evidence...</v>
      </c>
    </row>
    <row r="2466" spans="1:10" ht="12.75">
      <c r="A2466" s="2" t="s">
        <v>3403</v>
      </c>
      <c r="B2466" s="2" t="s">
        <v>3404</v>
      </c>
      <c r="C2466" s="2" t="s">
        <v>24</v>
      </c>
      <c r="D2466" s="2" t="s">
        <v>3405</v>
      </c>
      <c r="E2466" s="2" t="s">
        <v>704</v>
      </c>
      <c r="F2466" s="11" t="s">
        <v>2330</v>
      </c>
      <c r="G2466" t="s">
        <v>37</v>
      </c>
      <c r="H2466" t="s">
        <v>2331</v>
      </c>
      <c r="I2466" t="s">
        <v>3436</v>
      </c>
      <c r="J2466" s="6" t="str">
        <f>HYPERLINK("https://www.biovista.com/db/link/%5B%5B%22Disease%7Cpyridoxine%20dependent%20epilepsy%22%5D,%20%5B%22Pathway%7Cgluconeogenesis%22%5D%5D?strength-weight-map=%257B%2522MEDLINE_STRENGTH_AB%2522:1.0,%2522HPO%2522:100.0%257D", "Show Evidence...")</f>
        <v>Show Evidence...</v>
      </c>
    </row>
    <row r="2467" spans="1:10" ht="12.75">
      <c r="A2467" s="2" t="s">
        <v>3403</v>
      </c>
      <c r="B2467" s="2" t="s">
        <v>3404</v>
      </c>
      <c r="C2467" s="2" t="s">
        <v>24</v>
      </c>
      <c r="D2467" s="2" t="s">
        <v>3405</v>
      </c>
      <c r="E2467" s="2" t="s">
        <v>704</v>
      </c>
      <c r="F2467" s="11" t="s">
        <v>3755</v>
      </c>
      <c r="G2467" t="s">
        <v>37</v>
      </c>
      <c r="H2467" t="s">
        <v>3756</v>
      </c>
      <c r="I2467" t="s">
        <v>3436</v>
      </c>
      <c r="J2467" s="6" t="str">
        <f>HYPERLINK("https://www.biovista.com/db/link/%5B%5B%22Disease%7Cpyridoxine%20dependent%20epilepsy%22%5D,%20%5B%22Pathway%7Cglutamate%20metabolic%20process%22%5D%5D?strength-weight-map=%257B%2522MEDLINE_STRENGTH_AB%2522:1.0,%2522HPO%2522:100.0%257D", "Show Evidence...")</f>
        <v>Show Evidence...</v>
      </c>
    </row>
    <row r="2468" spans="1:10" ht="12.75">
      <c r="A2468" s="2" t="s">
        <v>3403</v>
      </c>
      <c r="B2468" s="2" t="s">
        <v>3404</v>
      </c>
      <c r="C2468" s="2" t="s">
        <v>24</v>
      </c>
      <c r="D2468" s="2" t="s">
        <v>3405</v>
      </c>
      <c r="E2468" s="2" t="s">
        <v>704</v>
      </c>
      <c r="F2468" s="11" t="s">
        <v>3757</v>
      </c>
      <c r="G2468" t="s">
        <v>37</v>
      </c>
      <c r="H2468" t="s">
        <v>3758</v>
      </c>
      <c r="I2468" t="s">
        <v>3436</v>
      </c>
      <c r="J2468" s="6" t="str">
        <f>HYPERLINK("https://www.biovista.com/db/link/%5B%5B%22Disease%7Cpyridoxine%20dependent%20epilepsy%22%5D,%20%5B%22Pathway%7Cglycine%20catabolic%20process%22%5D%5D?strength-weight-map=%257B%2522MEDLINE_STRENGTH_AB%2522:1.0,%2522HPO%2522:100.0%257D", "Show Evidence...")</f>
        <v>Show Evidence...</v>
      </c>
    </row>
    <row r="2469" spans="1:10" ht="12.75">
      <c r="A2469" s="2" t="s">
        <v>3403</v>
      </c>
      <c r="B2469" s="2" t="s">
        <v>3404</v>
      </c>
      <c r="C2469" s="2" t="s">
        <v>24</v>
      </c>
      <c r="D2469" s="2" t="s">
        <v>3405</v>
      </c>
      <c r="E2469" s="2" t="s">
        <v>704</v>
      </c>
      <c r="F2469" s="11" t="s">
        <v>3759</v>
      </c>
      <c r="G2469" t="s">
        <v>37</v>
      </c>
      <c r="H2469" t="s">
        <v>3760</v>
      </c>
      <c r="I2469" t="s">
        <v>3436</v>
      </c>
      <c r="J2469" s="6" t="str">
        <f>HYPERLINK("https://www.biovista.com/db/link/%5B%5B%22Disease%7Cpyridoxine%20dependent%20epilepsy%22%5D,%20%5B%22Pathway%7Cglycogen%20metabolic%20process%22%5D%5D?strength-weight-map=%257B%2522MEDLINE_STRENGTH_AB%2522:1.0,%2522HPO%2522:100.0%257D", "Show Evidence...")</f>
        <v>Show Evidence...</v>
      </c>
    </row>
    <row r="2470" spans="1:10" ht="12.75">
      <c r="A2470" s="2" t="s">
        <v>3403</v>
      </c>
      <c r="B2470" s="2" t="s">
        <v>3404</v>
      </c>
      <c r="C2470" s="2" t="s">
        <v>24</v>
      </c>
      <c r="D2470" s="2" t="s">
        <v>3405</v>
      </c>
      <c r="E2470" s="2" t="s">
        <v>704</v>
      </c>
      <c r="F2470" s="11" t="s">
        <v>3319</v>
      </c>
      <c r="G2470" t="s">
        <v>37</v>
      </c>
      <c r="H2470" t="s">
        <v>3320</v>
      </c>
      <c r="I2470" t="s">
        <v>3436</v>
      </c>
      <c r="J2470" s="6" t="str">
        <f>HYPERLINK("https://www.biovista.com/db/link/%5B%5B%22Disease%7Cpyridoxine%20dependent%20epilepsy%22%5D,%20%5B%22Pathway%7Chemostasis%22%5D%5D?strength-weight-map=%257B%2522MEDLINE_STRENGTH_AB%2522:1.0,%2522HPO%2522:100.0%257D", "Show Evidence...")</f>
        <v>Show Evidence...</v>
      </c>
    </row>
    <row r="2471" spans="1:10" ht="12.75">
      <c r="A2471" s="2" t="s">
        <v>3403</v>
      </c>
      <c r="B2471" s="2" t="s">
        <v>3404</v>
      </c>
      <c r="C2471" s="2" t="s">
        <v>24</v>
      </c>
      <c r="D2471" s="2" t="s">
        <v>3405</v>
      </c>
      <c r="E2471" s="2" t="s">
        <v>704</v>
      </c>
      <c r="F2471" s="11" t="s">
        <v>777</v>
      </c>
      <c r="G2471" t="s">
        <v>37</v>
      </c>
      <c r="H2471" t="s">
        <v>778</v>
      </c>
      <c r="I2471" t="s">
        <v>3436</v>
      </c>
      <c r="J2471" s="6" t="str">
        <f>HYPERLINK("https://www.biovista.com/db/link/%5B%5B%22Disease%7Cpyridoxine%20dependent%20epilepsy%22%5D,%20%5B%22Pathway%7Cimmune%20response%22%5D%5D?strength-weight-map=%257B%2522MEDLINE_STRENGTH_AB%2522:1.0,%2522HPO%2522:100.0%257D", "Show Evidence...")</f>
        <v>Show Evidence...</v>
      </c>
    </row>
    <row r="2472" spans="1:10" ht="12.75">
      <c r="A2472" s="2" t="s">
        <v>3403</v>
      </c>
      <c r="B2472" s="2" t="s">
        <v>3404</v>
      </c>
      <c r="C2472" s="2" t="s">
        <v>24</v>
      </c>
      <c r="D2472" s="2" t="s">
        <v>3405</v>
      </c>
      <c r="E2472" s="2" t="s">
        <v>704</v>
      </c>
      <c r="F2472" s="11" t="s">
        <v>2893</v>
      </c>
      <c r="G2472" t="s">
        <v>37</v>
      </c>
      <c r="H2472" t="s">
        <v>2894</v>
      </c>
      <c r="I2472" t="s">
        <v>3436</v>
      </c>
      <c r="J2472" s="6" t="str">
        <f>HYPERLINK("https://www.biovista.com/db/link/%5B%5B%22Disease%7Cpyridoxine%20dependent%20epilepsy%22%5D,%20%5B%22Pathway%7Cinsulin%20secretion%22%5D%5D?strength-weight-map=%257B%2522MEDLINE_STRENGTH_AB%2522:1.0,%2522HPO%2522:100.0%257D", "Show Evidence...")</f>
        <v>Show Evidence...</v>
      </c>
    </row>
    <row r="2473" spans="1:10" ht="12.75">
      <c r="A2473" s="2" t="s">
        <v>3403</v>
      </c>
      <c r="B2473" s="2" t="s">
        <v>3404</v>
      </c>
      <c r="C2473" s="2" t="s">
        <v>24</v>
      </c>
      <c r="D2473" s="2" t="s">
        <v>3405</v>
      </c>
      <c r="E2473" s="2" t="s">
        <v>704</v>
      </c>
      <c r="F2473" s="11" t="s">
        <v>2925</v>
      </c>
      <c r="G2473" t="s">
        <v>37</v>
      </c>
      <c r="H2473" t="s">
        <v>2926</v>
      </c>
      <c r="I2473" t="s">
        <v>3436</v>
      </c>
      <c r="J2473" s="6" t="str">
        <f>HYPERLINK("https://www.biovista.com/db/link/%5B%5B%22Disease%7Cpyridoxine%20dependent%20epilepsy%22%5D,%20%5B%22Pathway%7Cintestinal%20absorption%22%5D%5D?strength-weight-map=%257B%2522MEDLINE_STRENGTH_AB%2522:1.0,%2522HPO%2522:100.0%257D", "Show Evidence...")</f>
        <v>Show Evidence...</v>
      </c>
    </row>
    <row r="2474" spans="1:10" ht="12.75">
      <c r="A2474" s="2" t="s">
        <v>3403</v>
      </c>
      <c r="B2474" s="2" t="s">
        <v>3404</v>
      </c>
      <c r="C2474" s="2" t="s">
        <v>24</v>
      </c>
      <c r="D2474" s="2" t="s">
        <v>3405</v>
      </c>
      <c r="E2474" s="2" t="s">
        <v>704</v>
      </c>
      <c r="F2474" s="11" t="s">
        <v>1530</v>
      </c>
      <c r="G2474" t="s">
        <v>37</v>
      </c>
      <c r="H2474" t="s">
        <v>1531</v>
      </c>
      <c r="I2474" t="s">
        <v>3436</v>
      </c>
      <c r="J2474" s="6" t="str">
        <f>HYPERLINK("https://www.biovista.com/db/link/%5B%5B%22Disease%7Cpyridoxine%20dependent%20epilepsy%22%5D,%20%5B%22Pathway%7CL-lysine%20catabolic%20process%22%5D%5D?strength-weight-map=%257B%2522MEDLINE_STRENGTH_AB%2522:1.0,%2522HPO%2522:100.0%257D", "Show Evidence...")</f>
        <v>Show Evidence...</v>
      </c>
    </row>
    <row r="2475" spans="1:10" ht="12.75">
      <c r="A2475" s="2" t="s">
        <v>3403</v>
      </c>
      <c r="B2475" s="2" t="s">
        <v>3404</v>
      </c>
      <c r="C2475" s="2" t="s">
        <v>24</v>
      </c>
      <c r="D2475" s="2" t="s">
        <v>3405</v>
      </c>
      <c r="E2475" s="2" t="s">
        <v>704</v>
      </c>
      <c r="F2475" s="11" t="s">
        <v>3761</v>
      </c>
      <c r="G2475" t="s">
        <v>37</v>
      </c>
      <c r="H2475" t="s">
        <v>3762</v>
      </c>
      <c r="I2475" t="s">
        <v>3436</v>
      </c>
      <c r="J2475" s="6" t="str">
        <f>HYPERLINK("https://www.biovista.com/db/link/%5B%5B%22Disease%7Cpyridoxine%20dependent%20epilepsy%22%5D,%20%5B%22Pathway%7CL-lysine%20metabolic%20process%22%5D%5D?strength-weight-map=%257B%2522MEDLINE_STRENGTH_AB%2522:1.0,%2522HPO%2522:100.0%257D", "Show Evidence...")</f>
        <v>Show Evidence...</v>
      </c>
    </row>
    <row r="2476" spans="1:10" ht="12.75">
      <c r="A2476" s="2" t="s">
        <v>3403</v>
      </c>
      <c r="B2476" s="2" t="s">
        <v>3404</v>
      </c>
      <c r="C2476" s="2" t="s">
        <v>24</v>
      </c>
      <c r="D2476" s="2" t="s">
        <v>3405</v>
      </c>
      <c r="E2476" s="2" t="s">
        <v>704</v>
      </c>
      <c r="F2476" s="11" t="s">
        <v>3763</v>
      </c>
      <c r="G2476" t="s">
        <v>37</v>
      </c>
      <c r="H2476" t="s">
        <v>3764</v>
      </c>
      <c r="I2476" t="s">
        <v>3436</v>
      </c>
      <c r="J2476" s="6" t="str">
        <f>HYPERLINK("https://www.biovista.com/db/link/%5B%5B%22Disease%7Cpyridoxine%20dependent%20epilepsy%22%5D,%20%5B%22Pathway%7Clight%20absorption%22%5D%5D?strength-weight-map=%257B%2522MEDLINE_STRENGTH_AB%2522:1.0,%2522HPO%2522:100.0%257D", "Show Evidence...")</f>
        <v>Show Evidence...</v>
      </c>
    </row>
    <row r="2477" spans="1:10" ht="12.75">
      <c r="A2477" s="2" t="s">
        <v>3403</v>
      </c>
      <c r="B2477" s="2" t="s">
        <v>3404</v>
      </c>
      <c r="C2477" s="2" t="s">
        <v>24</v>
      </c>
      <c r="D2477" s="2" t="s">
        <v>3405</v>
      </c>
      <c r="E2477" s="2" t="s">
        <v>704</v>
      </c>
      <c r="F2477" s="11" t="s">
        <v>799</v>
      </c>
      <c r="G2477" t="s">
        <v>37</v>
      </c>
      <c r="H2477" t="s">
        <v>800</v>
      </c>
      <c r="I2477" t="s">
        <v>3436</v>
      </c>
      <c r="J2477" s="6" t="str">
        <f>HYPERLINK("https://www.biovista.com/db/link/%5B%5B%22Disease%7Cpyridoxine%20dependent%20epilepsy%22%5D,%20%5B%22Pathway%7Clipid%20metabolic%20process%22%5D%5D?strength-weight-map=%257B%2522MEDLINE_STRENGTH_AB%2522:1.0,%2522HPO%2522:100.0%257D", "Show Evidence...")</f>
        <v>Show Evidence...</v>
      </c>
    </row>
    <row r="2478" spans="1:10" ht="12.75">
      <c r="A2478" s="2" t="s">
        <v>3403</v>
      </c>
      <c r="B2478" s="2" t="s">
        <v>3404</v>
      </c>
      <c r="C2478" s="2" t="s">
        <v>24</v>
      </c>
      <c r="D2478" s="2" t="s">
        <v>3405</v>
      </c>
      <c r="E2478" s="2" t="s">
        <v>704</v>
      </c>
      <c r="F2478" s="11" t="s">
        <v>789</v>
      </c>
      <c r="G2478" t="s">
        <v>37</v>
      </c>
      <c r="H2478" t="s">
        <v>790</v>
      </c>
      <c r="I2478" t="s">
        <v>3436</v>
      </c>
      <c r="J2478" s="6" t="str">
        <f>HYPERLINK("https://www.biovista.com/db/link/%5B%5B%22Disease%7Cpyridoxine%20dependent%20epilepsy%22%5D,%20%5B%22Pathway%7Clocomotion%22%5D%5D?strength-weight-map=%257B%2522MEDLINE_STRENGTH_AB%2522:1.0,%2522HPO%2522:100.0%257D", "Show Evidence...")</f>
        <v>Show Evidence...</v>
      </c>
    </row>
    <row r="2479" spans="1:10" ht="12.75">
      <c r="A2479" s="2" t="s">
        <v>3403</v>
      </c>
      <c r="B2479" s="2" t="s">
        <v>3404</v>
      </c>
      <c r="C2479" s="2" t="s">
        <v>24</v>
      </c>
      <c r="D2479" s="2" t="s">
        <v>3405</v>
      </c>
      <c r="E2479" s="2" t="s">
        <v>704</v>
      </c>
      <c r="F2479" s="11" t="s">
        <v>3765</v>
      </c>
      <c r="G2479" t="s">
        <v>37</v>
      </c>
      <c r="H2479" t="s">
        <v>3766</v>
      </c>
      <c r="I2479" t="s">
        <v>3436</v>
      </c>
      <c r="J2479" s="6" t="str">
        <f>HYPERLINK("https://www.biovista.com/db/link/%5B%5B%22Disease%7Cpyridoxine%20dependent%20epilepsy%22%5D,%20%5B%22Pathway%7Cmitochondrion%20localization%22%5D%5D?strength-weight-map=%257B%2522MEDLINE_STRENGTH_AB%2522:1.0,%2522HPO%2522:100.0%257D", "Show Evidence...")</f>
        <v>Show Evidence...</v>
      </c>
    </row>
    <row r="2480" spans="1:10" ht="12.75">
      <c r="A2480" s="2" t="s">
        <v>3403</v>
      </c>
      <c r="B2480" s="2" t="s">
        <v>3404</v>
      </c>
      <c r="C2480" s="2" t="s">
        <v>24</v>
      </c>
      <c r="D2480" s="2" t="s">
        <v>3405</v>
      </c>
      <c r="E2480" s="2" t="s">
        <v>704</v>
      </c>
      <c r="F2480" s="11" t="s">
        <v>731</v>
      </c>
      <c r="G2480" t="s">
        <v>37</v>
      </c>
      <c r="H2480" t="s">
        <v>732</v>
      </c>
      <c r="I2480" t="s">
        <v>3436</v>
      </c>
      <c r="J2480" s="6" t="str">
        <f>HYPERLINK("https://www.biovista.com/db/link/%5B%5B%22Disease%7Cpyridoxine%20dependent%20epilepsy%22%5D,%20%5B%22Pathway%7Cneurogenesis%22%5D%5D?strength-weight-map=%257B%2522MEDLINE_STRENGTH_AB%2522:1.0,%2522HPO%2522:100.0%257D", "Show Evidence...")</f>
        <v>Show Evidence...</v>
      </c>
    </row>
    <row r="2481" spans="1:10" ht="12.75">
      <c r="A2481" s="2" t="s">
        <v>3403</v>
      </c>
      <c r="B2481" s="2" t="s">
        <v>3404</v>
      </c>
      <c r="C2481" s="2" t="s">
        <v>24</v>
      </c>
      <c r="D2481" s="2" t="s">
        <v>3405</v>
      </c>
      <c r="E2481" s="2" t="s">
        <v>717</v>
      </c>
      <c r="F2481" s="11" t="s">
        <v>3767</v>
      </c>
      <c r="G2481" t="s">
        <v>37</v>
      </c>
      <c r="H2481" t="s">
        <v>3768</v>
      </c>
      <c r="I2481" t="s">
        <v>3436</v>
      </c>
      <c r="J2481" s="6" t="str">
        <f>HYPERLINK("https://www.biovista.com/db/link/%5B%5B%22Disease%7Cpyridoxine%20dependent%20epilepsy%22%5D,%20%5B%22Pathway%7Concogenesis%22%5D%5D?strength-weight-map=%257B%2522MEDLINE_STRENGTH_AB%2522:1.0,%2522HPO%2522:100.0%257D", "Show Evidence...")</f>
        <v>Show Evidence...</v>
      </c>
    </row>
    <row r="2482" spans="1:10" ht="12.75">
      <c r="A2482" s="2" t="s">
        <v>3403</v>
      </c>
      <c r="B2482" s="2" t="s">
        <v>3404</v>
      </c>
      <c r="C2482" s="2" t="s">
        <v>24</v>
      </c>
      <c r="D2482" s="2" t="s">
        <v>3405</v>
      </c>
      <c r="E2482" s="2" t="s">
        <v>704</v>
      </c>
      <c r="F2482" s="11" t="s">
        <v>2356</v>
      </c>
      <c r="G2482" t="s">
        <v>37</v>
      </c>
      <c r="H2482" t="s">
        <v>2357</v>
      </c>
      <c r="I2482" t="s">
        <v>3436</v>
      </c>
      <c r="J2482" s="6" t="str">
        <f>HYPERLINK("https://www.biovista.com/db/link/%5B%5B%22Disease%7Cpyridoxine%20dependent%20epilepsy%22%5D,%20%5B%22Pathway%7Cone-carbon%20metabolic%20process%22%5D%5D?strength-weight-map=%257B%2522MEDLINE_STRENGTH_AB%2522:1.0,%2522HPO%2522:100.0%257D", "Show Evidence...")</f>
        <v>Show Evidence...</v>
      </c>
    </row>
    <row r="2483" spans="1:10" ht="12.75">
      <c r="A2483" s="2" t="s">
        <v>3403</v>
      </c>
      <c r="B2483" s="2" t="s">
        <v>3404</v>
      </c>
      <c r="C2483" s="2" t="s">
        <v>24</v>
      </c>
      <c r="D2483" s="2" t="s">
        <v>3405</v>
      </c>
      <c r="E2483" s="2" t="s">
        <v>704</v>
      </c>
      <c r="F2483" s="11" t="s">
        <v>3769</v>
      </c>
      <c r="G2483" t="s">
        <v>37</v>
      </c>
      <c r="H2483" t="s">
        <v>3770</v>
      </c>
      <c r="I2483" t="s">
        <v>3436</v>
      </c>
      <c r="J2483" s="6" t="str">
        <f>HYPERLINK("https://www.biovista.com/db/link/%5B%5B%22Disease%7Cpyridoxine%20dependent%20epilepsy%22%5D,%20%5B%22Pathway%7Cornithine%20metabolic%20process%22%5D%5D?strength-weight-map=%257B%2522MEDLINE_STRENGTH_AB%2522:1.0,%2522HPO%2522:100.0%257D", "Show Evidence...")</f>
        <v>Show Evidence...</v>
      </c>
    </row>
    <row r="2484" spans="1:10" ht="12.75">
      <c r="A2484" s="2" t="s">
        <v>3403</v>
      </c>
      <c r="B2484" s="2" t="s">
        <v>3404</v>
      </c>
      <c r="C2484" s="2" t="s">
        <v>24</v>
      </c>
      <c r="D2484" s="2" t="s">
        <v>3405</v>
      </c>
      <c r="E2484" s="2" t="s">
        <v>704</v>
      </c>
      <c r="F2484" s="11" t="s">
        <v>775</v>
      </c>
      <c r="G2484" t="s">
        <v>37</v>
      </c>
      <c r="H2484" t="s">
        <v>776</v>
      </c>
      <c r="I2484" t="s">
        <v>3436</v>
      </c>
      <c r="J2484" s="6" t="str">
        <f>HYPERLINK("https://www.biovista.com/db/link/%5B%5B%22Disease%7Cpyridoxine%20dependent%20epilepsy%22%5D,%20%5B%22Pathway%7Coxidative%20phosphorylation%22%5D%5D?strength-weight-map=%257B%2522MEDLINE_STRENGTH_AB%2522:1.0,%2522HPO%2522:100.0%257D", "Show Evidence...")</f>
        <v>Show Evidence...</v>
      </c>
    </row>
    <row r="2485" spans="1:10" ht="12.75">
      <c r="A2485" s="2" t="s">
        <v>3403</v>
      </c>
      <c r="B2485" s="2" t="s">
        <v>3404</v>
      </c>
      <c r="C2485" s="2" t="s">
        <v>24</v>
      </c>
      <c r="D2485" s="2" t="s">
        <v>3405</v>
      </c>
      <c r="E2485" s="2" t="s">
        <v>704</v>
      </c>
      <c r="F2485" s="11" t="s">
        <v>3771</v>
      </c>
      <c r="G2485" t="s">
        <v>37</v>
      </c>
      <c r="H2485" t="s">
        <v>3772</v>
      </c>
      <c r="I2485" t="s">
        <v>3436</v>
      </c>
      <c r="J2485" s="6" t="str">
        <f>HYPERLINK("https://www.biovista.com/db/link/%5B%5B%22Disease%7Cpyridoxine%20dependent%20epilepsy%22%5D,%20%5B%22Pathway%7Cparturition%22%5D%5D?strength-weight-map=%257B%2522MEDLINE_STRENGTH_AB%2522:1.0,%2522HPO%2522:100.0%257D", "Show Evidence...")</f>
        <v>Show Evidence...</v>
      </c>
    </row>
    <row r="2486" spans="1:10" ht="12.75">
      <c r="A2486" s="2" t="s">
        <v>3403</v>
      </c>
      <c r="B2486" s="2" t="s">
        <v>3404</v>
      </c>
      <c r="C2486" s="2" t="s">
        <v>24</v>
      </c>
      <c r="D2486" s="2" t="s">
        <v>3405</v>
      </c>
      <c r="E2486" s="2" t="s">
        <v>704</v>
      </c>
      <c r="F2486" s="11" t="s">
        <v>3773</v>
      </c>
      <c r="G2486" t="s">
        <v>37</v>
      </c>
      <c r="H2486" t="s">
        <v>3774</v>
      </c>
      <c r="I2486" t="s">
        <v>3436</v>
      </c>
      <c r="J2486" s="6" t="str">
        <f>HYPERLINK("https://www.biovista.com/db/link/%5B%5B%22Disease%7Cpyridoxine%20dependent%20epilepsy%22%5D,%20%5B%22Pathway%7Cphosphate%20ion%20homeostasis%22%5D%5D?strength-weight-map=%257B%2522MEDLINE_STRENGTH_AB%2522:1.0,%2522HPO%2522:100.0%257D", "Show Evidence...")</f>
        <v>Show Evidence...</v>
      </c>
    </row>
    <row r="2487" spans="1:10" ht="12.75">
      <c r="A2487" s="2" t="s">
        <v>3403</v>
      </c>
      <c r="B2487" s="2" t="s">
        <v>3404</v>
      </c>
      <c r="C2487" s="2" t="s">
        <v>24</v>
      </c>
      <c r="D2487" s="2" t="s">
        <v>3405</v>
      </c>
      <c r="E2487" s="2" t="s">
        <v>704</v>
      </c>
      <c r="F2487" s="11" t="s">
        <v>3775</v>
      </c>
      <c r="G2487" t="s">
        <v>37</v>
      </c>
      <c r="H2487" t="s">
        <v>3776</v>
      </c>
      <c r="I2487" t="s">
        <v>3436</v>
      </c>
      <c r="J2487" s="6" t="str">
        <f>HYPERLINK("https://www.biovista.com/db/link/%5B%5B%22Disease%7Cpyridoxine%20dependent%20epilepsy%22%5D,%20%5B%22Pathway%7Cpolyamine%20biosynthetic%20process%22%5D%5D?strength-weight-map=%257B%2522MEDLINE_STRENGTH_AB%2522:1.0,%2522HPO%2522:100.0%257D", "Show Evidence...")</f>
        <v>Show Evidence...</v>
      </c>
    </row>
    <row r="2488" spans="1:10" ht="12.75">
      <c r="A2488" s="2" t="s">
        <v>3403</v>
      </c>
      <c r="B2488" s="2" t="s">
        <v>3404</v>
      </c>
      <c r="C2488" s="2" t="s">
        <v>24</v>
      </c>
      <c r="D2488" s="2" t="s">
        <v>3405</v>
      </c>
      <c r="E2488" s="2" t="s">
        <v>704</v>
      </c>
      <c r="F2488" s="11" t="s">
        <v>1534</v>
      </c>
      <c r="G2488" t="s">
        <v>37</v>
      </c>
      <c r="H2488" t="s">
        <v>1535</v>
      </c>
      <c r="I2488" t="s">
        <v>3436</v>
      </c>
      <c r="J2488" s="6" t="str">
        <f>HYPERLINK("https://www.biovista.com/db/link/%5B%5B%22Disease%7Cpyridoxine%20dependent%20epilepsy%22%5D,%20%5B%22Pathway%7Cpost-translational%20protein%20modification%22%5D%5D?strength-weight-map=%257B%2522MEDLINE_STRENGTH_AB%2522:1.0,%2522HPO%2522:100.0%257D", "Show Evidence...")</f>
        <v>Show Evidence...</v>
      </c>
    </row>
    <row r="2489" spans="1:10" ht="12.75">
      <c r="A2489" s="2" t="s">
        <v>3403</v>
      </c>
      <c r="B2489" s="2" t="s">
        <v>3404</v>
      </c>
      <c r="C2489" s="2" t="s">
        <v>24</v>
      </c>
      <c r="D2489" s="2" t="s">
        <v>3405</v>
      </c>
      <c r="E2489" s="2" t="s">
        <v>704</v>
      </c>
      <c r="F2489" s="11" t="s">
        <v>3777</v>
      </c>
      <c r="G2489" t="s">
        <v>37</v>
      </c>
      <c r="H2489" t="s">
        <v>3778</v>
      </c>
      <c r="I2489" t="s">
        <v>3436</v>
      </c>
      <c r="J2489" s="6" t="str">
        <f>HYPERLINK("https://www.biovista.com/db/link/%5B%5B%22Disease%7Cpyridoxine%20dependent%20epilepsy%22%5D,%20%5B%22Pathway%7Cpyridoxine%20metabolic%20process%22%5D%5D?strength-weight-map=%257B%2522MEDLINE_STRENGTH_AB%2522:1.0,%2522HPO%2522:100.0%257D", "Show Evidence...")</f>
        <v>Show Evidence...</v>
      </c>
    </row>
    <row r="2490" spans="1:10" ht="12.75">
      <c r="A2490" s="2" t="s">
        <v>3403</v>
      </c>
      <c r="B2490" s="2" t="s">
        <v>3404</v>
      </c>
      <c r="C2490" s="2" t="s">
        <v>24</v>
      </c>
      <c r="D2490" s="2" t="s">
        <v>3405</v>
      </c>
      <c r="E2490" s="2" t="s">
        <v>704</v>
      </c>
      <c r="F2490" s="11" t="s">
        <v>3779</v>
      </c>
      <c r="G2490" t="s">
        <v>37</v>
      </c>
      <c r="H2490" t="s">
        <v>3780</v>
      </c>
      <c r="I2490" t="s">
        <v>3436</v>
      </c>
      <c r="J2490" s="6" t="str">
        <f>HYPERLINK("https://www.biovista.com/db/link/%5B%5B%22Disease%7Cpyridoxine%20dependent%20epilepsy%22%5D,%20%5B%22Pathway%7Cpyridoxine%20transport%22%5D%5D?strength-weight-map=%257B%2522MEDLINE_STRENGTH_AB%2522:1.0,%2522HPO%2522:100.0%257D", "Show Evidence...")</f>
        <v>Show Evidence...</v>
      </c>
    </row>
    <row r="2491" spans="1:10" ht="12.75">
      <c r="A2491" s="2" t="s">
        <v>3403</v>
      </c>
      <c r="B2491" s="2" t="s">
        <v>3404</v>
      </c>
      <c r="C2491" s="2" t="s">
        <v>24</v>
      </c>
      <c r="D2491" s="2" t="s">
        <v>3405</v>
      </c>
      <c r="E2491" s="2" t="s">
        <v>704</v>
      </c>
      <c r="F2491" s="11" t="s">
        <v>830</v>
      </c>
      <c r="G2491" t="s">
        <v>37</v>
      </c>
      <c r="H2491" t="s">
        <v>831</v>
      </c>
      <c r="I2491" t="s">
        <v>3436</v>
      </c>
      <c r="J2491" s="6" t="str">
        <f>HYPERLINK("https://www.biovista.com/db/link/%5B%5B%22Disease%7Cpyridoxine%20dependent%20epilepsy%22%5D,%20%5B%22Pathway%7Cresponse%20to%20xenobiotic%20stimulus%22%5D%5D?strength-weight-map=%257B%2522MEDLINE_STRENGTH_AB%2522:1.0,%2522HPO%2522:100.0%257D", "Show Evidence...")</f>
        <v>Show Evidence...</v>
      </c>
    </row>
    <row r="2492" spans="1:10" ht="12.75">
      <c r="A2492" s="2" t="s">
        <v>3403</v>
      </c>
      <c r="B2492" s="2" t="s">
        <v>3404</v>
      </c>
      <c r="C2492" s="2" t="s">
        <v>24</v>
      </c>
      <c r="D2492" s="2" t="s">
        <v>3405</v>
      </c>
      <c r="E2492" s="2" t="s">
        <v>704</v>
      </c>
      <c r="F2492" s="11" t="s">
        <v>2366</v>
      </c>
      <c r="G2492" t="s">
        <v>37</v>
      </c>
      <c r="H2492" t="s">
        <v>2367</v>
      </c>
      <c r="I2492" t="s">
        <v>3436</v>
      </c>
      <c r="J2492" s="6" t="s">
        <v>3781</v>
      </c>
    </row>
    <row r="2493" spans="1:10" ht="12.75">
      <c r="A2493" s="2" t="s">
        <v>3403</v>
      </c>
      <c r="B2493" s="2" t="s">
        <v>3404</v>
      </c>
      <c r="C2493" s="2" t="s">
        <v>24</v>
      </c>
      <c r="D2493" s="2" t="s">
        <v>3405</v>
      </c>
      <c r="E2493" s="2" t="s">
        <v>704</v>
      </c>
      <c r="F2493" s="11" t="s">
        <v>1804</v>
      </c>
      <c r="G2493" t="s">
        <v>37</v>
      </c>
      <c r="H2493" t="s">
        <v>1805</v>
      </c>
      <c r="I2493" t="s">
        <v>3436</v>
      </c>
      <c r="J2493" s="6" t="str">
        <f>HYPERLINK("https://www.biovista.com/db/link/%5B%5B%22Disease%7Cpyridoxine%20dependent%20epilepsy%22%5D,%20%5B%22Pathway%7Cserotonin%20biosynthetic%20process%22%5D%5D?strength-weight-map=%257B%2522MEDLINE_STRENGTH_AB%2522:1.0,%2522HPO%2522:100.0%257D", "Show Evidence...")</f>
        <v>Show Evidence...</v>
      </c>
    </row>
    <row r="2494" spans="1:10" ht="12.75">
      <c r="A2494" s="2" t="s">
        <v>3403</v>
      </c>
      <c r="B2494" s="2" t="s">
        <v>3404</v>
      </c>
      <c r="C2494" s="2" t="s">
        <v>24</v>
      </c>
      <c r="D2494" s="2" t="s">
        <v>3405</v>
      </c>
      <c r="E2494" s="2" t="s">
        <v>704</v>
      </c>
      <c r="F2494" s="11" t="s">
        <v>1822</v>
      </c>
      <c r="G2494" t="s">
        <v>37</v>
      </c>
      <c r="H2494" t="s">
        <v>1823</v>
      </c>
      <c r="I2494" t="s">
        <v>3436</v>
      </c>
      <c r="J2494" s="6" t="str">
        <f>HYPERLINK("https://www.biovista.com/db/link/%5B%5B%22Disease%7Cpyridoxine%20dependent%20epilepsy%22%5D,%20%5B%22Pathway%7Ctetrahydrobiopterin%20biosynthetic%20process%22%5D%5D?strength-weight-map=%257B%2522MEDLINE_STRENGTH_AB%2522:1.0,%2522HPO%2522:100.0%257D", "Show Evidence...")</f>
        <v>Show Evidence...</v>
      </c>
    </row>
    <row r="2495" spans="1:10" ht="12.75">
      <c r="A2495" s="2" t="s">
        <v>3403</v>
      </c>
      <c r="B2495" s="2" t="s">
        <v>3404</v>
      </c>
      <c r="C2495" s="2" t="s">
        <v>24</v>
      </c>
      <c r="D2495" s="2" t="s">
        <v>3405</v>
      </c>
      <c r="E2495" s="2" t="s">
        <v>704</v>
      </c>
      <c r="F2495" s="11" t="s">
        <v>3782</v>
      </c>
      <c r="G2495" t="s">
        <v>37</v>
      </c>
      <c r="H2495" t="s">
        <v>3783</v>
      </c>
      <c r="I2495" t="s">
        <v>3436</v>
      </c>
      <c r="J2495" s="6" t="str">
        <f>HYPERLINK("https://www.biovista.com/db/link/%5B%5B%22Disease%7Cpyridoxine%20dependent%20epilepsy%22%5D,%20%5B%22Pathway%7Cthreonine%20catabolic%20process%22%5D%5D?strength-weight-map=%257B%2522MEDLINE_STRENGTH_AB%2522:1.0,%2522HPO%2522:100.0%257D", "Show Evidence...")</f>
        <v>Show Evidence...</v>
      </c>
    </row>
    <row r="2496" spans="1:10" ht="12.75">
      <c r="A2496" s="2" t="s">
        <v>3403</v>
      </c>
      <c r="B2496" s="2" t="s">
        <v>3404</v>
      </c>
      <c r="C2496" s="2" t="s">
        <v>24</v>
      </c>
      <c r="D2496" s="2" t="s">
        <v>3405</v>
      </c>
      <c r="E2496" s="2" t="s">
        <v>704</v>
      </c>
      <c r="F2496" s="11" t="s">
        <v>723</v>
      </c>
      <c r="G2496" t="s">
        <v>37</v>
      </c>
      <c r="H2496" t="s">
        <v>724</v>
      </c>
      <c r="I2496" t="s">
        <v>3436</v>
      </c>
      <c r="J2496" s="6" t="str">
        <f>HYPERLINK("https://www.biovista.com/db/link/%5B%5B%22Disease%7Cpyridoxine%20dependent%20epilepsy%22%5D,%20%5B%22Pathway%7Ctranslation%22%5D%5D?strength-weight-map=%257B%2522MEDLINE_STRENGTH_AB%2522:1.0,%2522HPO%2522:100.0%257D", "Show Evidence...")</f>
        <v>Show Evidence...</v>
      </c>
    </row>
    <row r="2497" spans="1:10" ht="12.75">
      <c r="A2497" s="2" t="s">
        <v>3403</v>
      </c>
      <c r="B2497" s="2" t="s">
        <v>3404</v>
      </c>
      <c r="C2497" s="2" t="s">
        <v>24</v>
      </c>
      <c r="D2497" s="2" t="s">
        <v>3405</v>
      </c>
      <c r="E2497" s="2" t="s">
        <v>704</v>
      </c>
      <c r="F2497" s="11" t="s">
        <v>1493</v>
      </c>
      <c r="G2497" t="s">
        <v>37</v>
      </c>
      <c r="H2497" t="s">
        <v>1494</v>
      </c>
      <c r="I2497" t="s">
        <v>3436</v>
      </c>
      <c r="J2497" s="6" t="str">
        <f>HYPERLINK("https://www.biovista.com/db/link/%5B%5B%22Disease%7Cpyridoxine%20dependent%20epilepsy%22%5D,%20%5B%22Pathway%7Ctryptophan%20catabolic%20process%22%5D%5D?strength-weight-map=%257B%2522MEDLINE_STRENGTH_AB%2522:1.0,%2522HPO%2522:100.0%257D", "Show Evidence...")</f>
        <v>Show Evidence...</v>
      </c>
    </row>
    <row r="2498" spans="1:10" ht="12.75">
      <c r="A2498" s="2" t="s">
        <v>3403</v>
      </c>
      <c r="B2498" s="2" t="s">
        <v>3404</v>
      </c>
      <c r="C2498" s="2" t="s">
        <v>24</v>
      </c>
      <c r="D2498" s="2" t="s">
        <v>3405</v>
      </c>
      <c r="E2498" s="2" t="s">
        <v>704</v>
      </c>
      <c r="F2498" s="11" t="s">
        <v>1474</v>
      </c>
      <c r="G2498" t="s">
        <v>37</v>
      </c>
      <c r="H2498" t="s">
        <v>1475</v>
      </c>
      <c r="I2498" t="s">
        <v>3436</v>
      </c>
      <c r="J2498" s="6" t="str">
        <f>HYPERLINK("https://www.biovista.com/db/link/%5B%5B%22Disease%7Cpyridoxine%20dependent%20epilepsy%22%5D,%20%5B%22Pathway%7Ctryptophan%20metabolic%20process%22%5D%5D?strength-weight-map=%257B%2522MEDLINE_STRENGTH_AB%2522:1.0,%2522HPO%2522:100.0%257D", "Show Evidence...")</f>
        <v>Show Evidence...</v>
      </c>
    </row>
    <row r="2499" spans="1:10" ht="12.75">
      <c r="A2499" s="2" t="s">
        <v>3403</v>
      </c>
      <c r="B2499" s="2" t="s">
        <v>3404</v>
      </c>
      <c r="C2499" s="2" t="s">
        <v>24</v>
      </c>
      <c r="D2499" s="2" t="s">
        <v>3405</v>
      </c>
      <c r="E2499" s="2" t="s">
        <v>704</v>
      </c>
      <c r="F2499" s="11" t="s">
        <v>1518</v>
      </c>
      <c r="G2499" t="s">
        <v>37</v>
      </c>
      <c r="H2499" t="s">
        <v>1519</v>
      </c>
      <c r="I2499" t="s">
        <v>3436</v>
      </c>
      <c r="J2499" s="6" t="str">
        <f>HYPERLINK("https://www.biovista.com/db/link/%5B%5B%22Disease%7Cpyridoxine%20dependent%20epilepsy%22%5D,%20%5B%22Pathway%7Curea%20cycle%22%5D%5D?strength-weight-map=%257B%2522MEDLINE_STRENGTH_AB%2522:1.0,%2522HPO%2522:100.0%257D", "Show Evidence...")</f>
        <v>Show Evidence...</v>
      </c>
    </row>
    <row r="2500" spans="1:10" ht="12.75">
      <c r="A2500" s="2" t="s">
        <v>3403</v>
      </c>
      <c r="B2500" s="2" t="s">
        <v>3404</v>
      </c>
      <c r="C2500" s="2" t="s">
        <v>24</v>
      </c>
      <c r="D2500" s="2" t="s">
        <v>3405</v>
      </c>
      <c r="E2500" s="2" t="s">
        <v>704</v>
      </c>
      <c r="F2500" s="11" t="s">
        <v>3784</v>
      </c>
      <c r="G2500" t="s">
        <v>37</v>
      </c>
      <c r="H2500" t="s">
        <v>3785</v>
      </c>
      <c r="I2500" t="s">
        <v>3436</v>
      </c>
      <c r="J2500" s="6" t="str">
        <f>HYPERLINK("https://www.biovista.com/db/link/%5B%5B%22Disease%7Cpyridoxine%20dependent%20epilepsy%22%5D,%20%5B%22Pathway%7Cxenobiotic%20metabolic%20process%22%5D%5D?strength-weight-map=%257B%2522MEDLINE_STRENGTH_AB%2522:1.0,%2522HPO%2522:100.0%257D", "Show Evidence...")</f>
        <v>Show Evidence...</v>
      </c>
    </row>
    <row r="2501" spans="1:10" ht="12.75">
      <c r="A2501" s="2" t="s">
        <v>50</v>
      </c>
      <c r="B2501" s="2" t="s">
        <v>3786</v>
      </c>
      <c r="C2501" s="2" t="s">
        <v>24</v>
      </c>
      <c r="D2501" s="2" t="s">
        <v>3787</v>
      </c>
      <c r="E2501" s="2" t="s">
        <v>53</v>
      </c>
      <c r="F2501" s="11" t="s">
        <v>1095</v>
      </c>
      <c r="G2501" t="s">
        <v>39</v>
      </c>
      <c r="H2501" t="s">
        <v>1096</v>
      </c>
      <c r="I2501" t="s">
        <v>3788</v>
      </c>
      <c r="J2501" s="6" t="str">
        <f>HYPERLINK("https://www.biovista.com/db/link/%5B%5B%22Disease%7CSpinocerebellar%20Ataxia%20Type%203%22%5D,%20%5B%22Drug%7CLevodopa%22%5D%5D?strength-weight-map=%257B%2522MEDLINE_STRENGTH_AB%2522:1.0,%2522HPO%2522:100.0%257D", "Show Evidence...")</f>
        <v>Show Evidence...</v>
      </c>
    </row>
    <row r="2502" spans="1:10" ht="12.75">
      <c r="A2502" s="2" t="s">
        <v>50</v>
      </c>
      <c r="B2502" s="2" t="s">
        <v>3786</v>
      </c>
      <c r="C2502" s="2" t="s">
        <v>24</v>
      </c>
      <c r="D2502" s="2" t="s">
        <v>3787</v>
      </c>
      <c r="E2502" s="2" t="s">
        <v>53</v>
      </c>
      <c r="F2502" s="11" t="s">
        <v>81</v>
      </c>
      <c r="G2502" t="s">
        <v>39</v>
      </c>
      <c r="H2502" t="s">
        <v>82</v>
      </c>
      <c r="I2502" t="s">
        <v>3789</v>
      </c>
      <c r="J2502" s="6" t="str">
        <f>HYPERLINK("https://www.biovista.com/db/link/%5B%5B%22Disease%7CSpinocerebellar%20Ataxia%20Type%203%22%5D,%20%5B%22Drug%7CDopamine%22%5D%5D?strength-weight-map=%257B%2522MEDLINE_STRENGTH_AB%2522:1.0,%2522HPO%2522:100.0%257D", "Show Evidence...")</f>
        <v>Show Evidence...</v>
      </c>
    </row>
    <row r="2503" spans="1:10" ht="12.75">
      <c r="A2503" s="2" t="s">
        <v>50</v>
      </c>
      <c r="B2503" s="2" t="s">
        <v>3786</v>
      </c>
      <c r="C2503" s="2" t="s">
        <v>24</v>
      </c>
      <c r="D2503" s="2" t="s">
        <v>3787</v>
      </c>
      <c r="E2503" s="2" t="s">
        <v>53</v>
      </c>
      <c r="F2503" s="11" t="s">
        <v>155</v>
      </c>
      <c r="G2503" t="s">
        <v>39</v>
      </c>
      <c r="H2503" t="s">
        <v>156</v>
      </c>
      <c r="I2503" t="s">
        <v>3790</v>
      </c>
      <c r="J2503" s="6" t="str">
        <f>HYPERLINK("https://www.biovista.com/db/link/%5B%5B%22Disease%7CSpinocerebellar%20Ataxia%20Type%203%22%5D,%20%5B%22Drug%7CCholine%22%5D%5D?strength-weight-map=%257B%2522MEDLINE_STRENGTH_AB%2522:1.0,%2522HPO%2522:100.0%257D", "Show Evidence...")</f>
        <v>Show Evidence...</v>
      </c>
    </row>
    <row r="2504" spans="1:10" ht="12.75">
      <c r="A2504" s="2" t="s">
        <v>50</v>
      </c>
      <c r="B2504" s="2" t="s">
        <v>3786</v>
      </c>
      <c r="C2504" s="2" t="s">
        <v>24</v>
      </c>
      <c r="D2504" s="2" t="s">
        <v>3787</v>
      </c>
      <c r="E2504" s="2" t="s">
        <v>53</v>
      </c>
      <c r="F2504" s="11" t="s">
        <v>261</v>
      </c>
      <c r="G2504" t="s">
        <v>39</v>
      </c>
      <c r="H2504" t="s">
        <v>262</v>
      </c>
      <c r="I2504" t="s">
        <v>3790</v>
      </c>
      <c r="J2504" s="6" t="str">
        <f>HYPERLINK("https://www.biovista.com/db/link/%5B%5B%22Disease%7CSpinocerebellar%20Ataxia%20Type%203%22%5D,%20%5B%22Drug%7CSirolimus%22%5D%5D?strength-weight-map=%257B%2522MEDLINE_STRENGTH_AB%2522:1.0,%2522HPO%2522:100.0%257D", "Show Evidence...")</f>
        <v>Show Evidence...</v>
      </c>
    </row>
    <row r="2505" spans="1:10" ht="12.75">
      <c r="A2505" s="2" t="s">
        <v>50</v>
      </c>
      <c r="B2505" s="2" t="s">
        <v>3786</v>
      </c>
      <c r="C2505" s="2" t="s">
        <v>24</v>
      </c>
      <c r="D2505" s="2" t="s">
        <v>3787</v>
      </c>
      <c r="E2505" s="2" t="s">
        <v>53</v>
      </c>
      <c r="F2505" s="11" t="s">
        <v>72</v>
      </c>
      <c r="G2505" t="s">
        <v>39</v>
      </c>
      <c r="H2505" t="s">
        <v>73</v>
      </c>
      <c r="I2505" t="s">
        <v>3791</v>
      </c>
      <c r="J2505" s="6" t="str">
        <f>HYPERLINK("https://www.biovista.com/db/link/%5B%5B%22Disease%7CSpinocerebellar%20Ataxia%20Type%203%22%5D,%20%5B%22Drug%7CSerotonin%22%5D%5D?strength-weight-map=%257B%2522MEDLINE_STRENGTH_AB%2522:1.0,%2522HPO%2522:100.0%257D", "Show Evidence...")</f>
        <v>Show Evidence...</v>
      </c>
    </row>
    <row r="2506" spans="1:10" ht="12.75">
      <c r="A2506" s="2" t="s">
        <v>50</v>
      </c>
      <c r="B2506" s="2" t="s">
        <v>3786</v>
      </c>
      <c r="C2506" s="2" t="s">
        <v>24</v>
      </c>
      <c r="D2506" s="2" t="s">
        <v>3787</v>
      </c>
      <c r="E2506" s="2" t="s">
        <v>53</v>
      </c>
      <c r="F2506" s="11" t="s">
        <v>3792</v>
      </c>
      <c r="G2506" t="s">
        <v>39</v>
      </c>
      <c r="H2506" t="s">
        <v>3793</v>
      </c>
      <c r="I2506" t="s">
        <v>3791</v>
      </c>
      <c r="J2506" s="6" t="s">
        <v>3794</v>
      </c>
    </row>
    <row r="2507" spans="1:10" ht="12.75">
      <c r="A2507" s="2" t="s">
        <v>50</v>
      </c>
      <c r="B2507" s="2" t="s">
        <v>3786</v>
      </c>
      <c r="C2507" s="2" t="s">
        <v>24</v>
      </c>
      <c r="D2507" s="2" t="s">
        <v>3787</v>
      </c>
      <c r="E2507" s="2" t="s">
        <v>53</v>
      </c>
      <c r="F2507" s="11" t="s">
        <v>1007</v>
      </c>
      <c r="G2507" t="s">
        <v>39</v>
      </c>
      <c r="H2507" t="s">
        <v>1008</v>
      </c>
      <c r="I2507" t="s">
        <v>3791</v>
      </c>
      <c r="J2507" s="6" t="str">
        <f>HYPERLINK("https://www.biovista.com/db/link/%5B%5B%22Disease%7CSpinocerebellar%20Ataxia%20Type%203%22%5D,%20%5B%22Drug%7CValproic%20Acid%22%5D%5D?strength-weight-map=%257B%2522MEDLINE_STRENGTH_AB%2522:1.0,%2522HPO%2522:100.0%257D", "Show Evidence...")</f>
        <v>Show Evidence...</v>
      </c>
    </row>
    <row r="2508" spans="1:10" ht="12.75">
      <c r="A2508" s="2" t="s">
        <v>50</v>
      </c>
      <c r="B2508" s="2" t="s">
        <v>3786</v>
      </c>
      <c r="C2508" s="2" t="s">
        <v>24</v>
      </c>
      <c r="D2508" s="2" t="s">
        <v>3787</v>
      </c>
      <c r="E2508" s="2" t="s">
        <v>53</v>
      </c>
      <c r="F2508" s="11" t="s">
        <v>226</v>
      </c>
      <c r="G2508" t="s">
        <v>39</v>
      </c>
      <c r="H2508" t="s">
        <v>227</v>
      </c>
      <c r="I2508" t="s">
        <v>3795</v>
      </c>
      <c r="J2508" s="6" t="str">
        <f>HYPERLINK("https://www.biovista.com/db/link/%5B%5B%22Disease%7CSpinocerebellar%20Ataxia%20Type%203%22%5D,%20%5B%22Drug%7CFluorodeoxyglucose%20F18%22%5D%5D?strength-weight-map=%257B%2522MEDLINE_STRENGTH_AB%2522:1.0,%2522HPO%2522:100.0%257D", "Show Evidence...")</f>
        <v>Show Evidence...</v>
      </c>
    </row>
    <row r="2509" spans="1:10" ht="12.75">
      <c r="A2509" s="2" t="s">
        <v>50</v>
      </c>
      <c r="B2509" s="2" t="s">
        <v>3786</v>
      </c>
      <c r="C2509" s="2" t="s">
        <v>24</v>
      </c>
      <c r="D2509" s="2" t="s">
        <v>3787</v>
      </c>
      <c r="E2509" s="2" t="s">
        <v>53</v>
      </c>
      <c r="F2509" s="11" t="s">
        <v>3796</v>
      </c>
      <c r="G2509" t="s">
        <v>39</v>
      </c>
      <c r="H2509" t="s">
        <v>3797</v>
      </c>
      <c r="I2509" t="s">
        <v>3795</v>
      </c>
      <c r="J2509" s="6" t="str">
        <f>HYPERLINK("https://www.biovista.com/db/link/%5B%5B%22Disease%7CSpinocerebellar%20Ataxia%20Type%203%22%5D,%20%5B%22Drug%7Ctechnetium%20Tc%2099m%20TRODAT-1%22%5D%5D?strength-weight-map=%257B%2522MEDLINE_STRENGTH_AB%2522:1.0,%2522HPO%2522:100.0%257D", "Show Evidence...")</f>
        <v>Show Evidence...</v>
      </c>
    </row>
    <row r="2510" spans="1:10" ht="12.75">
      <c r="A2510" s="2" t="s">
        <v>50</v>
      </c>
      <c r="B2510" s="2" t="s">
        <v>3786</v>
      </c>
      <c r="C2510" s="2" t="s">
        <v>24</v>
      </c>
      <c r="D2510" s="2" t="s">
        <v>3787</v>
      </c>
      <c r="E2510" s="2" t="s">
        <v>53</v>
      </c>
      <c r="F2510" s="11" t="s">
        <v>152</v>
      </c>
      <c r="G2510" t="s">
        <v>39</v>
      </c>
      <c r="H2510" t="s">
        <v>153</v>
      </c>
      <c r="I2510" t="s">
        <v>3795</v>
      </c>
      <c r="J2510" s="6" t="str">
        <f>HYPERLINK("https://www.biovista.com/db/link/%5B%5B%22Disease%7CSpinocerebellar%20Ataxia%20Type%203%22%5D,%20%5B%22Drug%7CTryptophan%22%5D%5D?strength-weight-map=%257B%2522MEDLINE_STRENGTH_AB%2522:1.0,%2522HPO%2522:100.0%257D", "Show Evidence...")</f>
        <v>Show Evidence...</v>
      </c>
    </row>
    <row r="2511" spans="1:10" ht="12.75">
      <c r="A2511" s="2" t="s">
        <v>50</v>
      </c>
      <c r="B2511" s="2" t="s">
        <v>3786</v>
      </c>
      <c r="C2511" s="2" t="s">
        <v>24</v>
      </c>
      <c r="D2511" s="2" t="s">
        <v>3787</v>
      </c>
      <c r="E2511" s="2" t="s">
        <v>53</v>
      </c>
      <c r="F2511" s="11" t="s">
        <v>3798</v>
      </c>
      <c r="G2511" t="s">
        <v>39</v>
      </c>
      <c r="H2511" t="s">
        <v>3799</v>
      </c>
      <c r="I2511" t="s">
        <v>3795</v>
      </c>
      <c r="J2511" s="6" t="str">
        <f>HYPERLINK("https://www.biovista.com/db/link/%5B%5B%22Disease%7CSpinocerebellar%20Ataxia%20Type%203%22%5D,%20%5B%22Drug%7CVarenicline%22%5D%5D?strength-weight-map=%257B%2522MEDLINE_STRENGTH_AB%2522:1.0,%2522HPO%2522:100.0%257D", "Show Evidence...")</f>
        <v>Show Evidence...</v>
      </c>
    </row>
    <row r="2512" spans="1:10" ht="12.75">
      <c r="A2512" s="2" t="s">
        <v>50</v>
      </c>
      <c r="B2512" s="2" t="s">
        <v>3786</v>
      </c>
      <c r="C2512" s="2" t="s">
        <v>24</v>
      </c>
      <c r="D2512" s="2" t="s">
        <v>3787</v>
      </c>
      <c r="E2512" s="2" t="s">
        <v>53</v>
      </c>
      <c r="F2512" s="11" t="s">
        <v>3800</v>
      </c>
      <c r="G2512" t="s">
        <v>39</v>
      </c>
      <c r="H2512" t="s">
        <v>3801</v>
      </c>
      <c r="I2512" t="s">
        <v>3802</v>
      </c>
      <c r="J2512" s="6" t="str">
        <f>HYPERLINK("https://www.biovista.com/db/link/%5B%5B%22Disease%7CSpinocerebellar%20Ataxia%20Type%203%22%5D,%20%5B%22Drug%7Ccalpain%20inhibitors%22%5D%5D?strength-weight-map=%257B%2522MEDLINE_STRENGTH_AB%2522:1.0,%2522HPO%2522:100.0%257D", "Show Evidence...")</f>
        <v>Show Evidence...</v>
      </c>
    </row>
    <row r="2513" spans="1:10" ht="12.75">
      <c r="A2513" s="2" t="s">
        <v>50</v>
      </c>
      <c r="B2513" s="2" t="s">
        <v>3786</v>
      </c>
      <c r="C2513" s="2" t="s">
        <v>24</v>
      </c>
      <c r="D2513" s="2" t="s">
        <v>3787</v>
      </c>
      <c r="E2513" s="2" t="s">
        <v>53</v>
      </c>
      <c r="F2513" s="11" t="s">
        <v>99</v>
      </c>
      <c r="G2513" t="s">
        <v>39</v>
      </c>
      <c r="H2513" t="s">
        <v>100</v>
      </c>
      <c r="I2513" t="s">
        <v>3802</v>
      </c>
      <c r="J2513" s="6" t="str">
        <f>HYPERLINK("https://www.biovista.com/db/link/%5B%5B%22Disease%7CSpinocerebellar%20Ataxia%20Type%203%22%5D,%20%5B%22Drug%7Cgamma-Aminobutyric%20Acid%22%5D%5D?strength-weight-map=%257B%2522MEDLINE_STRENGTH_AB%2522:1.0,%2522HPO%2522:100.0%257D", "Show Evidence...")</f>
        <v>Show Evidence...</v>
      </c>
    </row>
    <row r="2514" spans="1:10" ht="12.75">
      <c r="A2514" s="2" t="s">
        <v>50</v>
      </c>
      <c r="B2514" s="2" t="s">
        <v>3786</v>
      </c>
      <c r="C2514" s="2" t="s">
        <v>24</v>
      </c>
      <c r="D2514" s="2" t="s">
        <v>3787</v>
      </c>
      <c r="E2514" s="2" t="s">
        <v>53</v>
      </c>
      <c r="F2514" s="11" t="s">
        <v>90</v>
      </c>
      <c r="G2514" t="s">
        <v>39</v>
      </c>
      <c r="H2514" t="s">
        <v>91</v>
      </c>
      <c r="I2514" t="s">
        <v>3802</v>
      </c>
      <c r="J2514" s="6" t="str">
        <f>HYPERLINK("https://www.biovista.com/db/link/%5B%5B%22Disease%7CSpinocerebellar%20Ataxia%20Type%203%22%5D,%20%5B%22Drug%7CSuperoxide%20Dismutase%22%5D%5D?strength-weight-map=%257B%2522MEDLINE_STRENGTH_AB%2522:1.0,%2522HPO%2522:100.0%257D", "Show Evidence...")</f>
        <v>Show Evidence...</v>
      </c>
    </row>
    <row r="2515" spans="1:10" ht="12.75">
      <c r="A2515" s="2" t="s">
        <v>50</v>
      </c>
      <c r="B2515" s="2" t="s">
        <v>3786</v>
      </c>
      <c r="C2515" s="2" t="s">
        <v>24</v>
      </c>
      <c r="D2515" s="2" t="s">
        <v>3787</v>
      </c>
      <c r="E2515" s="2" t="s">
        <v>53</v>
      </c>
      <c r="F2515" s="11" t="s">
        <v>3803</v>
      </c>
      <c r="G2515" t="s">
        <v>39</v>
      </c>
      <c r="H2515" t="s">
        <v>3804</v>
      </c>
      <c r="I2515" t="s">
        <v>3802</v>
      </c>
      <c r="J2515" s="6" t="str">
        <f>HYPERLINK("https://www.biovista.com/db/link/%5B%5B%22Disease%7CSpinocerebellar%20Ataxia%20Type%203%22%5D,%20%5B%22Drug%7Ctandospirone%22%5D%5D?strength-weight-map=%257B%2522MEDLINE_STRENGTH_AB%2522:1.0,%2522HPO%2522:100.0%257D", "Show Evidence...")</f>
        <v>Show Evidence...</v>
      </c>
    </row>
    <row r="2516" spans="1:10" ht="12.75">
      <c r="A2516" s="2" t="s">
        <v>50</v>
      </c>
      <c r="B2516" s="2" t="s">
        <v>3786</v>
      </c>
      <c r="C2516" s="2" t="s">
        <v>24</v>
      </c>
      <c r="D2516" s="2" t="s">
        <v>3787</v>
      </c>
      <c r="E2516" s="2" t="s">
        <v>53</v>
      </c>
      <c r="F2516" s="11" t="s">
        <v>2472</v>
      </c>
      <c r="G2516" t="s">
        <v>39</v>
      </c>
      <c r="H2516" t="s">
        <v>2473</v>
      </c>
      <c r="I2516" t="s">
        <v>3805</v>
      </c>
      <c r="J2516" s="6" t="str">
        <f>HYPERLINK("https://www.biovista.com/db/link/%5B%5B%22Disease%7CSpinocerebellar%20Ataxia%20Type%203%22%5D,%20%5B%22Drug%7CCaffeine%22%5D%5D?strength-weight-map=%257B%2522MEDLINE_STRENGTH_AB%2522:1.0,%2522HPO%2522:100.0%257D", "Show Evidence...")</f>
        <v>Show Evidence...</v>
      </c>
    </row>
    <row r="2517" spans="1:10" ht="12.75">
      <c r="A2517" s="2" t="s">
        <v>50</v>
      </c>
      <c r="B2517" s="2" t="s">
        <v>3786</v>
      </c>
      <c r="C2517" s="2" t="s">
        <v>24</v>
      </c>
      <c r="D2517" s="2" t="s">
        <v>3787</v>
      </c>
      <c r="E2517" s="2" t="s">
        <v>53</v>
      </c>
      <c r="F2517" s="11" t="s">
        <v>3806</v>
      </c>
      <c r="G2517" t="s">
        <v>39</v>
      </c>
      <c r="H2517" t="s">
        <v>3807</v>
      </c>
      <c r="I2517" t="s">
        <v>3805</v>
      </c>
      <c r="J2517" s="6" t="str">
        <f>HYPERLINK("https://www.biovista.com/db/link/%5B%5B%22Disease%7CSpinocerebellar%20Ataxia%20Type%203%22%5D,%20%5B%22Drug%7Ccalpastatin%22%5D%5D?strength-weight-map=%257B%2522MEDLINE_STRENGTH_AB%2522:1.0,%2522HPO%2522:100.0%257D", "Show Evidence...")</f>
        <v>Show Evidence...</v>
      </c>
    </row>
    <row r="2518" spans="1:10" ht="12.75">
      <c r="A2518" s="2" t="s">
        <v>50</v>
      </c>
      <c r="B2518" s="2" t="s">
        <v>3786</v>
      </c>
      <c r="C2518" s="2" t="s">
        <v>24</v>
      </c>
      <c r="D2518" s="2" t="s">
        <v>3787</v>
      </c>
      <c r="E2518" s="2" t="s">
        <v>53</v>
      </c>
      <c r="F2518" s="11" t="s">
        <v>102</v>
      </c>
      <c r="G2518" t="s">
        <v>39</v>
      </c>
      <c r="H2518" t="s">
        <v>103</v>
      </c>
      <c r="I2518" t="s">
        <v>3805</v>
      </c>
      <c r="J2518" s="6" t="str">
        <f>HYPERLINK("https://www.biovista.com/db/link/%5B%5B%22Disease%7CSpinocerebellar%20Ataxia%20Type%203%22%5D,%20%5B%22Drug%7CCitalopram%22%5D%5D?strength-weight-map=%257B%2522MEDLINE_STRENGTH_AB%2522:1.0,%2522HPO%2522:100.0%257D", "Show Evidence...")</f>
        <v>Show Evidence...</v>
      </c>
    </row>
    <row r="2519" spans="1:10" ht="12.75">
      <c r="A2519" s="2" t="s">
        <v>50</v>
      </c>
      <c r="B2519" s="2" t="s">
        <v>3786</v>
      </c>
      <c r="C2519" s="2" t="s">
        <v>24</v>
      </c>
      <c r="D2519" s="2" t="s">
        <v>3787</v>
      </c>
      <c r="E2519" s="2" t="s">
        <v>53</v>
      </c>
      <c r="F2519" s="11" t="s">
        <v>3808</v>
      </c>
      <c r="G2519" t="s">
        <v>39</v>
      </c>
      <c r="H2519" t="s">
        <v>3809</v>
      </c>
      <c r="I2519" t="s">
        <v>3805</v>
      </c>
      <c r="J2519" s="6" t="str">
        <f>HYPERLINK("https://www.biovista.com/db/link/%5B%5B%22Disease%7CSpinocerebellar%20Ataxia%20Type%203%22%5D,%20%5B%22Drug%7CResveratrol%22%5D%5D?strength-weight-map=%257B%2522MEDLINE_STRENGTH_AB%2522:1.0,%2522HPO%2522:100.0%257D", "Show Evidence...")</f>
        <v>Show Evidence...</v>
      </c>
    </row>
    <row r="2520" spans="1:10" ht="12.75">
      <c r="A2520" s="2" t="s">
        <v>50</v>
      </c>
      <c r="B2520" s="2" t="s">
        <v>3786</v>
      </c>
      <c r="C2520" s="2" t="s">
        <v>24</v>
      </c>
      <c r="D2520" s="2" t="s">
        <v>3787</v>
      </c>
      <c r="E2520" s="2" t="s">
        <v>53</v>
      </c>
      <c r="F2520" s="11" t="s">
        <v>2988</v>
      </c>
      <c r="G2520" t="s">
        <v>39</v>
      </c>
      <c r="H2520" t="s">
        <v>2989</v>
      </c>
      <c r="I2520" t="s">
        <v>3810</v>
      </c>
      <c r="J2520" s="6" t="str">
        <f>HYPERLINK("https://www.biovista.com/db/link/%5B%5B%22Disease%7CSpinocerebellar%20Ataxia%20Type%203%22%5D,%20%5B%22Drug%7Cbenzyloxycarbonylleucyl-leucyl-leucine%20aldehyde%22%5D%5D?strength-weight-map=%257B%2522MEDLINE_STRENGTH_AB%2522:1.0,%2522HPO%2522:100.0%257D", "Show Evidence...")</f>
        <v>Show Evidence...</v>
      </c>
    </row>
    <row r="2521" spans="1:10" ht="12.75">
      <c r="A2521" s="2" t="s">
        <v>50</v>
      </c>
      <c r="B2521" s="2" t="s">
        <v>3786</v>
      </c>
      <c r="C2521" s="2" t="s">
        <v>24</v>
      </c>
      <c r="D2521" s="2" t="s">
        <v>3787</v>
      </c>
      <c r="E2521" s="2" t="s">
        <v>53</v>
      </c>
      <c r="F2521" s="11" t="s">
        <v>1020</v>
      </c>
      <c r="G2521" t="s">
        <v>39</v>
      </c>
      <c r="H2521" t="s">
        <v>1021</v>
      </c>
      <c r="I2521" t="s">
        <v>3810</v>
      </c>
      <c r="J2521" s="6" t="str">
        <f>HYPERLINK("https://www.biovista.com/db/link/%5B%5B%22Disease%7CSpinocerebellar%20Ataxia%20Type%203%22%5D,%20%5B%22Drug%7CBotulinum%20Toxins%22%5D%5D?strength-weight-map=%257B%2522MEDLINE_STRENGTH_AB%2522:1.0,%2522HPO%2522:100.0%257D", "Show Evidence...")</f>
        <v>Show Evidence...</v>
      </c>
    </row>
    <row r="2522" spans="1:10" ht="12.75">
      <c r="A2522" s="2" t="s">
        <v>50</v>
      </c>
      <c r="B2522" s="2" t="s">
        <v>3786</v>
      </c>
      <c r="C2522" s="2" t="s">
        <v>24</v>
      </c>
      <c r="D2522" s="2" t="s">
        <v>3787</v>
      </c>
      <c r="E2522" s="2" t="s">
        <v>53</v>
      </c>
      <c r="F2522" s="11" t="s">
        <v>1903</v>
      </c>
      <c r="G2522" t="s">
        <v>39</v>
      </c>
      <c r="H2522" t="s">
        <v>1904</v>
      </c>
      <c r="I2522" t="s">
        <v>3810</v>
      </c>
      <c r="J2522" s="6" t="str">
        <f>HYPERLINK("https://www.biovista.com/db/link/%5B%5B%22Disease%7CSpinocerebellar%20Ataxia%20Type%203%22%5D,%20%5B%22Drug%7CBotulinum%20Toxins,%20Type%20A%22%5D%5D?strength-weight-map=%257B%2522MEDLINE_STRENGTH_AB%2522:1.0,%2522HPO%2522:100.0%257D", "Show Evidence...")</f>
        <v>Show Evidence...</v>
      </c>
    </row>
    <row r="2523" spans="1:10" ht="12.75">
      <c r="A2523" s="2" t="s">
        <v>50</v>
      </c>
      <c r="B2523" s="2" t="s">
        <v>3786</v>
      </c>
      <c r="C2523" s="2" t="s">
        <v>24</v>
      </c>
      <c r="D2523" s="2" t="s">
        <v>3787</v>
      </c>
      <c r="E2523" s="2" t="s">
        <v>53</v>
      </c>
      <c r="F2523" s="11" t="s">
        <v>1585</v>
      </c>
      <c r="G2523" t="s">
        <v>39</v>
      </c>
      <c r="H2523" t="s">
        <v>1586</v>
      </c>
      <c r="I2523" t="s">
        <v>3810</v>
      </c>
      <c r="J2523" s="6" t="str">
        <f>HYPERLINK("https://www.biovista.com/db/link/%5B%5B%22Disease%7CSpinocerebellar%20Ataxia%20Type%203%22%5D,%20%5B%22Drug%7CCarbidopa%22%5D%5D?strength-weight-map=%257B%2522MEDLINE_STRENGTH_AB%2522:1.0,%2522HPO%2522:100.0%257D", "Show Evidence...")</f>
        <v>Show Evidence...</v>
      </c>
    </row>
    <row r="2524" spans="1:10" ht="12.75">
      <c r="A2524" s="2" t="s">
        <v>50</v>
      </c>
      <c r="B2524" s="2" t="s">
        <v>3786</v>
      </c>
      <c r="C2524" s="2" t="s">
        <v>24</v>
      </c>
      <c r="D2524" s="2" t="s">
        <v>3787</v>
      </c>
      <c r="E2524" s="2" t="s">
        <v>53</v>
      </c>
      <c r="F2524" s="11" t="s">
        <v>1836</v>
      </c>
      <c r="G2524" t="s">
        <v>39</v>
      </c>
      <c r="H2524" t="s">
        <v>1837</v>
      </c>
      <c r="I2524" t="s">
        <v>3810</v>
      </c>
      <c r="J2524" s="6" t="str">
        <f>HYPERLINK("https://www.biovista.com/db/link/%5B%5B%22Disease%7CSpinocerebellar%20Ataxia%20Type%203%22%5D,%20%5B%22Drug%7Ccoenzyme%20Q10%22%5D%5D?strength-weight-map=%257B%2522MEDLINE_STRENGTH_AB%2522:1.0,%2522HPO%2522:100.0%257D", "Show Evidence...")</f>
        <v>Show Evidence...</v>
      </c>
    </row>
    <row r="2525" spans="1:10" ht="12.75">
      <c r="A2525" s="2" t="s">
        <v>50</v>
      </c>
      <c r="B2525" s="2" t="s">
        <v>3786</v>
      </c>
      <c r="C2525" s="2" t="s">
        <v>24</v>
      </c>
      <c r="D2525" s="2" t="s">
        <v>3787</v>
      </c>
      <c r="E2525" s="2" t="s">
        <v>53</v>
      </c>
      <c r="F2525" s="11" t="s">
        <v>117</v>
      </c>
      <c r="G2525" t="s">
        <v>39</v>
      </c>
      <c r="H2525" t="s">
        <v>118</v>
      </c>
      <c r="I2525" t="s">
        <v>3810</v>
      </c>
      <c r="J2525" s="6" t="str">
        <f>HYPERLINK("https://www.biovista.com/db/link/%5B%5B%22Disease%7CSpinocerebellar%20Ataxia%20Type%203%22%5D,%20%5B%22Drug%7CHydrogen%20Peroxide%22%5D%5D?strength-weight-map=%257B%2522MEDLINE_STRENGTH_AB%2522:1.0,%2522HPO%2522:100.0%257D", "Show Evidence...")</f>
        <v>Show Evidence...</v>
      </c>
    </row>
    <row r="2526" spans="1:10" ht="12.75">
      <c r="A2526" s="2" t="s">
        <v>50</v>
      </c>
      <c r="B2526" s="2" t="s">
        <v>3786</v>
      </c>
      <c r="C2526" s="2" t="s">
        <v>24</v>
      </c>
      <c r="D2526" s="2" t="s">
        <v>3787</v>
      </c>
      <c r="E2526" s="2" t="s">
        <v>53</v>
      </c>
      <c r="F2526" s="11" t="s">
        <v>3811</v>
      </c>
      <c r="G2526" t="s">
        <v>39</v>
      </c>
      <c r="H2526" t="s">
        <v>3812</v>
      </c>
      <c r="I2526" t="s">
        <v>3810</v>
      </c>
      <c r="J2526" s="6" t="str">
        <f>HYPERLINK("https://www.biovista.com/db/link/%5B%5B%22Disease%7CSpinocerebellar%20Ataxia%20Type%203%22%5D,%20%5B%22Drug%7CLithium%20Carbonate%22%5D%5D?strength-weight-map=%257B%2522MEDLINE_STRENGTH_AB%2522:1.0,%2522HPO%2522:100.0%257D", "Show Evidence...")</f>
        <v>Show Evidence...</v>
      </c>
    </row>
    <row r="2527" spans="1:10" ht="12.75">
      <c r="A2527" s="2" t="s">
        <v>50</v>
      </c>
      <c r="B2527" s="2" t="s">
        <v>3786</v>
      </c>
      <c r="C2527" s="2" t="s">
        <v>24</v>
      </c>
      <c r="D2527" s="2" t="s">
        <v>3787</v>
      </c>
      <c r="E2527" s="2" t="s">
        <v>53</v>
      </c>
      <c r="F2527" s="11" t="s">
        <v>3813</v>
      </c>
      <c r="G2527" t="s">
        <v>39</v>
      </c>
      <c r="H2527" t="s">
        <v>3814</v>
      </c>
      <c r="I2527" t="s">
        <v>3810</v>
      </c>
      <c r="J2527" s="6" t="str">
        <f>HYPERLINK("https://www.biovista.com/db/link/%5B%5B%22Disease%7CSpinocerebellar%20Ataxia%20Type%203%22%5D,%20%5B%22Drug%7CLithium%20Chloride%22%5D%5D?strength-weight-map=%257B%2522MEDLINE_STRENGTH_AB%2522:1.0,%2522HPO%2522:100.0%257D", "Show Evidence...")</f>
        <v>Show Evidence...</v>
      </c>
    </row>
    <row r="2528" spans="1:10" ht="12.75">
      <c r="A2528" s="2" t="s">
        <v>50</v>
      </c>
      <c r="B2528" s="2" t="s">
        <v>3786</v>
      </c>
      <c r="C2528" s="2" t="s">
        <v>24</v>
      </c>
      <c r="D2528" s="2" t="s">
        <v>3787</v>
      </c>
      <c r="E2528" s="2" t="s">
        <v>53</v>
      </c>
      <c r="F2528" s="11" t="s">
        <v>3815</v>
      </c>
      <c r="G2528" t="s">
        <v>39</v>
      </c>
      <c r="H2528" t="s">
        <v>3816</v>
      </c>
      <c r="I2528" t="s">
        <v>3810</v>
      </c>
      <c r="J2528" s="6" t="str">
        <f>HYPERLINK("https://www.biovista.com/db/link/%5B%5B%22Disease%7CSpinocerebellar%20Ataxia%20Type%203%22%5D,%20%5B%22Drug%7CRiluzole%22%5D%5D?strength-weight-map=%257B%2522MEDLINE_STRENGTH_AB%2522:1.0,%2522HPO%2522:100.0%257D", "Show Evidence...")</f>
        <v>Show Evidence...</v>
      </c>
    </row>
    <row r="2529" spans="1:10" ht="12.75">
      <c r="A2529" s="2" t="s">
        <v>50</v>
      </c>
      <c r="B2529" s="2" t="s">
        <v>3786</v>
      </c>
      <c r="C2529" s="2" t="s">
        <v>24</v>
      </c>
      <c r="D2529" s="2" t="s">
        <v>3787</v>
      </c>
      <c r="E2529" s="2" t="s">
        <v>53</v>
      </c>
      <c r="F2529" s="11" t="s">
        <v>1580</v>
      </c>
      <c r="G2529" t="s">
        <v>39</v>
      </c>
      <c r="H2529" t="s">
        <v>1581</v>
      </c>
      <c r="I2529" t="s">
        <v>3810</v>
      </c>
      <c r="J2529" s="6" t="str">
        <f>HYPERLINK("https://www.biovista.com/db/link/%5B%5B%22Disease%7CSpinocerebellar%20Ataxia%20Type%203%22%5D,%20%5B%22Drug%7Csapropterin%22%5D%5D?strength-weight-map=%257B%2522MEDLINE_STRENGTH_AB%2522:1.0,%2522HPO%2522:100.0%257D", "Show Evidence...")</f>
        <v>Show Evidence...</v>
      </c>
    </row>
    <row r="2530" spans="1:10" ht="12.75">
      <c r="A2530" s="2" t="s">
        <v>50</v>
      </c>
      <c r="B2530" s="2" t="s">
        <v>3786</v>
      </c>
      <c r="C2530" s="2" t="s">
        <v>24</v>
      </c>
      <c r="D2530" s="2" t="s">
        <v>3787</v>
      </c>
      <c r="E2530" s="2" t="s">
        <v>53</v>
      </c>
      <c r="F2530" s="11" t="s">
        <v>3817</v>
      </c>
      <c r="G2530" t="s">
        <v>39</v>
      </c>
      <c r="H2530" t="s">
        <v>3818</v>
      </c>
      <c r="I2530" t="s">
        <v>3810</v>
      </c>
      <c r="J2530" s="6" t="str">
        <f>HYPERLINK("https://www.biovista.com/db/link/%5B%5B%22Disease%7CSpinocerebellar%20Ataxia%20Type%203%22%5D,%20%5B%22Drug%7Ctemsirolimus%22%5D%5D?strength-weight-map=%257B%2522MEDLINE_STRENGTH_AB%2522:1.0,%2522HPO%2522:100.0%257D", "Show Evidence...")</f>
        <v>Show Evidence...</v>
      </c>
    </row>
    <row r="2531" spans="1:10" ht="12.75">
      <c r="A2531" s="2" t="s">
        <v>50</v>
      </c>
      <c r="B2531" s="2" t="s">
        <v>3786</v>
      </c>
      <c r="C2531" s="2" t="s">
        <v>24</v>
      </c>
      <c r="D2531" s="2" t="s">
        <v>3787</v>
      </c>
      <c r="E2531" s="2" t="s">
        <v>53</v>
      </c>
      <c r="F2531" s="11" t="s">
        <v>1937</v>
      </c>
      <c r="G2531" t="s">
        <v>39</v>
      </c>
      <c r="H2531" t="s">
        <v>1938</v>
      </c>
      <c r="I2531" t="s">
        <v>3810</v>
      </c>
      <c r="J2531" s="6" t="str">
        <f>HYPERLINK("https://www.biovista.com/db/link/%5B%5B%22Disease%7CSpinocerebellar%20Ataxia%20Type%203%22%5D,%20%5B%22Drug%7CTetracycline%22%5D%5D?strength-weight-map=%257B%2522MEDLINE_STRENGTH_AB%2522:1.0,%2522HPO%2522:100.0%257D", "Show Evidence...")</f>
        <v>Show Evidence...</v>
      </c>
    </row>
    <row r="2532" spans="1:10" ht="12.75">
      <c r="A2532" s="2" t="s">
        <v>50</v>
      </c>
      <c r="B2532" s="2" t="s">
        <v>3786</v>
      </c>
      <c r="C2532" s="2" t="s">
        <v>24</v>
      </c>
      <c r="D2532" s="2" t="s">
        <v>3787</v>
      </c>
      <c r="E2532" s="2" t="s">
        <v>53</v>
      </c>
      <c r="F2532" s="11" t="s">
        <v>3819</v>
      </c>
      <c r="G2532" t="s">
        <v>39</v>
      </c>
      <c r="H2532" t="s">
        <v>3820</v>
      </c>
      <c r="I2532" t="s">
        <v>3821</v>
      </c>
      <c r="J2532" s="6" t="str">
        <f>HYPERLINK("https://www.biovista.com/db/link/%5B%5B%22Disease%7CSpinocerebellar%20Ataxia%20Type%203%22%5D,%20%5B%22Drug%7C3-Iodobenzylguanidine%22%5D%5D?strength-weight-map=%257B%2522MEDLINE_STRENGTH_AB%2522:1.0,%2522HPO%2522:100.0%257D", "Show Evidence...")</f>
        <v>Show Evidence...</v>
      </c>
    </row>
    <row r="2533" spans="1:10" ht="12.75">
      <c r="A2533" s="2" t="s">
        <v>50</v>
      </c>
      <c r="B2533" s="2" t="s">
        <v>3786</v>
      </c>
      <c r="C2533" s="2" t="s">
        <v>24</v>
      </c>
      <c r="D2533" s="2" t="s">
        <v>3787</v>
      </c>
      <c r="E2533" s="2" t="s">
        <v>53</v>
      </c>
      <c r="F2533" s="11" t="s">
        <v>964</v>
      </c>
      <c r="G2533" t="s">
        <v>39</v>
      </c>
      <c r="H2533" t="s">
        <v>965</v>
      </c>
      <c r="I2533" t="s">
        <v>3821</v>
      </c>
      <c r="J2533" s="6" t="str">
        <f>HYPERLINK("https://www.biovista.com/db/link/%5B%5B%22Disease%7CSpinocerebellar%20Ataxia%20Type%203%22%5D,%20%5B%22Drug%7CAcetylcysteine%22%5D%5D?strength-weight-map=%257B%2522MEDLINE_STRENGTH_AB%2522:1.0,%2522HPO%2522:100.0%257D", "Show Evidence...")</f>
        <v>Show Evidence...</v>
      </c>
    </row>
    <row r="2534" spans="1:10" ht="12.75">
      <c r="A2534" s="2" t="s">
        <v>50</v>
      </c>
      <c r="B2534" s="2" t="s">
        <v>3786</v>
      </c>
      <c r="C2534" s="2" t="s">
        <v>24</v>
      </c>
      <c r="D2534" s="2" t="s">
        <v>3787</v>
      </c>
      <c r="E2534" s="2" t="s">
        <v>53</v>
      </c>
      <c r="F2534" s="11" t="s">
        <v>2483</v>
      </c>
      <c r="G2534" t="s">
        <v>39</v>
      </c>
      <c r="H2534" t="s">
        <v>2484</v>
      </c>
      <c r="I2534" t="s">
        <v>3821</v>
      </c>
      <c r="J2534" s="6" t="str">
        <f>HYPERLINK("https://www.biovista.com/db/link/%5B%5B%22Disease%7CSpinocerebellar%20Ataxia%20Type%203%22%5D,%20%5B%22Drug%7CAzithromycin%22%5D%5D?strength-weight-map=%257B%2522MEDLINE_STRENGTH_AB%2522:1.0,%2522HPO%2522:100.0%257D", "Show Evidence...")</f>
        <v>Show Evidence...</v>
      </c>
    </row>
    <row r="2535" spans="1:10" ht="12.75">
      <c r="A2535" s="2" t="s">
        <v>50</v>
      </c>
      <c r="B2535" s="2" t="s">
        <v>3786</v>
      </c>
      <c r="C2535" s="2" t="s">
        <v>24</v>
      </c>
      <c r="D2535" s="2" t="s">
        <v>3787</v>
      </c>
      <c r="E2535" s="2" t="s">
        <v>53</v>
      </c>
      <c r="F2535" s="11" t="s">
        <v>3822</v>
      </c>
      <c r="G2535" t="s">
        <v>39</v>
      </c>
      <c r="H2535" t="s">
        <v>3823</v>
      </c>
      <c r="I2535" t="s">
        <v>3821</v>
      </c>
      <c r="J2535" s="6" t="str">
        <f>HYPERLINK("https://www.biovista.com/db/link/%5B%5B%22Disease%7CSpinocerebellar%20Ataxia%20Type%203%22%5D,%20%5B%22Drug%7CBuspirone%22%5D%5D?strength-weight-map=%257B%2522MEDLINE_STRENGTH_AB%2522:1.0,%2522HPO%2522:100.0%257D", "Show Evidence...")</f>
        <v>Show Evidence...</v>
      </c>
    </row>
    <row r="2536" spans="1:10" ht="12.75">
      <c r="A2536" s="2" t="s">
        <v>50</v>
      </c>
      <c r="B2536" s="2" t="s">
        <v>3786</v>
      </c>
      <c r="C2536" s="2" t="s">
        <v>24</v>
      </c>
      <c r="D2536" s="2" t="s">
        <v>3787</v>
      </c>
      <c r="E2536" s="2" t="s">
        <v>53</v>
      </c>
      <c r="F2536" s="11" t="s">
        <v>3439</v>
      </c>
      <c r="G2536" t="s">
        <v>39</v>
      </c>
      <c r="H2536" t="s">
        <v>3440</v>
      </c>
      <c r="I2536" t="s">
        <v>3821</v>
      </c>
      <c r="J2536" s="6" t="str">
        <f>HYPERLINK("https://www.biovista.com/db/link/%5B%5B%22Disease%7CSpinocerebellar%20Ataxia%20Type%203%22%5D,%20%5B%22Drug%7CButyric%20Acid%22%5D%5D?strength-weight-map=%257B%2522MEDLINE_STRENGTH_AB%2522:1.0,%2522HPO%2522:100.0%257D", "Show Evidence...")</f>
        <v>Show Evidence...</v>
      </c>
    </row>
    <row r="2537" spans="1:10" ht="12.75">
      <c r="A2537" s="2" t="s">
        <v>50</v>
      </c>
      <c r="B2537" s="2" t="s">
        <v>3786</v>
      </c>
      <c r="C2537" s="2" t="s">
        <v>24</v>
      </c>
      <c r="D2537" s="2" t="s">
        <v>3787</v>
      </c>
      <c r="E2537" s="2" t="s">
        <v>53</v>
      </c>
      <c r="F2537" s="11" t="s">
        <v>2428</v>
      </c>
      <c r="G2537" t="s">
        <v>39</v>
      </c>
      <c r="H2537" t="s">
        <v>2429</v>
      </c>
      <c r="I2537" t="s">
        <v>3821</v>
      </c>
      <c r="J2537" s="6" t="str">
        <f>HYPERLINK("https://www.biovista.com/db/link/%5B%5B%22Disease%7CSpinocerebellar%20Ataxia%20Type%203%22%5D,%20%5B%22Drug%7CDantrolene%22%5D%5D?strength-weight-map=%257B%2522MEDLINE_STRENGTH_AB%2522:1.0,%2522HPO%2522:100.0%257D", "Show Evidence...")</f>
        <v>Show Evidence...</v>
      </c>
    </row>
    <row r="2538" spans="1:10" ht="12.75">
      <c r="A2538" s="2" t="s">
        <v>50</v>
      </c>
      <c r="B2538" s="2" t="s">
        <v>3786</v>
      </c>
      <c r="C2538" s="2" t="s">
        <v>24</v>
      </c>
      <c r="D2538" s="2" t="s">
        <v>3787</v>
      </c>
      <c r="E2538" s="2" t="s">
        <v>53</v>
      </c>
      <c r="F2538" s="11" t="s">
        <v>1597</v>
      </c>
      <c r="G2538" t="s">
        <v>39</v>
      </c>
      <c r="H2538" t="s">
        <v>1598</v>
      </c>
      <c r="I2538" t="s">
        <v>3821</v>
      </c>
      <c r="J2538" s="6" t="str">
        <f>HYPERLINK("https://www.biovista.com/db/link/%5B%5B%22Disease%7CSpinocerebellar%20Ataxia%20Type%203%22%5D,%20%5B%22Drug%7CDihydroxyphenylalanine%22%5D%5D?strength-weight-map=%257B%2522MEDLINE_STRENGTH_AB%2522:1.0,%2522HPO%2522:100.0%257D", "Show Evidence...")</f>
        <v>Show Evidence...</v>
      </c>
    </row>
    <row r="2539" spans="1:10" ht="12.75">
      <c r="A2539" s="2" t="s">
        <v>50</v>
      </c>
      <c r="B2539" s="2" t="s">
        <v>3786</v>
      </c>
      <c r="C2539" s="2" t="s">
        <v>24</v>
      </c>
      <c r="D2539" s="2" t="s">
        <v>3787</v>
      </c>
      <c r="E2539" s="2" t="s">
        <v>53</v>
      </c>
      <c r="F2539" s="11" t="s">
        <v>3824</v>
      </c>
      <c r="G2539" t="s">
        <v>39</v>
      </c>
      <c r="H2539" t="s">
        <v>3825</v>
      </c>
      <c r="I2539" t="s">
        <v>3821</v>
      </c>
      <c r="J2539" s="6" t="str">
        <f>HYPERLINK("https://www.biovista.com/db/link/%5B%5B%22Disease%7CSpinocerebellar%20Ataxia%20Type%203%22%5D,%20%5B%22Drug%7Cfluorodopa%20F%2018%22%5D%5D?strength-weight-map=%257B%2522MEDLINE_STRENGTH_AB%2522:1.0,%2522HPO%2522:100.0%257D", "Show Evidence...")</f>
        <v>Show Evidence...</v>
      </c>
    </row>
    <row r="2540" spans="1:10" ht="12.75">
      <c r="A2540" s="2" t="s">
        <v>50</v>
      </c>
      <c r="B2540" s="2" t="s">
        <v>3786</v>
      </c>
      <c r="C2540" s="2" t="s">
        <v>24</v>
      </c>
      <c r="D2540" s="2" t="s">
        <v>3787</v>
      </c>
      <c r="E2540" s="2" t="s">
        <v>53</v>
      </c>
      <c r="F2540" s="11" t="s">
        <v>1028</v>
      </c>
      <c r="G2540" t="s">
        <v>39</v>
      </c>
      <c r="H2540" t="s">
        <v>1029</v>
      </c>
      <c r="I2540" t="s">
        <v>3821</v>
      </c>
      <c r="J2540" s="6" t="str">
        <f>HYPERLINK("https://www.biovista.com/db/link/%5B%5B%22Disease%7CSpinocerebellar%20Ataxia%20Type%203%22%5D,%20%5B%22Drug%7CGuanidine%22%5D%5D?strength-weight-map=%257B%2522MEDLINE_STRENGTH_AB%2522:1.0,%2522HPO%2522:100.0%257D", "Show Evidence...")</f>
        <v>Show Evidence...</v>
      </c>
    </row>
    <row r="2541" spans="1:10" ht="12.75">
      <c r="A2541" s="2" t="s">
        <v>50</v>
      </c>
      <c r="B2541" s="2" t="s">
        <v>3786</v>
      </c>
      <c r="C2541" s="2" t="s">
        <v>24</v>
      </c>
      <c r="D2541" s="2" t="s">
        <v>3787</v>
      </c>
      <c r="E2541" s="2" t="s">
        <v>53</v>
      </c>
      <c r="F2541" s="11" t="s">
        <v>1034</v>
      </c>
      <c r="G2541" t="s">
        <v>39</v>
      </c>
      <c r="H2541" t="s">
        <v>1035</v>
      </c>
      <c r="I2541" t="s">
        <v>3821</v>
      </c>
      <c r="J2541" s="6" t="str">
        <f>HYPERLINK("https://www.biovista.com/db/link/%5B%5B%22Disease%7CSpinocerebellar%20Ataxia%20Type%203%22%5D,%20%5B%22Drug%7CInositol%22%5D%5D?strength-weight-map=%257B%2522MEDLINE_STRENGTH_AB%2522:1.0,%2522HPO%2522:100.0%257D", "Show Evidence...")</f>
        <v>Show Evidence...</v>
      </c>
    </row>
    <row r="2542" spans="1:10" ht="12.75">
      <c r="A2542" s="2" t="s">
        <v>50</v>
      </c>
      <c r="B2542" s="2" t="s">
        <v>3786</v>
      </c>
      <c r="C2542" s="2" t="s">
        <v>24</v>
      </c>
      <c r="D2542" s="2" t="s">
        <v>3787</v>
      </c>
      <c r="E2542" s="2" t="s">
        <v>3826</v>
      </c>
      <c r="F2542" s="11" t="s">
        <v>3827</v>
      </c>
      <c r="G2542" t="s">
        <v>39</v>
      </c>
      <c r="H2542" t="s">
        <v>3828</v>
      </c>
      <c r="I2542" t="s">
        <v>3821</v>
      </c>
      <c r="J2542" s="6" t="str">
        <f>HYPERLINK("https://www.biovista.com/db/link/%5B%5B%22Disease%7CSpinocerebellar%20Ataxia%20Type%203%22%5D,%20%5B%22Drug%7CIOFLUPANE%20I-123%22%5D%5D?strength-weight-map=%257B%2522MEDLINE_STRENGTH_AB%2522:1.0,%2522HPO%2522:100.0%257D", "Show Evidence...")</f>
        <v>Show Evidence...</v>
      </c>
    </row>
    <row r="2543" spans="1:10" ht="12.75">
      <c r="A2543" s="2" t="s">
        <v>50</v>
      </c>
      <c r="B2543" s="2" t="s">
        <v>3786</v>
      </c>
      <c r="C2543" s="2" t="s">
        <v>24</v>
      </c>
      <c r="D2543" s="2" t="s">
        <v>3787</v>
      </c>
      <c r="E2543" s="2" t="s">
        <v>53</v>
      </c>
      <c r="F2543" s="11" t="s">
        <v>3004</v>
      </c>
      <c r="G2543" t="s">
        <v>39</v>
      </c>
      <c r="H2543" t="s">
        <v>3005</v>
      </c>
      <c r="I2543" t="s">
        <v>3821</v>
      </c>
      <c r="J2543" s="6" t="str">
        <f>HYPERLINK("https://www.biovista.com/db/link/%5B%5B%22Disease%7CSpinocerebellar%20Ataxia%20Type%203%22%5D,%20%5B%22Drug%7CLeupeptins%22%5D%5D?strength-weight-map=%257B%2522MEDLINE_STRENGTH_AB%2522:1.0,%2522HPO%2522:100.0%257D", "Show Evidence...")</f>
        <v>Show Evidence...</v>
      </c>
    </row>
    <row r="2544" spans="1:10" ht="12.75">
      <c r="A2544" s="2" t="s">
        <v>50</v>
      </c>
      <c r="B2544" s="2" t="s">
        <v>3786</v>
      </c>
      <c r="C2544" s="2" t="s">
        <v>24</v>
      </c>
      <c r="D2544" s="2" t="s">
        <v>3787</v>
      </c>
      <c r="E2544" s="2" t="s">
        <v>53</v>
      </c>
      <c r="F2544" s="11" t="s">
        <v>3829</v>
      </c>
      <c r="G2544" t="s">
        <v>39</v>
      </c>
      <c r="H2544" t="s">
        <v>3830</v>
      </c>
      <c r="I2544" t="s">
        <v>3821</v>
      </c>
      <c r="J2544" s="6" t="str">
        <f>HYPERLINK("https://www.biovista.com/db/link/%5B%5B%22Disease%7CSpinocerebellar%20Ataxia%20Type%203%22%5D,%20%5B%22Drug%7CSulfamethoxazole%22%5D%5D?strength-weight-map=%257B%2522MEDLINE_STRENGTH_AB%2522:1.0,%2522HPO%2522:100.0%257D", "Show Evidence...")</f>
        <v>Show Evidence...</v>
      </c>
    </row>
    <row r="2545" spans="1:10" ht="12.75">
      <c r="A2545" s="2" t="s">
        <v>50</v>
      </c>
      <c r="B2545" s="2" t="s">
        <v>3786</v>
      </c>
      <c r="C2545" s="2" t="s">
        <v>24</v>
      </c>
      <c r="D2545" s="2" t="s">
        <v>3787</v>
      </c>
      <c r="E2545" s="2" t="s">
        <v>53</v>
      </c>
      <c r="F2545" s="11" t="s">
        <v>3831</v>
      </c>
      <c r="G2545" t="s">
        <v>39</v>
      </c>
      <c r="H2545" t="s">
        <v>3832</v>
      </c>
      <c r="I2545" t="s">
        <v>3821</v>
      </c>
      <c r="J2545" s="6" t="str">
        <f>HYPERLINK("https://www.biovista.com/db/link/%5B%5B%22Disease%7CSpinocerebellar%20Ataxia%20Type%203%22%5D,%20%5B%22Drug%7CTrimethoprim%22%5D%5D?strength-weight-map=%257B%2522MEDLINE_STRENGTH_AB%2522:1.0,%2522HPO%2522:100.0%257D", "Show Evidence...")</f>
        <v>Show Evidence...</v>
      </c>
    </row>
    <row r="2546" spans="1:10" ht="12.75">
      <c r="A2546" s="2" t="s">
        <v>50</v>
      </c>
      <c r="B2546" s="2" t="s">
        <v>3786</v>
      </c>
      <c r="C2546" s="2" t="s">
        <v>24</v>
      </c>
      <c r="D2546" s="2" t="s">
        <v>3787</v>
      </c>
      <c r="E2546" s="2" t="s">
        <v>53</v>
      </c>
      <c r="F2546" s="11" t="s">
        <v>3833</v>
      </c>
      <c r="G2546" t="s">
        <v>39</v>
      </c>
      <c r="H2546" t="s">
        <v>3834</v>
      </c>
      <c r="I2546" t="s">
        <v>3835</v>
      </c>
      <c r="J2546" s="6" t="str">
        <f>HYPERLINK("https://www.biovista.com/db/link/%5B%5B%22Disease%7CSpinocerebellar%20Ataxia%20Type%203%22%5D,%20%5B%22Drug%7C3-hydroxy-7-(hydroxyimino)cholanic%20acid%22%5D%5D?strength-weight-map=%257B%2522MEDLINE_STRENGTH_AB%2522:1.0,%2522HPO%2522:100.0%257D", "Show Evidence...")</f>
        <v>Show Evidence...</v>
      </c>
    </row>
    <row r="2547" spans="1:10" ht="12.75">
      <c r="A2547" s="2" t="s">
        <v>50</v>
      </c>
      <c r="B2547" s="2" t="s">
        <v>3786</v>
      </c>
      <c r="C2547" s="2" t="s">
        <v>24</v>
      </c>
      <c r="D2547" s="2" t="s">
        <v>3787</v>
      </c>
      <c r="E2547" s="2" t="s">
        <v>53</v>
      </c>
      <c r="F2547" s="11" t="s">
        <v>3836</v>
      </c>
      <c r="G2547" t="s">
        <v>39</v>
      </c>
      <c r="H2547" t="s">
        <v>3837</v>
      </c>
      <c r="I2547" t="s">
        <v>3835</v>
      </c>
      <c r="J2547" s="6" t="s">
        <v>3838</v>
      </c>
    </row>
    <row r="2548" spans="1:10" ht="12.75">
      <c r="A2548" s="2" t="s">
        <v>50</v>
      </c>
      <c r="B2548" s="2" t="s">
        <v>3786</v>
      </c>
      <c r="C2548" s="2" t="s">
        <v>24</v>
      </c>
      <c r="D2548" s="2" t="s">
        <v>3787</v>
      </c>
      <c r="E2548" s="2" t="s">
        <v>53</v>
      </c>
      <c r="F2548" s="11" t="s">
        <v>1606</v>
      </c>
      <c r="G2548" t="s">
        <v>39</v>
      </c>
      <c r="H2548" t="s">
        <v>1607</v>
      </c>
      <c r="I2548" t="s">
        <v>3835</v>
      </c>
      <c r="J2548" s="6" t="str">
        <f>HYPERLINK("https://www.biovista.com/db/link/%5B%5B%22Disease%7CSpinocerebellar%20Ataxia%20Type%203%22%5D,%20%5B%22Drug%7CAmantadine%22%5D%5D?strength-weight-map=%257B%2522MEDLINE_STRENGTH_AB%2522:1.0,%2522HPO%2522:100.0%257D", "Show Evidence...")</f>
        <v>Show Evidence...</v>
      </c>
    </row>
    <row r="2549" spans="1:10" ht="12.75">
      <c r="A2549" s="2" t="s">
        <v>50</v>
      </c>
      <c r="B2549" s="2" t="s">
        <v>3786</v>
      </c>
      <c r="C2549" s="2" t="s">
        <v>24</v>
      </c>
      <c r="D2549" s="2" t="s">
        <v>3787</v>
      </c>
      <c r="E2549" s="2" t="s">
        <v>53</v>
      </c>
      <c r="F2549" s="11" t="s">
        <v>3839</v>
      </c>
      <c r="G2549" t="s">
        <v>39</v>
      </c>
      <c r="H2549" t="s">
        <v>3840</v>
      </c>
      <c r="I2549" t="s">
        <v>3835</v>
      </c>
      <c r="J2549" s="6" t="str">
        <f>HYPERLINK("https://www.biovista.com/db/link/%5B%5B%22Disease%7CSpinocerebellar%20Ataxia%20Type%203%22%5D,%20%5B%22Drug%7CAmino%20Acid%20Chloromethyl%20Ketones%22%5D%5D?strength-weight-map=%257B%2522MEDLINE_STRENGTH_AB%2522:1.0,%2522HPO%2522:100.0%257D", "Show Evidence...")</f>
        <v>Show Evidence...</v>
      </c>
    </row>
    <row r="2550" spans="1:10" ht="12.75">
      <c r="A2550" s="2" t="s">
        <v>50</v>
      </c>
      <c r="B2550" s="2" t="s">
        <v>3786</v>
      </c>
      <c r="C2550" s="2" t="s">
        <v>24</v>
      </c>
      <c r="D2550" s="2" t="s">
        <v>3787</v>
      </c>
      <c r="E2550" s="2" t="s">
        <v>53</v>
      </c>
      <c r="F2550" s="11" t="s">
        <v>214</v>
      </c>
      <c r="G2550" t="s">
        <v>39</v>
      </c>
      <c r="H2550" t="s">
        <v>215</v>
      </c>
      <c r="I2550" t="s">
        <v>3835</v>
      </c>
      <c r="J2550" s="6" t="str">
        <f>HYPERLINK("https://www.biovista.com/db/link/%5B%5B%22Disease%7CSpinocerebellar%20Ataxia%20Type%203%22%5D,%20%5B%22Drug%7CAripiprazole%22%5D%5D?strength-weight-map=%257B%2522MEDLINE_STRENGTH_AB%2522:1.0,%2522HPO%2522:100.0%257D", "Show Evidence...")</f>
        <v>Show Evidence...</v>
      </c>
    </row>
    <row r="2551" spans="1:10" ht="12.75">
      <c r="A2551" s="2" t="s">
        <v>50</v>
      </c>
      <c r="B2551" s="2" t="s">
        <v>3786</v>
      </c>
      <c r="C2551" s="2" t="s">
        <v>24</v>
      </c>
      <c r="D2551" s="2" t="s">
        <v>3787</v>
      </c>
      <c r="E2551" s="2" t="s">
        <v>53</v>
      </c>
      <c r="F2551" s="11" t="s">
        <v>3841</v>
      </c>
      <c r="G2551" t="s">
        <v>39</v>
      </c>
      <c r="H2551" t="s">
        <v>3842</v>
      </c>
      <c r="I2551" t="s">
        <v>3835</v>
      </c>
      <c r="J2551" s="6" t="str">
        <f>HYPERLINK("https://www.biovista.com/db/link/%5B%5B%22Disease%7CSpinocerebellar%20Ataxia%20Type%203%22%5D,%20%5B%22Drug%7Ccaffeic%20acid%22%5D%5D?strength-weight-map=%257B%2522MEDLINE_STRENGTH_AB%2522:1.0,%2522HPO%2522:100.0%257D", "Show Evidence...")</f>
        <v>Show Evidence...</v>
      </c>
    </row>
    <row r="2552" spans="1:10" ht="12.75">
      <c r="A2552" s="2" t="s">
        <v>50</v>
      </c>
      <c r="B2552" s="2" t="s">
        <v>3786</v>
      </c>
      <c r="C2552" s="2" t="s">
        <v>24</v>
      </c>
      <c r="D2552" s="2" t="s">
        <v>3787</v>
      </c>
      <c r="E2552" s="2" t="s">
        <v>53</v>
      </c>
      <c r="F2552" s="11" t="s">
        <v>1907</v>
      </c>
      <c r="G2552" t="s">
        <v>39</v>
      </c>
      <c r="H2552" t="s">
        <v>1908</v>
      </c>
      <c r="I2552" t="s">
        <v>3835</v>
      </c>
      <c r="J2552" s="6" t="str">
        <f>HYPERLINK("https://www.biovista.com/db/link/%5B%5B%22Disease%7CSpinocerebellar%20Ataxia%20Type%203%22%5D,%20%5B%22Drug%7CCarbamazepine%22%5D%5D?strength-weight-map=%257B%2522MEDLINE_STRENGTH_AB%2522:1.0,%2522HPO%2522:100.0%257D", "Show Evidence...")</f>
        <v>Show Evidence...</v>
      </c>
    </row>
    <row r="2553" spans="1:10" ht="12.75">
      <c r="A2553" s="2" t="s">
        <v>50</v>
      </c>
      <c r="B2553" s="2" t="s">
        <v>3786</v>
      </c>
      <c r="C2553" s="2" t="s">
        <v>24</v>
      </c>
      <c r="D2553" s="2" t="s">
        <v>3787</v>
      </c>
      <c r="E2553" s="2" t="s">
        <v>53</v>
      </c>
      <c r="F2553" s="11" t="s">
        <v>1594</v>
      </c>
      <c r="G2553" t="s">
        <v>39</v>
      </c>
      <c r="H2553" t="s">
        <v>1595</v>
      </c>
      <c r="I2553" t="s">
        <v>3835</v>
      </c>
      <c r="J2553" s="6" t="str">
        <f>HYPERLINK("https://www.biovista.com/db/link/%5B%5B%22Disease%7CSpinocerebellar%20Ataxia%20Type%203%22%5D,%20%5B%22Drug%7Ccarbidopa,%20levodopa%20drug%20combination%22%5D%5D?strength-weight-map=%257B%2522MEDLINE_STRENGTH_AB%2522:1.0,%2522HPO%2522:100.0%257D", "Show Evidence...")</f>
        <v>Show Evidence...</v>
      </c>
    </row>
    <row r="2554" spans="1:10" ht="12.75">
      <c r="A2554" s="2" t="s">
        <v>50</v>
      </c>
      <c r="B2554" s="2" t="s">
        <v>3786</v>
      </c>
      <c r="C2554" s="2" t="s">
        <v>24</v>
      </c>
      <c r="D2554" s="2" t="s">
        <v>3787</v>
      </c>
      <c r="E2554" s="2" t="s">
        <v>53</v>
      </c>
      <c r="F2554" s="11" t="s">
        <v>3843</v>
      </c>
      <c r="G2554" t="s">
        <v>39</v>
      </c>
      <c r="H2554" t="s">
        <v>3844</v>
      </c>
      <c r="I2554" t="s">
        <v>3835</v>
      </c>
      <c r="J2554" s="6" t="str">
        <f>HYPERLINK("https://www.biovista.com/db/link/%5B%5B%22Disease%7CSpinocerebellar%20Ataxia%20Type%203%22%5D,%20%5B%22Drug%7CChloroquine%22%5D%5D?strength-weight-map=%257B%2522MEDLINE_STRENGTH_AB%2522:1.0,%2522HPO%2522:100.0%257D", "Show Evidence...")</f>
        <v>Show Evidence...</v>
      </c>
    </row>
    <row r="2555" spans="1:10" ht="12.75">
      <c r="A2555" s="2" t="s">
        <v>50</v>
      </c>
      <c r="B2555" s="2" t="s">
        <v>3786</v>
      </c>
      <c r="C2555" s="2" t="s">
        <v>24</v>
      </c>
      <c r="D2555" s="2" t="s">
        <v>3787</v>
      </c>
      <c r="E2555" s="2" t="s">
        <v>53</v>
      </c>
      <c r="F2555" s="11" t="s">
        <v>3845</v>
      </c>
      <c r="G2555" t="s">
        <v>39</v>
      </c>
      <c r="H2555" t="s">
        <v>3846</v>
      </c>
      <c r="I2555" t="s">
        <v>3835</v>
      </c>
      <c r="J2555" s="6" t="str">
        <f>HYPERLINK("https://www.biovista.com/db/link/%5B%5B%22Disease%7CSpinocerebellar%20Ataxia%20Type%203%22%5D,%20%5B%22Drug%7CChlorzoxazone%22%5D%5D?strength-weight-map=%257B%2522MEDLINE_STRENGTH_AB%2522:1.0,%2522HPO%2522:100.0%257D", "Show Evidence...")</f>
        <v>Show Evidence...</v>
      </c>
    </row>
    <row r="2556" spans="1:10" ht="12.75">
      <c r="A2556" s="2" t="s">
        <v>50</v>
      </c>
      <c r="B2556" s="2" t="s">
        <v>3786</v>
      </c>
      <c r="C2556" s="2" t="s">
        <v>24</v>
      </c>
      <c r="D2556" s="2" t="s">
        <v>3787</v>
      </c>
      <c r="E2556" s="2" t="s">
        <v>53</v>
      </c>
      <c r="F2556" s="11" t="s">
        <v>1083</v>
      </c>
      <c r="G2556" t="s">
        <v>39</v>
      </c>
      <c r="H2556" t="s">
        <v>1084</v>
      </c>
      <c r="I2556" t="s">
        <v>3835</v>
      </c>
      <c r="J2556" s="6" t="str">
        <f>HYPERLINK("https://www.biovista.com/db/link/%5B%5B%22Disease%7CSpinocerebellar%20Ataxia%20Type%203%22%5D,%20%5B%22Drug%7CClonazepam%22%5D%5D?strength-weight-map=%257B%2522MEDLINE_STRENGTH_AB%2522:1.0,%2522HPO%2522:100.0%257D", "Show Evidence...")</f>
        <v>Show Evidence...</v>
      </c>
    </row>
    <row r="2557" spans="1:10" ht="12.75">
      <c r="A2557" s="2" t="s">
        <v>50</v>
      </c>
      <c r="B2557" s="2" t="s">
        <v>3786</v>
      </c>
      <c r="C2557" s="2" t="s">
        <v>24</v>
      </c>
      <c r="D2557" s="2" t="s">
        <v>3787</v>
      </c>
      <c r="E2557" s="2" t="s">
        <v>53</v>
      </c>
      <c r="F2557" s="11" t="s">
        <v>3847</v>
      </c>
      <c r="G2557" t="s">
        <v>39</v>
      </c>
      <c r="H2557" t="s">
        <v>3848</v>
      </c>
      <c r="I2557" t="s">
        <v>3835</v>
      </c>
      <c r="J2557" s="6" t="str">
        <f>HYPERLINK("https://www.biovista.com/db/link/%5B%5B%22Disease%7CSpinocerebellar%20Ataxia%20Type%203%22%5D,%20%5B%22Drug%7Cdaidzein%22%5D%5D?strength-weight-map=%257B%2522MEDLINE_STRENGTH_AB%2522:1.0,%2522HPO%2522:100.0%257D", "Show Evidence...")</f>
        <v>Show Evidence...</v>
      </c>
    </row>
    <row r="2558" spans="1:10" ht="12.75">
      <c r="A2558" s="2" t="s">
        <v>50</v>
      </c>
      <c r="B2558" s="2" t="s">
        <v>3786</v>
      </c>
      <c r="C2558" s="2" t="s">
        <v>24</v>
      </c>
      <c r="D2558" s="2" t="s">
        <v>3787</v>
      </c>
      <c r="E2558" s="2" t="s">
        <v>53</v>
      </c>
      <c r="F2558" s="11" t="s">
        <v>1608</v>
      </c>
      <c r="G2558" t="s">
        <v>39</v>
      </c>
      <c r="H2558" t="s">
        <v>1609</v>
      </c>
      <c r="I2558" t="s">
        <v>3835</v>
      </c>
      <c r="J2558" s="6" t="str">
        <f>HYPERLINK("https://www.biovista.com/db/link/%5B%5B%22Disease%7CSpinocerebellar%20Ataxia%20Type%203%22%5D,%20%5B%22Drug%7CDoxycycline%22%5D%5D?strength-weight-map=%257B%2522MEDLINE_STRENGTH_AB%2522:1.0,%2522HPO%2522:100.0%257D", "Show Evidence...")</f>
        <v>Show Evidence...</v>
      </c>
    </row>
    <row r="2559" spans="1:10" ht="12.75">
      <c r="A2559" s="2" t="s">
        <v>50</v>
      </c>
      <c r="B2559" s="2" t="s">
        <v>3786</v>
      </c>
      <c r="C2559" s="2" t="s">
        <v>24</v>
      </c>
      <c r="D2559" s="2" t="s">
        <v>3787</v>
      </c>
      <c r="E2559" s="2" t="s">
        <v>53</v>
      </c>
      <c r="F2559" s="11" t="s">
        <v>3849</v>
      </c>
      <c r="G2559" t="s">
        <v>39</v>
      </c>
      <c r="H2559" t="s">
        <v>3850</v>
      </c>
      <c r="I2559" t="s">
        <v>3835</v>
      </c>
      <c r="J2559" s="6" t="str">
        <f>HYPERLINK("https://www.biovista.com/db/link/%5B%5B%22Disease%7CSpinocerebellar%20Ataxia%20Type%203%22%5D,%20%5B%22Drug%7Cepigallocatechin%20gallate%22%5D%5D?strength-weight-map=%257B%2522MEDLINE_STRENGTH_AB%2522:1.0,%2522HPO%2522:100.0%257D", "Show Evidence...")</f>
        <v>Show Evidence...</v>
      </c>
    </row>
    <row r="2560" spans="1:10" ht="12.75">
      <c r="A2560" s="2" t="s">
        <v>50</v>
      </c>
      <c r="B2560" s="2" t="s">
        <v>3786</v>
      </c>
      <c r="C2560" s="2" t="s">
        <v>24</v>
      </c>
      <c r="D2560" s="2" t="s">
        <v>3787</v>
      </c>
      <c r="E2560" s="2" t="s">
        <v>53</v>
      </c>
      <c r="F2560" s="11" t="s">
        <v>1599</v>
      </c>
      <c r="G2560" t="s">
        <v>39</v>
      </c>
      <c r="H2560" t="s">
        <v>1600</v>
      </c>
      <c r="I2560" t="s">
        <v>3835</v>
      </c>
      <c r="J2560" s="6" t="str">
        <f>HYPERLINK("https://www.biovista.com/db/link/%5B%5B%22Disease%7CSpinocerebellar%20Ataxia%20Type%203%22%5D,%20%5B%22Drug%7CFolic%20Acid%22%5D%5D?strength-weight-map=%257B%2522MEDLINE_STRENGTH_AB%2522:1.0,%2522HPO%2522:100.0%257D", "Show Evidence...")</f>
        <v>Show Evidence...</v>
      </c>
    </row>
    <row r="2561" spans="1:10" ht="12.75">
      <c r="A2561" s="2" t="s">
        <v>50</v>
      </c>
      <c r="B2561" s="2" t="s">
        <v>3786</v>
      </c>
      <c r="C2561" s="2" t="s">
        <v>24</v>
      </c>
      <c r="D2561" s="2" t="s">
        <v>3787</v>
      </c>
      <c r="E2561" s="2" t="s">
        <v>53</v>
      </c>
      <c r="F2561" s="11" t="s">
        <v>1862</v>
      </c>
      <c r="G2561" t="s">
        <v>39</v>
      </c>
      <c r="H2561" t="s">
        <v>1863</v>
      </c>
      <c r="I2561" t="s">
        <v>3835</v>
      </c>
      <c r="J2561" s="6" t="str">
        <f>HYPERLINK("https://www.biovista.com/db/link/%5B%5B%22Disease%7CSpinocerebellar%20Ataxia%20Type%203%22%5D,%20%5B%22Drug%7CHydrogen%20Sulfide%22%5D%5D?strength-weight-map=%257B%2522MEDLINE_STRENGTH_AB%2522:1.0,%2522HPO%2522:100.0%257D", "Show Evidence...")</f>
        <v>Show Evidence...</v>
      </c>
    </row>
    <row r="2562" spans="1:10" ht="12.75">
      <c r="A2562" s="2" t="s">
        <v>50</v>
      </c>
      <c r="B2562" s="2" t="s">
        <v>3786</v>
      </c>
      <c r="C2562" s="2" t="s">
        <v>24</v>
      </c>
      <c r="D2562" s="2" t="s">
        <v>3787</v>
      </c>
      <c r="E2562" s="2" t="s">
        <v>53</v>
      </c>
      <c r="F2562" s="11" t="s">
        <v>180</v>
      </c>
      <c r="G2562" t="s">
        <v>39</v>
      </c>
      <c r="H2562" t="s">
        <v>181</v>
      </c>
      <c r="I2562" t="s">
        <v>3835</v>
      </c>
      <c r="J2562" s="6" t="str">
        <f>HYPERLINK("https://www.biovista.com/db/link/%5B%5B%22Disease%7CSpinocerebellar%20Ataxia%20Type%203%22%5D,%20%5B%22Drug%7CImmunoglobulins,%20Intravenous%22%5D%5D?strength-weight-map=%257B%2522MEDLINE_STRENGTH_AB%2522:1.0,%2522HPO%2522:100.0%257D", "Show Evidence...")</f>
        <v>Show Evidence...</v>
      </c>
    </row>
    <row r="2563" spans="1:10" ht="12.75">
      <c r="A2563" s="2" t="s">
        <v>50</v>
      </c>
      <c r="B2563" s="2" t="s">
        <v>3786</v>
      </c>
      <c r="C2563" s="2" t="s">
        <v>24</v>
      </c>
      <c r="D2563" s="2" t="s">
        <v>3787</v>
      </c>
      <c r="E2563" s="2" t="s">
        <v>53</v>
      </c>
      <c r="F2563" s="11" t="s">
        <v>1919</v>
      </c>
      <c r="G2563" t="s">
        <v>39</v>
      </c>
      <c r="H2563" t="s">
        <v>1920</v>
      </c>
      <c r="I2563" t="s">
        <v>3835</v>
      </c>
      <c r="J2563" s="6" t="str">
        <f>HYPERLINK("https://www.biovista.com/db/link/%5B%5B%22Disease%7CSpinocerebellar%20Ataxia%20Type%203%22%5D,%20%5B%22Drug%7CInterferons%22%5D%5D?strength-weight-map=%257B%2522MEDLINE_STRENGTH_AB%2522:1.0,%2522HPO%2522:100.0%257D", "Show Evidence...")</f>
        <v>Show Evidence...</v>
      </c>
    </row>
    <row r="2564" spans="1:10" ht="12.75">
      <c r="A2564" s="2" t="s">
        <v>50</v>
      </c>
      <c r="B2564" s="2" t="s">
        <v>3786</v>
      </c>
      <c r="C2564" s="2" t="s">
        <v>24</v>
      </c>
      <c r="D2564" s="2" t="s">
        <v>3787</v>
      </c>
      <c r="E2564" s="2" t="s">
        <v>53</v>
      </c>
      <c r="F2564" s="11" t="s">
        <v>3851</v>
      </c>
      <c r="G2564" t="s">
        <v>39</v>
      </c>
      <c r="H2564" t="s">
        <v>3852</v>
      </c>
      <c r="I2564" t="s">
        <v>3835</v>
      </c>
      <c r="J2564" s="6" t="str">
        <f>HYPERLINK("https://www.biovista.com/db/link/%5B%5B%22Disease%7CSpinocerebellar%20Ataxia%20Type%203%22%5D,%20%5B%22Drug%7CInterleukin%201%20Receptor%20Antagonist%20Protein%22%5D%5D?strength-weight-map=%257B%2522MEDLINE_STRENGTH_AB%2522:1.0,%2522HPO%2522:100.0%257D", "Show Evidence...")</f>
        <v>Show Evidence...</v>
      </c>
    </row>
    <row r="2565" spans="1:10" ht="12.75">
      <c r="A2565" s="2" t="s">
        <v>50</v>
      </c>
      <c r="B2565" s="2" t="s">
        <v>3786</v>
      </c>
      <c r="C2565" s="2" t="s">
        <v>24</v>
      </c>
      <c r="D2565" s="2" t="s">
        <v>3787</v>
      </c>
      <c r="E2565" s="2" t="s">
        <v>53</v>
      </c>
      <c r="F2565" s="11" t="s">
        <v>3853</v>
      </c>
      <c r="G2565" t="s">
        <v>39</v>
      </c>
      <c r="H2565" t="s">
        <v>3854</v>
      </c>
      <c r="I2565" t="s">
        <v>3835</v>
      </c>
      <c r="J2565" s="6" t="str">
        <f>HYPERLINK("https://www.biovista.com/db/link/%5B%5B%22Disease%7CSpinocerebellar%20Ataxia%20Type%203%22%5D,%20%5B%22Drug%7CIofetamine%22%5D%5D?strength-weight-map=%257B%2522MEDLINE_STRENGTH_AB%2522:1.0,%2522HPO%2522:100.0%257D", "Show Evidence...")</f>
        <v>Show Evidence...</v>
      </c>
    </row>
    <row r="2566" spans="1:10" ht="12.75">
      <c r="A2566" s="2" t="s">
        <v>50</v>
      </c>
      <c r="B2566" s="2" t="s">
        <v>3786</v>
      </c>
      <c r="C2566" s="2" t="s">
        <v>24</v>
      </c>
      <c r="D2566" s="2" t="s">
        <v>3787</v>
      </c>
      <c r="E2566" s="2" t="s">
        <v>53</v>
      </c>
      <c r="F2566" s="11" t="s">
        <v>3855</v>
      </c>
      <c r="G2566" t="s">
        <v>39</v>
      </c>
      <c r="H2566" t="s">
        <v>3856</v>
      </c>
      <c r="I2566" t="s">
        <v>3835</v>
      </c>
      <c r="J2566" s="6" t="str">
        <f>HYPERLINK("https://www.biovista.com/db/link/%5B%5B%22Disease%7CSpinocerebellar%20Ataxia%20Type%203%22%5D,%20%5B%22Drug%7CIonomycin%22%5D%5D?strength-weight-map=%257B%2522MEDLINE_STRENGTH_AB%2522:1.0,%2522HPO%2522:100.0%257D", "Show Evidence...")</f>
        <v>Show Evidence...</v>
      </c>
    </row>
    <row r="2567" spans="1:10" ht="12.75">
      <c r="A2567" s="2" t="s">
        <v>50</v>
      </c>
      <c r="B2567" s="2" t="s">
        <v>3786</v>
      </c>
      <c r="C2567" s="2" t="s">
        <v>24</v>
      </c>
      <c r="D2567" s="2" t="s">
        <v>3787</v>
      </c>
      <c r="E2567" s="2" t="s">
        <v>53</v>
      </c>
      <c r="F2567" s="11" t="s">
        <v>3857</v>
      </c>
      <c r="G2567" t="s">
        <v>39</v>
      </c>
      <c r="H2567" t="s">
        <v>3858</v>
      </c>
      <c r="I2567" t="s">
        <v>3835</v>
      </c>
      <c r="J2567" s="6" t="str">
        <f>HYPERLINK("https://www.biovista.com/db/link/%5B%5B%22Disease%7CSpinocerebellar%20Ataxia%20Type%203%22%5D,%20%5B%22Drug%7Clactacystin%22%5D%5D?strength-weight-map=%257B%2522MEDLINE_STRENGTH_AB%2522:1.0,%2522HPO%2522:100.0%257D", "Show Evidence...")</f>
        <v>Show Evidence...</v>
      </c>
    </row>
    <row r="2568" spans="1:10" ht="12.75">
      <c r="A2568" s="2" t="s">
        <v>50</v>
      </c>
      <c r="B2568" s="2" t="s">
        <v>3786</v>
      </c>
      <c r="C2568" s="2" t="s">
        <v>24</v>
      </c>
      <c r="D2568" s="2" t="s">
        <v>3787</v>
      </c>
      <c r="E2568" s="2" t="s">
        <v>53</v>
      </c>
      <c r="F2568" s="11" t="s">
        <v>138</v>
      </c>
      <c r="G2568" t="s">
        <v>39</v>
      </c>
      <c r="H2568" t="s">
        <v>139</v>
      </c>
      <c r="I2568" t="s">
        <v>3835</v>
      </c>
      <c r="J2568" s="6" t="str">
        <f>HYPERLINK("https://www.biovista.com/db/link/%5B%5B%22Disease%7CSpinocerebellar%20Ataxia%20Type%203%22%5D,%20%5B%22Drug%7CLactic%20Acid%22%5D%5D?strength-weight-map=%257B%2522MEDLINE_STRENGTH_AB%2522:1.0,%2522HPO%2522:100.0%257D", "Show Evidence...")</f>
        <v>Show Evidence...</v>
      </c>
    </row>
    <row r="2569" spans="1:10" ht="12.75">
      <c r="A2569" s="2" t="s">
        <v>50</v>
      </c>
      <c r="B2569" s="2" t="s">
        <v>3786</v>
      </c>
      <c r="C2569" s="2" t="s">
        <v>24</v>
      </c>
      <c r="D2569" s="2" t="s">
        <v>3787</v>
      </c>
      <c r="E2569" s="2" t="s">
        <v>53</v>
      </c>
      <c r="F2569" s="11" t="s">
        <v>1927</v>
      </c>
      <c r="G2569" t="s">
        <v>39</v>
      </c>
      <c r="H2569" t="s">
        <v>1928</v>
      </c>
      <c r="I2569" t="s">
        <v>3835</v>
      </c>
      <c r="J2569" s="6" t="str">
        <f>HYPERLINK("https://www.biovista.com/db/link/%5B%5B%22Disease%7CSpinocerebellar%20Ataxia%20Type%203%22%5D,%20%5B%22Drug%7CMethylene%20Blue%22%5D%5D?strength-weight-map=%257B%2522MEDLINE_STRENGTH_AB%2522:1.0,%2522HPO%2522:100.0%257D", "Show Evidence...")</f>
        <v>Show Evidence...</v>
      </c>
    </row>
    <row r="2570" spans="1:10" ht="12.75">
      <c r="A2570" s="2" t="s">
        <v>50</v>
      </c>
      <c r="B2570" s="2" t="s">
        <v>3786</v>
      </c>
      <c r="C2570" s="2" t="s">
        <v>24</v>
      </c>
      <c r="D2570" s="2" t="s">
        <v>3787</v>
      </c>
      <c r="E2570" s="2" t="s">
        <v>53</v>
      </c>
      <c r="F2570" s="11" t="s">
        <v>1929</v>
      </c>
      <c r="G2570" t="s">
        <v>39</v>
      </c>
      <c r="H2570" t="s">
        <v>1930</v>
      </c>
      <c r="I2570" t="s">
        <v>3835</v>
      </c>
      <c r="J2570" s="6" t="str">
        <f>HYPERLINK("https://www.biovista.com/db/link/%5B%5B%22Disease%7CSpinocerebellar%20Ataxia%20Type%203%22%5D,%20%5B%22Drug%7CNiacinamide%22%5D%5D?strength-weight-map=%257B%2522MEDLINE_STRENGTH_AB%2522:1.0,%2522HPO%2522:100.0%257D", "Show Evidence...")</f>
        <v>Show Evidence...</v>
      </c>
    </row>
    <row r="2571" spans="1:10" ht="12.75">
      <c r="A2571" s="2" t="s">
        <v>50</v>
      </c>
      <c r="B2571" s="2" t="s">
        <v>3786</v>
      </c>
      <c r="C2571" s="2" t="s">
        <v>24</v>
      </c>
      <c r="D2571" s="2" t="s">
        <v>3787</v>
      </c>
      <c r="E2571" s="2" t="s">
        <v>53</v>
      </c>
      <c r="F2571" s="11" t="s">
        <v>108</v>
      </c>
      <c r="G2571" t="s">
        <v>39</v>
      </c>
      <c r="H2571" t="s">
        <v>109</v>
      </c>
      <c r="I2571" t="s">
        <v>3835</v>
      </c>
      <c r="J2571" s="6" t="str">
        <f>HYPERLINK("https://www.biovista.com/db/link/%5B%5B%22Disease%7CSpinocerebellar%20Ataxia%20Type%203%22%5D,%20%5B%22Drug%7CNitric%20Oxide%22%5D%5D?strength-weight-map=%257B%2522MEDLINE_STRENGTH_AB%2522:1.0,%2522HPO%2522:100.0%257D", "Show Evidence...")</f>
        <v>Show Evidence...</v>
      </c>
    </row>
    <row r="2572" spans="1:10" ht="12.75">
      <c r="A2572" s="2" t="s">
        <v>50</v>
      </c>
      <c r="B2572" s="2" t="s">
        <v>3786</v>
      </c>
      <c r="C2572" s="2" t="s">
        <v>24</v>
      </c>
      <c r="D2572" s="2" t="s">
        <v>3787</v>
      </c>
      <c r="E2572" s="2" t="s">
        <v>53</v>
      </c>
      <c r="F2572" s="11" t="s">
        <v>947</v>
      </c>
      <c r="G2572" t="s">
        <v>39</v>
      </c>
      <c r="H2572" t="s">
        <v>948</v>
      </c>
      <c r="I2572" t="s">
        <v>3835</v>
      </c>
      <c r="J2572" s="6" t="str">
        <f>HYPERLINK("https://www.biovista.com/db/link/%5B%5B%22Disease%7CSpinocerebellar%20Ataxia%20Type%203%22%5D,%20%5B%22Drug%7CPhosphocreatine%22%5D%5D?strength-weight-map=%257B%2522MEDLINE_STRENGTH_AB%2522:1.0,%2522HPO%2522:100.0%257D", "Show Evidence...")</f>
        <v>Show Evidence...</v>
      </c>
    </row>
    <row r="2573" spans="1:10" ht="12.75">
      <c r="A2573" s="2" t="s">
        <v>50</v>
      </c>
      <c r="B2573" s="2" t="s">
        <v>3786</v>
      </c>
      <c r="C2573" s="2" t="s">
        <v>24</v>
      </c>
      <c r="D2573" s="2" t="s">
        <v>3787</v>
      </c>
      <c r="E2573" s="2" t="s">
        <v>53</v>
      </c>
      <c r="F2573" s="11" t="s">
        <v>3859</v>
      </c>
      <c r="G2573" t="s">
        <v>39</v>
      </c>
      <c r="H2573" t="s">
        <v>3860</v>
      </c>
      <c r="I2573" t="s">
        <v>3835</v>
      </c>
      <c r="J2573" s="6" t="str">
        <f>HYPERLINK("https://www.biovista.com/db/link/%5B%5B%22Disease%7CSpinocerebellar%20Ataxia%20Type%203%22%5D,%20%5B%22Drug%7CRaclopride%22%5D%5D?strength-weight-map=%257B%2522MEDLINE_STRENGTH_AB%2522:1.0,%2522HPO%2522:100.0%257D", "Show Evidence...")</f>
        <v>Show Evidence...</v>
      </c>
    </row>
    <row r="2574" spans="1:10" ht="12.75">
      <c r="A2574" s="2" t="s">
        <v>50</v>
      </c>
      <c r="B2574" s="2" t="s">
        <v>3786</v>
      </c>
      <c r="C2574" s="2" t="s">
        <v>24</v>
      </c>
      <c r="D2574" s="2" t="s">
        <v>3787</v>
      </c>
      <c r="E2574" s="2" t="s">
        <v>53</v>
      </c>
      <c r="F2574" s="11" t="s">
        <v>1854</v>
      </c>
      <c r="G2574" t="s">
        <v>39</v>
      </c>
      <c r="H2574" t="s">
        <v>1855</v>
      </c>
      <c r="I2574" t="s">
        <v>3835</v>
      </c>
      <c r="J2574" s="6" t="str">
        <f>HYPERLINK("https://www.biovista.com/db/link/%5B%5B%22Disease%7CSpinocerebellar%20Ataxia%20Type%203%22%5D,%20%5B%22Drug%7CRotenone%22%5D%5D?strength-weight-map=%257B%2522MEDLINE_STRENGTH_AB%2522:1.0,%2522HPO%2522:100.0%257D", "Show Evidence...")</f>
        <v>Show Evidence...</v>
      </c>
    </row>
    <row r="2575" spans="1:10" ht="12.75">
      <c r="A2575" s="2" t="s">
        <v>50</v>
      </c>
      <c r="B2575" s="2" t="s">
        <v>3786</v>
      </c>
      <c r="C2575" s="2" t="s">
        <v>24</v>
      </c>
      <c r="D2575" s="2" t="s">
        <v>3787</v>
      </c>
      <c r="E2575" s="2" t="s">
        <v>53</v>
      </c>
      <c r="F2575" s="11" t="s">
        <v>2447</v>
      </c>
      <c r="G2575" t="s">
        <v>39</v>
      </c>
      <c r="H2575" t="s">
        <v>2448</v>
      </c>
      <c r="I2575" t="s">
        <v>3835</v>
      </c>
      <c r="J2575" s="6" t="str">
        <f>HYPERLINK("https://www.biovista.com/db/link/%5B%5B%22Disease%7CSpinocerebellar%20Ataxia%20Type%203%22%5D,%20%5B%22Drug%7CThyrotropin-Releasing%20Hormone%22%5D%5D?strength-weight-map=%257B%2522MEDLINE_STRENGTH_AB%2522:1.0,%2522HPO%2522:100.0%257D", "Show Evidence...")</f>
        <v>Show Evidence...</v>
      </c>
    </row>
    <row r="2576" spans="1:10" ht="12.75">
      <c r="A2576" s="2" t="s">
        <v>50</v>
      </c>
      <c r="B2576" s="2" t="s">
        <v>3786</v>
      </c>
      <c r="C2576" s="2" t="s">
        <v>24</v>
      </c>
      <c r="D2576" s="2" t="s">
        <v>3787</v>
      </c>
      <c r="E2576" s="2" t="s">
        <v>53</v>
      </c>
      <c r="F2576" s="11" t="s">
        <v>3474</v>
      </c>
      <c r="G2576" t="s">
        <v>39</v>
      </c>
      <c r="H2576" t="s">
        <v>3475</v>
      </c>
      <c r="I2576" t="s">
        <v>3835</v>
      </c>
      <c r="J2576" s="6" t="str">
        <f>HYPERLINK("https://www.biovista.com/db/link/%5B%5B%22Disease%7CSpinocerebellar%20Ataxia%20Type%203%22%5D,%20%5B%22Drug%7CTretinoin%22%5D%5D?strength-weight-map=%257B%2522MEDLINE_STRENGTH_AB%2522:1.0,%2522HPO%2522:100.0%257D", "Show Evidence...")</f>
        <v>Show Evidence...</v>
      </c>
    </row>
    <row r="2577" spans="1:10" ht="12.75">
      <c r="A2577" s="2" t="s">
        <v>50</v>
      </c>
      <c r="B2577" s="2" t="s">
        <v>3786</v>
      </c>
      <c r="C2577" s="2" t="s">
        <v>24</v>
      </c>
      <c r="D2577" s="2" t="s">
        <v>3787</v>
      </c>
      <c r="E2577" s="2" t="s">
        <v>53</v>
      </c>
      <c r="F2577" s="11" t="s">
        <v>3861</v>
      </c>
      <c r="G2577" t="s">
        <v>39</v>
      </c>
      <c r="H2577" t="s">
        <v>3862</v>
      </c>
      <c r="I2577" t="s">
        <v>3863</v>
      </c>
      <c r="J2577" s="6" t="s">
        <v>3864</v>
      </c>
    </row>
    <row r="2578" spans="1:10" ht="12.75">
      <c r="A2578" s="2" t="s">
        <v>50</v>
      </c>
      <c r="B2578" s="2" t="s">
        <v>3786</v>
      </c>
      <c r="C2578" s="2" t="s">
        <v>24</v>
      </c>
      <c r="D2578" s="2" t="s">
        <v>3787</v>
      </c>
      <c r="E2578" s="2" t="s">
        <v>53</v>
      </c>
      <c r="F2578" s="11" t="s">
        <v>979</v>
      </c>
      <c r="G2578" t="s">
        <v>39</v>
      </c>
      <c r="H2578" t="s">
        <v>980</v>
      </c>
      <c r="I2578" t="s">
        <v>3863</v>
      </c>
      <c r="J2578" s="6" t="str">
        <f>HYPERLINK("https://www.biovista.com/db/link/%5B%5B%22Disease%7CSpinocerebellar%20Ataxia%20Type%203%22%5D,%20%5B%22Drug%7C6-Cyano-7-nitroquinoxaline-2,3-dione%22%5D%5D?strength-weight-map=%257B%2522MEDLINE_STRENGTH_AB%2522:1.0,%2522HPO%2522:100.0%257D", "Show Evidence...")</f>
        <v>Show Evidence...</v>
      </c>
    </row>
    <row r="2579" spans="1:10" ht="12.75">
      <c r="A2579" s="2" t="s">
        <v>50</v>
      </c>
      <c r="B2579" s="2" t="s">
        <v>3786</v>
      </c>
      <c r="C2579" s="2" t="s">
        <v>24</v>
      </c>
      <c r="D2579" s="2" t="s">
        <v>3787</v>
      </c>
      <c r="E2579" s="2" t="s">
        <v>53</v>
      </c>
      <c r="F2579" s="11" t="s">
        <v>3865</v>
      </c>
      <c r="G2579" t="s">
        <v>39</v>
      </c>
      <c r="H2579" t="s">
        <v>3866</v>
      </c>
      <c r="I2579" t="s">
        <v>3863</v>
      </c>
      <c r="J2579" s="6" t="str">
        <f>HYPERLINK("https://www.biovista.com/db/link/%5B%5B%22Disease%7CSpinocerebellar%20Ataxia%20Type%203%22%5D,%20%5B%22Drug%7Calfacalcidol%22%5D%5D?strength-weight-map=%257B%2522MEDLINE_STRENGTH_AB%2522:1.0,%2522HPO%2522:100.0%257D", "Show Evidence...")</f>
        <v>Show Evidence...</v>
      </c>
    </row>
    <row r="2580" spans="1:10" ht="12.75">
      <c r="A2580" s="2" t="s">
        <v>50</v>
      </c>
      <c r="B2580" s="2" t="s">
        <v>3786</v>
      </c>
      <c r="C2580" s="2" t="s">
        <v>24</v>
      </c>
      <c r="D2580" s="2" t="s">
        <v>3787</v>
      </c>
      <c r="E2580" s="2" t="s">
        <v>53</v>
      </c>
      <c r="F2580" s="11" t="s">
        <v>3867</v>
      </c>
      <c r="G2580" t="s">
        <v>39</v>
      </c>
      <c r="H2580" t="s">
        <v>3868</v>
      </c>
      <c r="I2580" t="s">
        <v>3863</v>
      </c>
      <c r="J2580" s="6" t="str">
        <f>HYPERLINK("https://www.biovista.com/db/link/%5B%5B%22Disease%7CSpinocerebellar%20Ataxia%20Type%203%22%5D,%20%5B%22Drug%7CArsenic%20Trioxide%22%5D%5D?strength-weight-map=%257B%2522MEDLINE_STRENGTH_AB%2522:1.0,%2522HPO%2522:100.0%257D", "Show Evidence...")</f>
        <v>Show Evidence...</v>
      </c>
    </row>
    <row r="2581" spans="1:10" ht="12.75">
      <c r="A2581" s="2" t="s">
        <v>50</v>
      </c>
      <c r="B2581" s="2" t="s">
        <v>3786</v>
      </c>
      <c r="C2581" s="2" t="s">
        <v>24</v>
      </c>
      <c r="D2581" s="2" t="s">
        <v>3787</v>
      </c>
      <c r="E2581" s="2" t="s">
        <v>53</v>
      </c>
      <c r="F2581" s="11" t="s">
        <v>3869</v>
      </c>
      <c r="G2581" t="s">
        <v>39</v>
      </c>
      <c r="H2581" t="s">
        <v>3870</v>
      </c>
      <c r="I2581" t="s">
        <v>3863</v>
      </c>
      <c r="J2581" s="6" t="str">
        <f>HYPERLINK("https://www.biovista.com/db/link/%5B%5B%22Disease%7CSpinocerebellar%20Ataxia%20Type%203%22%5D,%20%5B%22Drug%7CBethanechol%22%5D%5D?strength-weight-map=%257B%2522MEDLINE_STRENGTH_AB%2522:1.0,%2522HPO%2522:100.0%257D", "Show Evidence...")</f>
        <v>Show Evidence...</v>
      </c>
    </row>
    <row r="2582" spans="1:10" ht="12.75">
      <c r="A2582" s="2" t="s">
        <v>50</v>
      </c>
      <c r="B2582" s="2" t="s">
        <v>3786</v>
      </c>
      <c r="C2582" s="2" t="s">
        <v>24</v>
      </c>
      <c r="D2582" s="2" t="s">
        <v>3787</v>
      </c>
      <c r="E2582" s="2" t="s">
        <v>53</v>
      </c>
      <c r="F2582" s="11" t="s">
        <v>3871</v>
      </c>
      <c r="G2582" t="s">
        <v>39</v>
      </c>
      <c r="H2582" t="s">
        <v>3872</v>
      </c>
      <c r="I2582" t="s">
        <v>3863</v>
      </c>
      <c r="J2582" s="6" t="str">
        <f>HYPERLINK("https://www.biovista.com/db/link/%5B%5B%22Disease%7CSpinocerebellar%20Ataxia%20Type%203%22%5D,%20%5B%22Drug%7CBosentan%22%5D%5D?strength-weight-map=%257B%2522MEDLINE_STRENGTH_AB%2522:1.0,%2522HPO%2522:100.0%257D", "Show Evidence...")</f>
        <v>Show Evidence...</v>
      </c>
    </row>
    <row r="2583" spans="1:10" ht="12.75">
      <c r="A2583" s="2" t="s">
        <v>50</v>
      </c>
      <c r="B2583" s="2" t="s">
        <v>3786</v>
      </c>
      <c r="C2583" s="2" t="s">
        <v>24</v>
      </c>
      <c r="D2583" s="2" t="s">
        <v>3787</v>
      </c>
      <c r="E2583" s="2" t="s">
        <v>53</v>
      </c>
      <c r="F2583" s="11" t="s">
        <v>3873</v>
      </c>
      <c r="G2583" t="s">
        <v>39</v>
      </c>
      <c r="H2583" t="s">
        <v>3874</v>
      </c>
      <c r="I2583" t="s">
        <v>3863</v>
      </c>
      <c r="J2583" s="6" t="str">
        <f>HYPERLINK("https://www.biovista.com/db/link/%5B%5B%22Disease%7CSpinocerebellar%20Ataxia%20Type%203%22%5D,%20%5B%22Drug%7Ccandesartan%22%5D%5D?strength-weight-map=%257B%2522MEDLINE_STRENGTH_AB%2522:1.0,%2522HPO%2522:100.0%257D", "Show Evidence...")</f>
        <v>Show Evidence...</v>
      </c>
    </row>
    <row r="2584" spans="1:10" ht="12.75">
      <c r="A2584" s="2" t="s">
        <v>50</v>
      </c>
      <c r="B2584" s="2" t="s">
        <v>3786</v>
      </c>
      <c r="C2584" s="2" t="s">
        <v>24</v>
      </c>
      <c r="D2584" s="2" t="s">
        <v>3787</v>
      </c>
      <c r="E2584" s="2" t="s">
        <v>53</v>
      </c>
      <c r="F2584" s="11" t="s">
        <v>285</v>
      </c>
      <c r="G2584" t="s">
        <v>39</v>
      </c>
      <c r="H2584" t="s">
        <v>286</v>
      </c>
      <c r="I2584" t="s">
        <v>3863</v>
      </c>
      <c r="J2584" s="6" t="str">
        <f>HYPERLINK("https://www.biovista.com/db/link/%5B%5B%22Disease%7CSpinocerebellar%20Ataxia%20Type%203%22%5D,%20%5B%22Drug%7CCocaine%22%5D%5D?strength-weight-map=%257B%2522MEDLINE_STRENGTH_AB%2522:1.0,%2522HPO%2522:100.0%257D", "Show Evidence...")</f>
        <v>Show Evidence...</v>
      </c>
    </row>
    <row r="2585" spans="1:10" ht="12.75">
      <c r="A2585" s="2" t="s">
        <v>50</v>
      </c>
      <c r="B2585" s="2" t="s">
        <v>3786</v>
      </c>
      <c r="C2585" s="2" t="s">
        <v>24</v>
      </c>
      <c r="D2585" s="2" t="s">
        <v>3787</v>
      </c>
      <c r="E2585" s="2" t="s">
        <v>53</v>
      </c>
      <c r="F2585" s="11" t="s">
        <v>3875</v>
      </c>
      <c r="G2585" t="s">
        <v>39</v>
      </c>
      <c r="H2585" t="s">
        <v>3876</v>
      </c>
      <c r="I2585" t="s">
        <v>3863</v>
      </c>
      <c r="J2585" s="6" t="str">
        <f>HYPERLINK("https://www.biovista.com/db/link/%5B%5B%22Disease%7CSpinocerebellar%20Ataxia%20Type%203%22%5D,%20%5B%22Drug%7Ccoumarin%22%5D%5D?strength-weight-map=%257B%2522MEDLINE_STRENGTH_AB%2522:1.0,%2522HPO%2522:100.0%257D", "Show Evidence...")</f>
        <v>Show Evidence...</v>
      </c>
    </row>
    <row r="2586" spans="1:10" ht="12.75">
      <c r="A2586" s="2" t="s">
        <v>50</v>
      </c>
      <c r="B2586" s="2" t="s">
        <v>3786</v>
      </c>
      <c r="C2586" s="2" t="s">
        <v>24</v>
      </c>
      <c r="D2586" s="2" t="s">
        <v>3787</v>
      </c>
      <c r="E2586" s="2" t="s">
        <v>53</v>
      </c>
      <c r="F2586" s="11" t="s">
        <v>3877</v>
      </c>
      <c r="G2586" t="s">
        <v>39</v>
      </c>
      <c r="H2586" t="s">
        <v>3878</v>
      </c>
      <c r="I2586" t="s">
        <v>3863</v>
      </c>
      <c r="J2586" s="6" t="str">
        <f>HYPERLINK("https://www.biovista.com/db/link/%5B%5B%22Disease%7CSpinocerebellar%20Ataxia%20Type%203%22%5D,%20%5B%22Drug%7CDoxazosin%22%5D%5D?strength-weight-map=%257B%2522MEDLINE_STRENGTH_AB%2522:1.0,%2522HPO%2522:100.0%257D", "Show Evidence...")</f>
        <v>Show Evidence...</v>
      </c>
    </row>
    <row r="2587" spans="1:10" ht="12.75">
      <c r="A2587" s="2" t="s">
        <v>50</v>
      </c>
      <c r="B2587" s="2" t="s">
        <v>3786</v>
      </c>
      <c r="C2587" s="2" t="s">
        <v>24</v>
      </c>
      <c r="D2587" s="2" t="s">
        <v>3787</v>
      </c>
      <c r="E2587" s="2" t="s">
        <v>53</v>
      </c>
      <c r="F2587" s="11" t="s">
        <v>3879</v>
      </c>
      <c r="G2587" t="s">
        <v>39</v>
      </c>
      <c r="H2587" t="s">
        <v>3880</v>
      </c>
      <c r="I2587" t="s">
        <v>3863</v>
      </c>
      <c r="J2587" s="6" t="str">
        <f>HYPERLINK("https://www.biovista.com/db/link/%5B%5B%22Disease%7CSpinocerebellar%20Ataxia%20Type%203%22%5D,%20%5B%22Drug%7CGabapentin%22%5D%5D?strength-weight-map=%257B%2522MEDLINE_STRENGTH_AB%2522:1.0,%2522HPO%2522:100.0%257D", "Show Evidence...")</f>
        <v>Show Evidence...</v>
      </c>
    </row>
    <row r="2588" spans="1:10" ht="12.75">
      <c r="A2588" s="2" t="s">
        <v>50</v>
      </c>
      <c r="B2588" s="2" t="s">
        <v>3786</v>
      </c>
      <c r="C2588" s="2" t="s">
        <v>24</v>
      </c>
      <c r="D2588" s="2" t="s">
        <v>3787</v>
      </c>
      <c r="E2588" s="2" t="s">
        <v>53</v>
      </c>
      <c r="F2588" s="11" t="s">
        <v>1850</v>
      </c>
      <c r="G2588" t="s">
        <v>39</v>
      </c>
      <c r="H2588" t="s">
        <v>1851</v>
      </c>
      <c r="I2588" t="s">
        <v>3863</v>
      </c>
      <c r="J2588" s="6" t="str">
        <f>HYPERLINK("https://www.biovista.com/db/link/%5B%5B%22Disease%7CSpinocerebellar%20Ataxia%20Type%203%22%5D,%20%5B%22Drug%7Cidebenone%22%5D%5D?strength-weight-map=%257B%2522MEDLINE_STRENGTH_AB%2522:1.0,%2522HPO%2522:100.0%257D", "Show Evidence...")</f>
        <v>Show Evidence...</v>
      </c>
    </row>
    <row r="2589" spans="1:10" ht="12.75">
      <c r="A2589" s="2" t="s">
        <v>50</v>
      </c>
      <c r="B2589" s="2" t="s">
        <v>3786</v>
      </c>
      <c r="C2589" s="2" t="s">
        <v>24</v>
      </c>
      <c r="D2589" s="2" t="s">
        <v>3787</v>
      </c>
      <c r="E2589" s="2" t="s">
        <v>53</v>
      </c>
      <c r="F2589" s="11" t="s">
        <v>3881</v>
      </c>
      <c r="G2589" t="s">
        <v>39</v>
      </c>
      <c r="H2589" t="s">
        <v>3882</v>
      </c>
      <c r="I2589" t="s">
        <v>3863</v>
      </c>
      <c r="J2589" s="6" t="str">
        <f>HYPERLINK("https://www.biovista.com/db/link/%5B%5B%22Disease%7CSpinocerebellar%20Ataxia%20Type%203%22%5D,%20%5B%22Drug%7CInterleukin-12%22%5D%5D?strength-weight-map=%257B%2522MEDLINE_STRENGTH_AB%2522:1.0,%2522HPO%2522:100.0%257D", "Show Evidence...")</f>
        <v>Show Evidence...</v>
      </c>
    </row>
    <row r="2590" spans="1:10" ht="12.75">
      <c r="A2590" s="2" t="s">
        <v>50</v>
      </c>
      <c r="B2590" s="2" t="s">
        <v>3786</v>
      </c>
      <c r="C2590" s="2" t="s">
        <v>24</v>
      </c>
      <c r="D2590" s="2" t="s">
        <v>3787</v>
      </c>
      <c r="E2590" s="2" t="s">
        <v>53</v>
      </c>
      <c r="F2590" s="11" t="s">
        <v>3883</v>
      </c>
      <c r="G2590" t="s">
        <v>39</v>
      </c>
      <c r="H2590" t="s">
        <v>3884</v>
      </c>
      <c r="I2590" t="s">
        <v>3863</v>
      </c>
      <c r="J2590" s="6" t="str">
        <f>HYPERLINK("https://www.biovista.com/db/link/%5B%5B%22Disease%7CSpinocerebellar%20Ataxia%20Type%203%22%5D,%20%5B%22Drug%7CLactulose%22%5D%5D?strength-weight-map=%257B%2522MEDLINE_STRENGTH_AB%2522:1.0,%2522HPO%2522:100.0%257D", "Show Evidence...")</f>
        <v>Show Evidence...</v>
      </c>
    </row>
    <row r="2591" spans="1:10" ht="12.75">
      <c r="A2591" s="2" t="s">
        <v>50</v>
      </c>
      <c r="B2591" s="2" t="s">
        <v>3786</v>
      </c>
      <c r="C2591" s="2" t="s">
        <v>24</v>
      </c>
      <c r="D2591" s="2" t="s">
        <v>3787</v>
      </c>
      <c r="E2591" s="2" t="s">
        <v>53</v>
      </c>
      <c r="F2591" s="11" t="s">
        <v>1091</v>
      </c>
      <c r="G2591" t="s">
        <v>39</v>
      </c>
      <c r="H2591" t="s">
        <v>1092</v>
      </c>
      <c r="I2591" t="s">
        <v>3863</v>
      </c>
      <c r="J2591" s="6" t="str">
        <f>HYPERLINK("https://www.biovista.com/db/link/%5B%5B%22Disease%7CSpinocerebellar%20Ataxia%20Type%203%22%5D,%20%5B%22Drug%7CLamotrigine%22%5D%5D?strength-weight-map=%257B%2522MEDLINE_STRENGTH_AB%2522:1.0,%2522HPO%2522:100.0%257D", "Show Evidence...")</f>
        <v>Show Evidence...</v>
      </c>
    </row>
    <row r="2592" spans="1:10" ht="12.75">
      <c r="A2592" s="2" t="s">
        <v>50</v>
      </c>
      <c r="B2592" s="2" t="s">
        <v>3786</v>
      </c>
      <c r="C2592" s="2" t="s">
        <v>24</v>
      </c>
      <c r="D2592" s="2" t="s">
        <v>3787</v>
      </c>
      <c r="E2592" s="2" t="s">
        <v>53</v>
      </c>
      <c r="F2592" s="11" t="s">
        <v>3885</v>
      </c>
      <c r="G2592" t="s">
        <v>39</v>
      </c>
      <c r="H2592" t="s">
        <v>3886</v>
      </c>
      <c r="I2592" t="s">
        <v>3863</v>
      </c>
      <c r="J2592" s="6" t="str">
        <f>HYPERLINK("https://www.biovista.com/db/link/%5B%5B%22Disease%7CSpinocerebellar%20Ataxia%20Type%203%22%5D,%20%5B%22Drug%7CLithium%20Compounds%22%5D%5D?strength-weight-map=%257B%2522MEDLINE_STRENGTH_AB%2522:1.0,%2522HPO%2522:100.0%257D", "Show Evidence...")</f>
        <v>Show Evidence...</v>
      </c>
    </row>
    <row r="2593" spans="1:10" ht="12.75">
      <c r="A2593" s="2" t="s">
        <v>50</v>
      </c>
      <c r="B2593" s="2" t="s">
        <v>3786</v>
      </c>
      <c r="C2593" s="2" t="s">
        <v>24</v>
      </c>
      <c r="D2593" s="2" t="s">
        <v>3787</v>
      </c>
      <c r="E2593" s="2" t="s">
        <v>53</v>
      </c>
      <c r="F2593" s="11" t="s">
        <v>3887</v>
      </c>
      <c r="G2593" t="s">
        <v>39</v>
      </c>
      <c r="H2593" t="s">
        <v>3888</v>
      </c>
      <c r="I2593" t="s">
        <v>3863</v>
      </c>
      <c r="J2593" s="6" t="str">
        <f>HYPERLINK("https://www.biovista.com/db/link/%5B%5B%22Disease%7CSpinocerebellar%20Ataxia%20Type%203%22%5D,%20%5B%22Drug%7CLong-Acting%20Thyroid%20Stimulator%22%5D%5D?strength-weight-map=%257B%2522MEDLINE_STRENGTH_AB%2522:1.0,%2522HPO%2522:100.0%257D", "Show Evidence...")</f>
        <v>Show Evidence...</v>
      </c>
    </row>
    <row r="2594" spans="1:10" ht="12.75">
      <c r="A2594" s="2" t="s">
        <v>50</v>
      </c>
      <c r="B2594" s="2" t="s">
        <v>3786</v>
      </c>
      <c r="C2594" s="2" t="s">
        <v>24</v>
      </c>
      <c r="D2594" s="2" t="s">
        <v>3787</v>
      </c>
      <c r="E2594" s="2" t="s">
        <v>53</v>
      </c>
      <c r="F2594" s="8" t="s">
        <v>3889</v>
      </c>
      <c r="G2594" t="s">
        <v>39</v>
      </c>
      <c r="H2594" t="s">
        <v>3890</v>
      </c>
      <c r="I2594" t="s">
        <v>3863</v>
      </c>
      <c r="J2594" s="6" t="str">
        <f>HYPERLINK("https://www.biovista.com/db/link/%5B%5B%22Disease%7CSpinocerebellar%20Ataxia%20Type%203%22%5D,%20%5B%22Drug%7CLoperamide%22%5D%5D?strength-weight-map=%257B%2522MEDLINE_STRENGTH_AB%2522:1.0,%2522HPO%2522:100.0%257D", "Show Evidence...")</f>
        <v>Show Evidence...</v>
      </c>
    </row>
    <row r="2595" spans="1:10" ht="12.75">
      <c r="A2595" s="2" t="s">
        <v>50</v>
      </c>
      <c r="B2595" s="2" t="s">
        <v>3786</v>
      </c>
      <c r="C2595" s="2" t="s">
        <v>24</v>
      </c>
      <c r="D2595" s="2" t="s">
        <v>3787</v>
      </c>
      <c r="E2595" s="2" t="s">
        <v>53</v>
      </c>
      <c r="F2595" s="11" t="s">
        <v>1050</v>
      </c>
      <c r="G2595" t="s">
        <v>39</v>
      </c>
      <c r="H2595" t="s">
        <v>1051</v>
      </c>
      <c r="I2595" t="s">
        <v>3863</v>
      </c>
      <c r="J2595" s="6" t="str">
        <f>HYPERLINK("https://www.biovista.com/db/link/%5B%5B%22Disease%7CSpinocerebellar%20Ataxia%20Type%203%22%5D,%20%5B%22Drug%7COctoxynol%22%5D%5D?strength-weight-map=%257B%2522MEDLINE_STRENGTH_AB%2522:1.0,%2522HPO%2522:100.0%257D", "Show Evidence...")</f>
        <v>Show Evidence...</v>
      </c>
    </row>
    <row r="2596" spans="1:10" ht="12.75">
      <c r="A2596" s="2" t="s">
        <v>50</v>
      </c>
      <c r="B2596" s="2" t="s">
        <v>3786</v>
      </c>
      <c r="C2596" s="2" t="s">
        <v>24</v>
      </c>
      <c r="D2596" s="2" t="s">
        <v>3787</v>
      </c>
      <c r="E2596" s="2" t="s">
        <v>53</v>
      </c>
      <c r="F2596" s="11" t="s">
        <v>2966</v>
      </c>
      <c r="G2596" t="s">
        <v>39</v>
      </c>
      <c r="H2596" t="s">
        <v>2967</v>
      </c>
      <c r="I2596" t="s">
        <v>3863</v>
      </c>
      <c r="J2596" s="6" t="str">
        <f>HYPERLINK("https://www.biovista.com/db/link/%5B%5B%22Disease%7CSpinocerebellar%20Ataxia%20Type%203%22%5D,%20%5B%22Drug%7CProtein%20S%22%5D%5D?strength-weight-map=%257B%2522MEDLINE_STRENGTH_AB%2522:1.0,%2522HPO%2522:100.0%257D", "Show Evidence...")</f>
        <v>Show Evidence...</v>
      </c>
    </row>
    <row r="2597" spans="1:10" ht="12.75">
      <c r="A2597" s="2" t="s">
        <v>50</v>
      </c>
      <c r="B2597" s="2" t="s">
        <v>3786</v>
      </c>
      <c r="C2597" s="2" t="s">
        <v>24</v>
      </c>
      <c r="D2597" s="2" t="s">
        <v>3787</v>
      </c>
      <c r="E2597" s="2" t="s">
        <v>53</v>
      </c>
      <c r="F2597" s="11" t="s">
        <v>272</v>
      </c>
      <c r="G2597" t="s">
        <v>39</v>
      </c>
      <c r="H2597" t="s">
        <v>273</v>
      </c>
      <c r="I2597" t="s">
        <v>3863</v>
      </c>
      <c r="J2597" s="6" t="str">
        <f>HYPERLINK("https://www.biovista.com/db/link/%5B%5B%22Disease%7CSpinocerebellar%20Ataxia%20Type%203%22%5D,%20%5B%22Drug%7CQuercetin%22%5D%5D?strength-weight-map=%257B%2522MEDLINE_STRENGTH_AB%2522:1.0,%2522HPO%2522:100.0%257D", "Show Evidence...")</f>
        <v>Show Evidence...</v>
      </c>
    </row>
    <row r="2598" spans="1:10" ht="12.75">
      <c r="A2598" s="2" t="s">
        <v>50</v>
      </c>
      <c r="B2598" s="2" t="s">
        <v>3786</v>
      </c>
      <c r="C2598" s="2" t="s">
        <v>24</v>
      </c>
      <c r="D2598" s="2" t="s">
        <v>3787</v>
      </c>
      <c r="E2598" s="2" t="s">
        <v>53</v>
      </c>
      <c r="F2598" s="11" t="s">
        <v>3466</v>
      </c>
      <c r="G2598" t="s">
        <v>39</v>
      </c>
      <c r="H2598" t="s">
        <v>3467</v>
      </c>
      <c r="I2598" t="s">
        <v>3863</v>
      </c>
      <c r="J2598" s="6" t="str">
        <f>HYPERLINK("https://www.biovista.com/db/link/%5B%5B%22Disease%7CSpinocerebellar%20Ataxia%20Type%203%22%5D,%20%5B%22Drug%7CReserpine%22%5D%5D?strength-weight-map=%257B%2522MEDLINE_STRENGTH_AB%2522:1.0,%2522HPO%2522:100.0%257D", "Show Evidence...")</f>
        <v>Show Evidence...</v>
      </c>
    </row>
    <row r="2599" spans="1:10" ht="12.75">
      <c r="A2599" s="2" t="s">
        <v>50</v>
      </c>
      <c r="B2599" s="2" t="s">
        <v>3786</v>
      </c>
      <c r="C2599" s="2" t="s">
        <v>24</v>
      </c>
      <c r="D2599" s="2" t="s">
        <v>3787</v>
      </c>
      <c r="E2599" s="2" t="s">
        <v>53</v>
      </c>
      <c r="F2599" s="11" t="s">
        <v>1956</v>
      </c>
      <c r="G2599" t="s">
        <v>39</v>
      </c>
      <c r="H2599" t="s">
        <v>1957</v>
      </c>
      <c r="I2599" t="s">
        <v>3863</v>
      </c>
      <c r="J2599" s="6" t="str">
        <f>HYPERLINK("https://www.biovista.com/db/link/%5B%5B%22Disease%7CSpinocerebellar%20Ataxia%20Type%203%22%5D,%20%5B%22Drug%7Ctechnetium%20Tc%2099m%20bicisate%22%5D%5D?strength-weight-map=%257B%2522MEDLINE_STRENGTH_AB%2522:1.0,%2522HPO%2522:100.0%257D", "Show Evidence...")</f>
        <v>Show Evidence...</v>
      </c>
    </row>
    <row r="2600" spans="1:10" ht="12.75">
      <c r="A2600" s="2" t="s">
        <v>50</v>
      </c>
      <c r="B2600" s="2" t="s">
        <v>3786</v>
      </c>
      <c r="C2600" s="2" t="s">
        <v>24</v>
      </c>
      <c r="D2600" s="2" t="s">
        <v>3787</v>
      </c>
      <c r="E2600" s="2" t="s">
        <v>53</v>
      </c>
      <c r="F2600" s="11" t="s">
        <v>3891</v>
      </c>
      <c r="G2600" t="s">
        <v>39</v>
      </c>
      <c r="H2600" t="s">
        <v>3892</v>
      </c>
      <c r="I2600" t="s">
        <v>3863</v>
      </c>
      <c r="J2600" s="6" t="str">
        <f>HYPERLINK("https://www.biovista.com/db/link/%5B%5B%22Disease%7CSpinocerebellar%20Ataxia%20Type%203%22%5D,%20%5B%22Drug%7Ctyrphostin%2047%22%5D%5D?strength-weight-map=%257B%2522MEDLINE_STRENGTH_AB%2522:1.0,%2522HPO%2522:100.0%257D", "Show Evidence...")</f>
        <v>Show Evidence...</v>
      </c>
    </row>
    <row r="2601" spans="1:10" ht="12.75">
      <c r="A2601" s="2" t="s">
        <v>50</v>
      </c>
      <c r="B2601" s="2" t="s">
        <v>3786</v>
      </c>
      <c r="C2601" s="2" t="s">
        <v>24</v>
      </c>
      <c r="D2601" s="2" t="s">
        <v>3787</v>
      </c>
      <c r="E2601" s="2" t="s">
        <v>293</v>
      </c>
      <c r="F2601" s="11">
        <v>4287</v>
      </c>
      <c r="G2601" t="s">
        <v>36</v>
      </c>
      <c r="H2601" t="s">
        <v>2592</v>
      </c>
      <c r="I2601" t="s">
        <v>3893</v>
      </c>
      <c r="J2601" s="6" t="str">
        <f>HYPERLINK("https://www.biovista.com/db/link/%5B%5B%22Disease%7CSpinocerebellar%20Ataxia%20Type%203%22%5D,%20%5B%22Gene%7CATXN3%22%5D%5D?strength-weight-map=%257B%2522MEDLINE_STRENGTH_AB%2522:1.0,%2522HPO%2522:100.0%257D", "Show Evidence...")</f>
        <v>Show Evidence...</v>
      </c>
    </row>
    <row r="2602" spans="1:10" ht="12.75">
      <c r="A2602" s="2" t="s">
        <v>50</v>
      </c>
      <c r="B2602" s="2" t="s">
        <v>3786</v>
      </c>
      <c r="C2602" s="2" t="s">
        <v>24</v>
      </c>
      <c r="D2602" s="2" t="s">
        <v>3787</v>
      </c>
      <c r="E2602" s="2" t="s">
        <v>293</v>
      </c>
      <c r="F2602" s="11">
        <v>4287</v>
      </c>
      <c r="G2602" t="s">
        <v>36</v>
      </c>
      <c r="H2602" t="s">
        <v>3894</v>
      </c>
      <c r="I2602" t="s">
        <v>3895</v>
      </c>
      <c r="J2602" s="6" t="str">
        <f>HYPERLINK("https://www.biovista.com/db/link/%5B%5B%22Disease%7CSpinocerebellar%20Ataxia%20Type%203%22%5D,%20%5B%22Gene%7CSCA3%22%5D%5D?strength-weight-map=%257B%2522MEDLINE_STRENGTH_AB%2522:1.0,%2522HPO%2522:100.0%257D", "Show Evidence...")</f>
        <v>Show Evidence...</v>
      </c>
    </row>
    <row r="2603" spans="1:10" ht="12.75">
      <c r="A2603" s="2" t="s">
        <v>50</v>
      </c>
      <c r="B2603" s="2" t="s">
        <v>3786</v>
      </c>
      <c r="C2603" s="2" t="s">
        <v>24</v>
      </c>
      <c r="D2603" s="2" t="s">
        <v>3787</v>
      </c>
      <c r="E2603" s="2" t="s">
        <v>293</v>
      </c>
      <c r="F2603" s="11">
        <v>4287</v>
      </c>
      <c r="G2603" t="s">
        <v>36</v>
      </c>
      <c r="H2603" t="s">
        <v>3896</v>
      </c>
      <c r="I2603" t="s">
        <v>3897</v>
      </c>
      <c r="J2603" s="6" t="str">
        <f>HYPERLINK("https://www.biovista.com/db/link/%5B%5B%22Disease%7CSpinocerebellar%20Ataxia%20Type%203%22%5D,%20%5B%22Gene%7Cataxin-3%22%5D%5D?strength-weight-map=%257B%2522MEDLINE_STRENGTH_AB%2522:1.0,%2522HPO%2522:100.0%257D", "Show Evidence...")</f>
        <v>Show Evidence...</v>
      </c>
    </row>
    <row r="2604" spans="1:10" ht="12.75">
      <c r="A2604" s="2" t="s">
        <v>50</v>
      </c>
      <c r="B2604" s="2" t="s">
        <v>3786</v>
      </c>
      <c r="C2604" s="2" t="s">
        <v>24</v>
      </c>
      <c r="D2604" s="2" t="s">
        <v>3787</v>
      </c>
      <c r="E2604" s="2" t="s">
        <v>293</v>
      </c>
      <c r="F2604" s="11">
        <v>4287</v>
      </c>
      <c r="G2604" t="s">
        <v>36</v>
      </c>
      <c r="H2604" t="s">
        <v>3898</v>
      </c>
      <c r="I2604" t="s">
        <v>3899</v>
      </c>
      <c r="J2604" s="6" t="str">
        <f>HYPERLINK("https://www.biovista.com/db/link/%5B%5B%22Disease%7CSpinocerebellar%20Ataxia%20Type%203%22%5D,%20%5B%22Gene%7CMJD%22%5D%5D?strength-weight-map=%257B%2522MEDLINE_STRENGTH_AB%2522:1.0,%2522HPO%2522:100.0%257D", "Show Evidence...")</f>
        <v>Show Evidence...</v>
      </c>
    </row>
    <row r="2605" spans="1:10" ht="12.75">
      <c r="A2605" s="2" t="s">
        <v>50</v>
      </c>
      <c r="B2605" s="2" t="s">
        <v>3786</v>
      </c>
      <c r="C2605" s="2" t="s">
        <v>24</v>
      </c>
      <c r="D2605" s="2" t="s">
        <v>3787</v>
      </c>
      <c r="E2605" s="2" t="s">
        <v>293</v>
      </c>
      <c r="F2605" s="11">
        <v>4061</v>
      </c>
      <c r="G2605" t="s">
        <v>36</v>
      </c>
      <c r="H2605" t="s">
        <v>3900</v>
      </c>
      <c r="I2605" t="s">
        <v>3901</v>
      </c>
      <c r="J2605" s="6" t="str">
        <f>HYPERLINK("https://www.biovista.com/db/link/%5B%5B%22Disease%7CSpinocerebellar%20Ataxia%20Type%203%22%5D,%20%5B%22Gene%7CSCA2%22%5D%5D?strength-weight-map=%257B%2522MEDLINE_STRENGTH_AB%2522:1.0,%2522HPO%2522:100.0%257D", "Show Evidence...")</f>
        <v>Show Evidence...</v>
      </c>
    </row>
    <row r="2606" spans="1:10" ht="12.75">
      <c r="A2606" s="2" t="s">
        <v>50</v>
      </c>
      <c r="B2606" s="2" t="s">
        <v>3786</v>
      </c>
      <c r="C2606" s="2" t="s">
        <v>24</v>
      </c>
      <c r="D2606" s="2" t="s">
        <v>3787</v>
      </c>
      <c r="E2606" s="2" t="s">
        <v>293</v>
      </c>
      <c r="F2606" s="11">
        <v>6310</v>
      </c>
      <c r="G2606" t="s">
        <v>36</v>
      </c>
      <c r="H2606" t="s">
        <v>3902</v>
      </c>
      <c r="I2606" t="s">
        <v>3903</v>
      </c>
      <c r="J2606" s="6" t="str">
        <f>HYPERLINK("https://www.biovista.com/db/link/%5B%5B%22Disease%7CSpinocerebellar%20Ataxia%20Type%203%22%5D,%20%5B%22Gene%7CSCA1%22%5D%5D?strength-weight-map=%257B%2522MEDLINE_STRENGTH_AB%2522:1.0,%2522HPO%2522:100.0%257D", "Show Evidence...")</f>
        <v>Show Evidence...</v>
      </c>
    </row>
    <row r="2607" spans="1:10" ht="12.75">
      <c r="A2607" s="2" t="s">
        <v>50</v>
      </c>
      <c r="B2607" s="2" t="s">
        <v>3786</v>
      </c>
      <c r="C2607" s="2" t="s">
        <v>24</v>
      </c>
      <c r="D2607" s="2" t="s">
        <v>3787</v>
      </c>
      <c r="E2607" s="2" t="s">
        <v>293</v>
      </c>
      <c r="F2607" s="11">
        <v>773</v>
      </c>
      <c r="G2607" t="s">
        <v>36</v>
      </c>
      <c r="H2607" t="s">
        <v>3088</v>
      </c>
      <c r="I2607" t="s">
        <v>3904</v>
      </c>
      <c r="J2607" s="6" t="str">
        <f>HYPERLINK("https://www.biovista.com/db/link/%5B%5B%22Disease%7CSpinocerebellar%20Ataxia%20Type%203%22%5D,%20%5B%22Gene%7CCACNA1A%22%5D%5D?strength-weight-map=%257B%2522MEDLINE_STRENGTH_AB%2522:1.0,%2522HPO%2522:100.0%257D", "Show Evidence...")</f>
        <v>Show Evidence...</v>
      </c>
    </row>
    <row r="2608" spans="1:10" ht="12.75">
      <c r="A2608" s="2" t="s">
        <v>50</v>
      </c>
      <c r="B2608" s="2" t="s">
        <v>3786</v>
      </c>
      <c r="C2608" s="2" t="s">
        <v>24</v>
      </c>
      <c r="D2608" s="2" t="s">
        <v>3787</v>
      </c>
      <c r="E2608" s="2" t="s">
        <v>293</v>
      </c>
      <c r="F2608" s="8">
        <v>6314</v>
      </c>
      <c r="G2608" t="s">
        <v>36</v>
      </c>
      <c r="H2608" t="s">
        <v>3905</v>
      </c>
      <c r="I2608" t="s">
        <v>3906</v>
      </c>
      <c r="J2608" s="6" t="str">
        <f>HYPERLINK("https://www.biovista.com/db/link/%5B%5B%22Disease%7CSpinocerebellar%20Ataxia%20Type%203%22%5D,%20%5B%22Gene%7CSCA7%22%5D%5D?strength-weight-map=%257B%2522MEDLINE_STRENGTH_AB%2522:1.0,%2522HPO%2522:100.0%257D", "Show Evidence...")</f>
        <v>Show Evidence...</v>
      </c>
    </row>
    <row r="2609" spans="1:10" ht="12.75">
      <c r="A2609" s="2" t="s">
        <v>50</v>
      </c>
      <c r="B2609" s="2" t="s">
        <v>3786</v>
      </c>
      <c r="C2609" s="2" t="s">
        <v>24</v>
      </c>
      <c r="D2609" s="2" t="s">
        <v>3787</v>
      </c>
      <c r="E2609" s="2" t="s">
        <v>293</v>
      </c>
      <c r="F2609" s="11">
        <v>6310</v>
      </c>
      <c r="G2609" t="s">
        <v>36</v>
      </c>
      <c r="H2609" t="s">
        <v>2588</v>
      </c>
      <c r="I2609" t="s">
        <v>3907</v>
      </c>
      <c r="J2609" s="6" t="str">
        <f>HYPERLINK("https://www.biovista.com/db/link/%5B%5B%22Disease%7CSpinocerebellar%20Ataxia%20Type%203%22%5D,%20%5B%22Gene%7CATXN1%22%5D%5D?strength-weight-map=%257B%2522MEDLINE_STRENGTH_AB%2522:1.0,%2522HPO%2522:100.0%257D", "Show Evidence...")</f>
        <v>Show Evidence...</v>
      </c>
    </row>
    <row r="2610" spans="1:10" ht="12.75">
      <c r="A2610" s="2" t="s">
        <v>50</v>
      </c>
      <c r="B2610" s="2" t="s">
        <v>3786</v>
      </c>
      <c r="C2610" s="2" t="s">
        <v>24</v>
      </c>
      <c r="D2610" s="2" t="s">
        <v>3787</v>
      </c>
      <c r="E2610" s="2" t="s">
        <v>53</v>
      </c>
      <c r="F2610" s="11" t="s">
        <v>3908</v>
      </c>
      <c r="G2610" t="s">
        <v>36</v>
      </c>
      <c r="H2610" t="s">
        <v>3909</v>
      </c>
      <c r="I2610" t="s">
        <v>3910</v>
      </c>
      <c r="J2610" s="6" t="str">
        <f>HYPERLINK("https://www.biovista.com/db/link/%5B%5B%22Disease%7CSpinocerebellar%20Ataxia%20Type%203%22%5D,%20%5B%22Gene%7CSCA3%20Protein%22%5D%5D?strength-weight-map=%257B%2522MEDLINE_STRENGTH_AB%2522:1.0,%2522HPO%2522:100.0%257D", "Show Evidence...")</f>
        <v>Show Evidence...</v>
      </c>
    </row>
    <row r="2611" spans="1:10" ht="12.75">
      <c r="A2611" s="2" t="s">
        <v>50</v>
      </c>
      <c r="B2611" s="2" t="s">
        <v>3786</v>
      </c>
      <c r="C2611" s="2" t="s">
        <v>24</v>
      </c>
      <c r="D2611" s="2" t="s">
        <v>3787</v>
      </c>
      <c r="E2611" s="2" t="s">
        <v>53</v>
      </c>
      <c r="F2611" s="11" t="s">
        <v>3911</v>
      </c>
      <c r="G2611" t="s">
        <v>36</v>
      </c>
      <c r="H2611" t="s">
        <v>3912</v>
      </c>
      <c r="I2611" t="s">
        <v>3913</v>
      </c>
      <c r="J2611" s="6" t="str">
        <f>HYPERLINK("https://www.biovista.com/db/link/%5B%5B%22Disease%7CSpinocerebellar%20Ataxia%20Type%203%22%5D,%20%5B%22Gene%7CAtaxins%22%5D%5D?strength-weight-map=%257B%2522MEDLINE_STRENGTH_AB%2522:1.0,%2522HPO%2522:100.0%257D", "Show Evidence...")</f>
        <v>Show Evidence...</v>
      </c>
    </row>
    <row r="2612" spans="1:10" ht="12.75">
      <c r="A2612" s="2" t="s">
        <v>50</v>
      </c>
      <c r="B2612" s="2" t="s">
        <v>3786</v>
      </c>
      <c r="C2612" s="2" t="s">
        <v>24</v>
      </c>
      <c r="D2612" s="2" t="s">
        <v>3787</v>
      </c>
      <c r="E2612" s="2" t="s">
        <v>293</v>
      </c>
      <c r="F2612" s="11">
        <v>1822</v>
      </c>
      <c r="G2612" t="s">
        <v>36</v>
      </c>
      <c r="H2612" t="s">
        <v>3914</v>
      </c>
      <c r="I2612" t="s">
        <v>3915</v>
      </c>
      <c r="J2612" s="6" t="str">
        <f>HYPERLINK("https://www.biovista.com/db/link/%5B%5B%22Disease%7CSpinocerebellar%20Ataxia%20Type%203%22%5D,%20%5B%22Gene%7CDRPLA%22%5D%5D?strength-weight-map=%257B%2522MEDLINE_STRENGTH_AB%2522:1.0,%2522HPO%2522:100.0%257D", "Show Evidence...")</f>
        <v>Show Evidence...</v>
      </c>
    </row>
    <row r="2613" spans="1:10" ht="12.75">
      <c r="A2613" s="2" t="s">
        <v>50</v>
      </c>
      <c r="B2613" s="2" t="s">
        <v>3786</v>
      </c>
      <c r="C2613" s="2" t="s">
        <v>24</v>
      </c>
      <c r="D2613" s="2" t="s">
        <v>3787</v>
      </c>
      <c r="E2613" s="2" t="s">
        <v>293</v>
      </c>
      <c r="F2613" s="11">
        <v>4287</v>
      </c>
      <c r="G2613" t="s">
        <v>36</v>
      </c>
      <c r="H2613" t="s">
        <v>3916</v>
      </c>
      <c r="I2613" t="s">
        <v>3917</v>
      </c>
      <c r="J2613" s="6" t="str">
        <f>HYPERLINK("https://www.biovista.com/db/link/%5B%5B%22Disease%7CSpinocerebellar%20Ataxia%20Type%203%22%5D,%20%5B%22Gene%7CMJD1%22%5D%5D?strength-weight-map=%257B%2522MEDLINE_STRENGTH_AB%2522:1.0,%2522HPO%2522:100.0%257D", "Show Evidence...")</f>
        <v>Show Evidence...</v>
      </c>
    </row>
    <row r="2614" spans="1:10" ht="12.75">
      <c r="A2614" s="2" t="s">
        <v>50</v>
      </c>
      <c r="B2614" s="2" t="s">
        <v>3786</v>
      </c>
      <c r="C2614" s="2" t="s">
        <v>24</v>
      </c>
      <c r="D2614" s="2" t="s">
        <v>3787</v>
      </c>
      <c r="E2614" s="2" t="s">
        <v>293</v>
      </c>
      <c r="F2614" s="11">
        <v>6311</v>
      </c>
      <c r="G2614" t="s">
        <v>36</v>
      </c>
      <c r="H2614" t="s">
        <v>3918</v>
      </c>
      <c r="I2614" t="s">
        <v>3919</v>
      </c>
      <c r="J2614" s="6" t="str">
        <f>HYPERLINK("https://www.biovista.com/db/link/%5B%5B%22Disease%7CSpinocerebellar%20Ataxia%20Type%203%22%5D,%20%5B%22Gene%7CATXN2%22%5D%5D?strength-weight-map=%257B%2522MEDLINE_STRENGTH_AB%2522:1.0,%2522HPO%2522:100.0%257D", "Show Evidence...")</f>
        <v>Show Evidence...</v>
      </c>
    </row>
    <row r="2615" spans="1:10" ht="12.75">
      <c r="A2615" s="2" t="s">
        <v>50</v>
      </c>
      <c r="B2615" s="2" t="s">
        <v>3786</v>
      </c>
      <c r="C2615" s="2" t="s">
        <v>24</v>
      </c>
      <c r="D2615" s="2" t="s">
        <v>3787</v>
      </c>
      <c r="E2615" s="2" t="s">
        <v>293</v>
      </c>
      <c r="F2615" s="11">
        <v>6908</v>
      </c>
      <c r="G2615" t="s">
        <v>36</v>
      </c>
      <c r="H2615" t="s">
        <v>3920</v>
      </c>
      <c r="I2615" t="s">
        <v>3921</v>
      </c>
      <c r="J2615" s="6" t="str">
        <f>HYPERLINK("https://www.biovista.com/db/link/%5B%5B%22Disease%7CSpinocerebellar%20Ataxia%20Type%203%22%5D,%20%5B%22Gene%7CSCA17%22%5D%5D?strength-weight-map=%257B%2522MEDLINE_STRENGTH_AB%2522:1.0,%2522HPO%2522:100.0%257D", "Show Evidence...")</f>
        <v>Show Evidence...</v>
      </c>
    </row>
    <row r="2616" spans="1:10" ht="12.75">
      <c r="A2616" s="2" t="s">
        <v>50</v>
      </c>
      <c r="B2616" s="2" t="s">
        <v>3786</v>
      </c>
      <c r="C2616" s="2" t="s">
        <v>24</v>
      </c>
      <c r="D2616" s="2" t="s">
        <v>3787</v>
      </c>
      <c r="E2616" s="2" t="s">
        <v>293</v>
      </c>
      <c r="F2616" s="11">
        <v>1822</v>
      </c>
      <c r="G2616" t="s">
        <v>36</v>
      </c>
      <c r="H2616" t="s">
        <v>2643</v>
      </c>
      <c r="I2616" t="s">
        <v>3922</v>
      </c>
      <c r="J2616" s="6" t="str">
        <f>HYPERLINK("https://www.biovista.com/db/link/%5B%5B%22Disease%7CSpinocerebellar%20Ataxia%20Type%203%22%5D,%20%5B%22Gene%7CATN1%22%5D%5D?strength-weight-map=%257B%2522MEDLINE_STRENGTH_AB%2522:1.0,%2522HPO%2522:100.0%257D", "Show Evidence...")</f>
        <v>Show Evidence...</v>
      </c>
    </row>
    <row r="2617" spans="1:10" ht="12.75">
      <c r="A2617" s="2" t="s">
        <v>50</v>
      </c>
      <c r="B2617" s="2" t="s">
        <v>3786</v>
      </c>
      <c r="C2617" s="2" t="s">
        <v>24</v>
      </c>
      <c r="D2617" s="2" t="s">
        <v>3787</v>
      </c>
      <c r="E2617" s="2" t="s">
        <v>293</v>
      </c>
      <c r="F2617" s="11">
        <v>9372</v>
      </c>
      <c r="G2617" t="s">
        <v>36</v>
      </c>
      <c r="H2617" t="s">
        <v>3923</v>
      </c>
      <c r="I2617" t="s">
        <v>3922</v>
      </c>
      <c r="J2617" s="6" t="str">
        <f>HYPERLINK("https://www.biovista.com/db/link/%5B%5B%22Disease%7CSpinocerebellar%20Ataxia%20Type%203%22%5D,%20%5B%22Gene%7CZFYVE9%22%5D%5D?strength-weight-map=%257B%2522MEDLINE_STRENGTH_AB%2522:1.0,%2522HPO%2522:100.0%257D", "Show Evidence...")</f>
        <v>Show Evidence...</v>
      </c>
    </row>
    <row r="2618" spans="1:10" ht="12.75">
      <c r="A2618" s="2" t="s">
        <v>50</v>
      </c>
      <c r="B2618" s="2" t="s">
        <v>3786</v>
      </c>
      <c r="C2618" s="2" t="s">
        <v>24</v>
      </c>
      <c r="D2618" s="2" t="s">
        <v>3787</v>
      </c>
      <c r="E2618" s="2" t="s">
        <v>293</v>
      </c>
      <c r="F2618" s="11">
        <v>6310</v>
      </c>
      <c r="G2618" t="s">
        <v>36</v>
      </c>
      <c r="H2618" t="s">
        <v>3924</v>
      </c>
      <c r="I2618" t="s">
        <v>3925</v>
      </c>
      <c r="J2618" s="6" t="str">
        <f>HYPERLINK("https://www.biovista.com/db/link/%5B%5B%22Disease%7CSpinocerebellar%20Ataxia%20Type%203%22%5D,%20%5B%22Gene%7Cataxin-1%22%5D%5D?strength-weight-map=%257B%2522MEDLINE_STRENGTH_AB%2522:1.0,%2522HPO%2522:100.0%257D", "Show Evidence...")</f>
        <v>Show Evidence...</v>
      </c>
    </row>
    <row r="2619" spans="1:10" ht="12.75">
      <c r="A2619" s="2" t="s">
        <v>50</v>
      </c>
      <c r="B2619" s="2" t="s">
        <v>3786</v>
      </c>
      <c r="C2619" s="2" t="s">
        <v>24</v>
      </c>
      <c r="D2619" s="2" t="s">
        <v>3787</v>
      </c>
      <c r="E2619" s="2" t="s">
        <v>293</v>
      </c>
      <c r="F2619" s="11">
        <v>56652</v>
      </c>
      <c r="G2619" t="s">
        <v>36</v>
      </c>
      <c r="H2619" t="s">
        <v>3926</v>
      </c>
      <c r="I2619" t="s">
        <v>3925</v>
      </c>
      <c r="J2619" s="6" t="str">
        <f>HYPERLINK("https://www.biovista.com/db/link/%5B%5B%22Disease%7CSpinocerebellar%20Ataxia%20Type%203%22%5D,%20%5B%22Gene%7CSCA8%22%5D%5D?strength-weight-map=%257B%2522MEDLINE_STRENGTH_AB%2522:1.0,%2522HPO%2522:100.0%257D", "Show Evidence...")</f>
        <v>Show Evidence...</v>
      </c>
    </row>
    <row r="2620" spans="1:10" ht="12.75">
      <c r="A2620" s="2" t="s">
        <v>50</v>
      </c>
      <c r="B2620" s="2" t="s">
        <v>3786</v>
      </c>
      <c r="C2620" s="2" t="s">
        <v>24</v>
      </c>
      <c r="D2620" s="2" t="s">
        <v>3787</v>
      </c>
      <c r="E2620" s="2" t="s">
        <v>293</v>
      </c>
      <c r="F2620" s="11">
        <v>2395</v>
      </c>
      <c r="G2620" t="s">
        <v>36</v>
      </c>
      <c r="H2620" t="s">
        <v>2055</v>
      </c>
      <c r="I2620" t="s">
        <v>3927</v>
      </c>
      <c r="J2620" s="6" t="str">
        <f>HYPERLINK("https://www.biovista.com/db/link/%5B%5B%22Disease%7CSpinocerebellar%20Ataxia%20Type%203%22%5D,%20%5B%22Gene%7CFXN%22%5D%5D?strength-weight-map=%257B%2522MEDLINE_STRENGTH_AB%2522:1.0,%2522HPO%2522:100.0%257D", "Show Evidence...")</f>
        <v>Show Evidence...</v>
      </c>
    </row>
    <row r="2621" spans="1:10" ht="12.75">
      <c r="A2621" s="2" t="s">
        <v>50</v>
      </c>
      <c r="B2621" s="2" t="s">
        <v>3786</v>
      </c>
      <c r="C2621" s="2" t="s">
        <v>24</v>
      </c>
      <c r="D2621" s="2" t="s">
        <v>3787</v>
      </c>
      <c r="E2621" s="2" t="s">
        <v>293</v>
      </c>
      <c r="F2621" s="11">
        <v>5521</v>
      </c>
      <c r="G2621" t="s">
        <v>36</v>
      </c>
      <c r="H2621" t="s">
        <v>3928</v>
      </c>
      <c r="I2621" t="s">
        <v>3929</v>
      </c>
      <c r="J2621" s="6" t="str">
        <f>HYPERLINK("https://www.biovista.com/db/link/%5B%5B%22Disease%7CSpinocerebellar%20Ataxia%20Type%203%22%5D,%20%5B%22Gene%7CPPP2R2B%22%5D%5D?strength-weight-map=%257B%2522MEDLINE_STRENGTH_AB%2522:1.0,%2522HPO%2522:100.0%257D", "Show Evidence...")</f>
        <v>Show Evidence...</v>
      </c>
    </row>
    <row r="2622" spans="1:10" ht="12.75">
      <c r="A2622" s="2" t="s">
        <v>50</v>
      </c>
      <c r="B2622" s="2" t="s">
        <v>3786</v>
      </c>
      <c r="C2622" s="2" t="s">
        <v>24</v>
      </c>
      <c r="D2622" s="2" t="s">
        <v>3787</v>
      </c>
      <c r="E2622" s="2" t="s">
        <v>293</v>
      </c>
      <c r="F2622" s="11">
        <v>25814</v>
      </c>
      <c r="G2622" t="s">
        <v>36</v>
      </c>
      <c r="H2622" t="s">
        <v>3930</v>
      </c>
      <c r="I2622" t="s">
        <v>3931</v>
      </c>
      <c r="J2622" s="6" t="str">
        <f>HYPERLINK("https://www.biovista.com/db/link/%5B%5B%22Disease%7CSpinocerebellar%20Ataxia%20Type%203%22%5D,%20%5B%22Gene%7CATXN10%22%5D%5D?strength-weight-map=%257B%2522MEDLINE_STRENGTH_AB%2522:1.0,%2522HPO%2522:100.0%257D", "Show Evidence...")</f>
        <v>Show Evidence...</v>
      </c>
    </row>
    <row r="2623" spans="1:10" ht="12.75">
      <c r="A2623" s="2" t="s">
        <v>50</v>
      </c>
      <c r="B2623" s="2" t="s">
        <v>3786</v>
      </c>
      <c r="C2623" s="2" t="s">
        <v>24</v>
      </c>
      <c r="D2623" s="2" t="s">
        <v>3787</v>
      </c>
      <c r="E2623" s="2" t="s">
        <v>293</v>
      </c>
      <c r="F2623" s="11">
        <v>3064</v>
      </c>
      <c r="G2623" t="s">
        <v>36</v>
      </c>
      <c r="H2623" t="s">
        <v>3932</v>
      </c>
      <c r="I2623" t="s">
        <v>3933</v>
      </c>
      <c r="J2623" s="6" t="str">
        <f>HYPERLINK("https://www.biovista.com/db/link/%5B%5B%22Disease%7CSpinocerebellar%20Ataxia%20Type%203%22%5D,%20%5B%22Gene%7Chuntingtin%22%5D%5D?strength-weight-map=%257B%2522MEDLINE_STRENGTH_AB%2522:1.0,%2522HPO%2522:100.0%257D", "Show Evidence...")</f>
        <v>Show Evidence...</v>
      </c>
    </row>
    <row r="2624" spans="1:10" ht="12.75">
      <c r="A2624" s="2" t="s">
        <v>50</v>
      </c>
      <c r="B2624" s="2" t="s">
        <v>3786</v>
      </c>
      <c r="C2624" s="2" t="s">
        <v>24</v>
      </c>
      <c r="D2624" s="2" t="s">
        <v>3787</v>
      </c>
      <c r="E2624" s="2" t="s">
        <v>293</v>
      </c>
      <c r="F2624" s="11">
        <v>3064</v>
      </c>
      <c r="G2624" t="s">
        <v>36</v>
      </c>
      <c r="H2624" t="s">
        <v>2628</v>
      </c>
      <c r="I2624" t="s">
        <v>3934</v>
      </c>
      <c r="J2624" s="6" t="str">
        <f>HYPERLINK("https://www.biovista.com/db/link/%5B%5B%22Disease%7CSpinocerebellar%20Ataxia%20Type%203%22%5D,%20%5B%22Gene%7CHTT%22%5D%5D?strength-weight-map=%257B%2522MEDLINE_STRENGTH_AB%2522:1.0,%2522HPO%2522:100.0%257D", "Show Evidence...")</f>
        <v>Show Evidence...</v>
      </c>
    </row>
    <row r="2625" spans="1:10" ht="12.75">
      <c r="A2625" s="2" t="s">
        <v>50</v>
      </c>
      <c r="B2625" s="2" t="s">
        <v>3786</v>
      </c>
      <c r="C2625" s="2" t="s">
        <v>24</v>
      </c>
      <c r="D2625" s="2" t="s">
        <v>3787</v>
      </c>
      <c r="E2625" s="2" t="s">
        <v>293</v>
      </c>
      <c r="F2625" s="11">
        <v>6314</v>
      </c>
      <c r="G2625" t="s">
        <v>36</v>
      </c>
      <c r="H2625" t="s">
        <v>3935</v>
      </c>
      <c r="I2625" t="s">
        <v>3788</v>
      </c>
      <c r="J2625" s="6" t="str">
        <f>HYPERLINK("https://www.biovista.com/db/link/%5B%5B%22Disease%7CSpinocerebellar%20Ataxia%20Type%203%22%5D,%20%5B%22Gene%7CATXN7%22%5D%5D?strength-weight-map=%257B%2522MEDLINE_STRENGTH_AB%2522:1.0,%2522HPO%2522:100.0%257D", "Show Evidence...")</f>
        <v>Show Evidence...</v>
      </c>
    </row>
    <row r="2626" spans="1:10" ht="12.75">
      <c r="A2626" s="2" t="s">
        <v>50</v>
      </c>
      <c r="B2626" s="2" t="s">
        <v>3786</v>
      </c>
      <c r="C2626" s="2" t="s">
        <v>24</v>
      </c>
      <c r="D2626" s="2" t="s">
        <v>3787</v>
      </c>
      <c r="E2626" s="2" t="s">
        <v>293</v>
      </c>
      <c r="F2626" s="11">
        <v>6311</v>
      </c>
      <c r="G2626" t="s">
        <v>36</v>
      </c>
      <c r="H2626" t="s">
        <v>3936</v>
      </c>
      <c r="I2626" t="s">
        <v>3789</v>
      </c>
      <c r="J2626" s="6" t="str">
        <f>HYPERLINK("https://www.biovista.com/db/link/%5B%5B%22Disease%7CSpinocerebellar%20Ataxia%20Type%203%22%5D,%20%5B%22Gene%7Cataxin-2%22%5D%5D?strength-weight-map=%257B%2522MEDLINE_STRENGTH_AB%2522:1.0,%2522HPO%2522:100.0%257D", "Show Evidence...")</f>
        <v>Show Evidence...</v>
      </c>
    </row>
    <row r="2627" spans="1:10" ht="12.75">
      <c r="A2627" s="2" t="s">
        <v>50</v>
      </c>
      <c r="B2627" s="2" t="s">
        <v>3786</v>
      </c>
      <c r="C2627" s="2" t="s">
        <v>24</v>
      </c>
      <c r="D2627" s="2" t="s">
        <v>3787</v>
      </c>
      <c r="E2627" s="2" t="s">
        <v>293</v>
      </c>
      <c r="F2627" s="11">
        <v>6314</v>
      </c>
      <c r="G2627" t="s">
        <v>36</v>
      </c>
      <c r="H2627" t="s">
        <v>3937</v>
      </c>
      <c r="I2627" t="s">
        <v>3938</v>
      </c>
      <c r="J2627" s="6" t="str">
        <f>HYPERLINK("https://www.biovista.com/db/link/%5B%5B%22Disease%7CSpinocerebellar%20Ataxia%20Type%203%22%5D,%20%5B%22Gene%7Cataxin-7%22%5D%5D?strength-weight-map=%257B%2522MEDLINE_STRENGTH_AB%2522:1.0,%2522HPO%2522:100.0%257D", "Show Evidence...")</f>
        <v>Show Evidence...</v>
      </c>
    </row>
    <row r="2628" spans="1:10" ht="12.75">
      <c r="A2628" s="2" t="s">
        <v>50</v>
      </c>
      <c r="B2628" s="2" t="s">
        <v>3786</v>
      </c>
      <c r="C2628" s="2" t="s">
        <v>24</v>
      </c>
      <c r="D2628" s="2" t="s">
        <v>3787</v>
      </c>
      <c r="E2628" s="2" t="s">
        <v>293</v>
      </c>
      <c r="F2628" s="11">
        <v>1822</v>
      </c>
      <c r="G2628" t="s">
        <v>36</v>
      </c>
      <c r="H2628" t="s">
        <v>3939</v>
      </c>
      <c r="I2628" t="s">
        <v>3938</v>
      </c>
      <c r="J2628" s="6" t="str">
        <f>HYPERLINK("https://www.biovista.com/db/link/%5B%5B%22Disease%7CSpinocerebellar%20Ataxia%20Type%203%22%5D,%20%5B%22Gene%7Catrophin-1%22%5D%5D?strength-weight-map=%257B%2522MEDLINE_STRENGTH_AB%2522:1.0,%2522HPO%2522:100.0%257D", "Show Evidence...")</f>
        <v>Show Evidence...</v>
      </c>
    </row>
    <row r="2629" spans="1:10" ht="12.75">
      <c r="A2629" s="2" t="s">
        <v>50</v>
      </c>
      <c r="B2629" s="2" t="s">
        <v>3786</v>
      </c>
      <c r="C2629" s="2" t="s">
        <v>24</v>
      </c>
      <c r="D2629" s="2" t="s">
        <v>3787</v>
      </c>
      <c r="E2629" s="2" t="s">
        <v>293</v>
      </c>
      <c r="F2629" s="11">
        <v>221302</v>
      </c>
      <c r="G2629" t="s">
        <v>36</v>
      </c>
      <c r="H2629" t="s">
        <v>3940</v>
      </c>
      <c r="I2629" t="s">
        <v>3941</v>
      </c>
      <c r="J2629" s="6" t="str">
        <f>HYPERLINK("https://www.biovista.com/db/link/%5B%5B%22Disease%7CSpinocerebellar%20Ataxia%20Type%203%22%5D,%20%5B%22Gene%7CDUB%22%5D%5D?strength-weight-map=%257B%2522MEDLINE_STRENGTH_AB%2522:1.0,%2522HPO%2522:100.0%257D", "Show Evidence...")</f>
        <v>Show Evidence...</v>
      </c>
    </row>
    <row r="2630" spans="1:10" ht="12.75">
      <c r="A2630" s="2" t="s">
        <v>50</v>
      </c>
      <c r="B2630" s="2" t="s">
        <v>3786</v>
      </c>
      <c r="C2630" s="2" t="s">
        <v>24</v>
      </c>
      <c r="D2630" s="2" t="s">
        <v>3787</v>
      </c>
      <c r="E2630" s="2" t="s">
        <v>293</v>
      </c>
      <c r="F2630" s="11">
        <v>6908</v>
      </c>
      <c r="G2630" t="s">
        <v>36</v>
      </c>
      <c r="H2630" t="s">
        <v>3942</v>
      </c>
      <c r="I2630" t="s">
        <v>3943</v>
      </c>
      <c r="J2630" s="6" t="str">
        <f>HYPERLINK("https://www.biovista.com/db/link/%5B%5B%22Disease%7CSpinocerebellar%20Ataxia%20Type%203%22%5D,%20%5B%22Gene%7CTBP%22%5D%5D?strength-weight-map=%257B%2522MEDLINE_STRENGTH_AB%2522:1.0,%2522HPO%2522:100.0%257D", "Show Evidence...")</f>
        <v>Show Evidence...</v>
      </c>
    </row>
    <row r="2631" spans="1:10" ht="12.75">
      <c r="A2631" s="2" t="s">
        <v>50</v>
      </c>
      <c r="B2631" s="2" t="s">
        <v>3786</v>
      </c>
      <c r="C2631" s="2" t="s">
        <v>24</v>
      </c>
      <c r="D2631" s="2" t="s">
        <v>3787</v>
      </c>
      <c r="E2631" s="2" t="s">
        <v>293</v>
      </c>
      <c r="F2631" s="11">
        <v>6712</v>
      </c>
      <c r="G2631" t="s">
        <v>36</v>
      </c>
      <c r="H2631" t="s">
        <v>3944</v>
      </c>
      <c r="I2631" t="s">
        <v>3945</v>
      </c>
      <c r="J2631" s="6" t="str">
        <f>HYPERLINK("https://www.biovista.com/db/link/%5B%5B%22Disease%7CSpinocerebellar%20Ataxia%20Type%203%22%5D,%20%5B%22Gene%7CSPTBN2%22%5D%5D?strength-weight-map=%257B%2522MEDLINE_STRENGTH_AB%2522:1.0,%2522HPO%2522:100.0%257D", "Show Evidence...")</f>
        <v>Show Evidence...</v>
      </c>
    </row>
    <row r="2632" spans="1:10" ht="12.75">
      <c r="A2632" s="2" t="s">
        <v>50</v>
      </c>
      <c r="B2632" s="2" t="s">
        <v>3786</v>
      </c>
      <c r="C2632" s="2" t="s">
        <v>24</v>
      </c>
      <c r="D2632" s="2" t="s">
        <v>3787</v>
      </c>
      <c r="E2632" s="2" t="s">
        <v>293</v>
      </c>
      <c r="F2632" s="11">
        <v>2542007</v>
      </c>
      <c r="G2632" t="s">
        <v>36</v>
      </c>
      <c r="H2632" t="s">
        <v>2556</v>
      </c>
      <c r="I2632" t="s">
        <v>3946</v>
      </c>
      <c r="J2632" s="6" t="str">
        <f>HYPERLINK("https://www.biovista.com/db/link/%5B%5B%22Disease%7CSpinocerebellar%20Ataxia%20Type%203%22%5D,%20%5B%22Gene%7Crhp57%22%5D%5D?strength-weight-map=%257B%2522MEDLINE_STRENGTH_AB%2522:1.0,%2522HPO%2522:100.0%257D", "Show Evidence...")</f>
        <v>Show Evidence...</v>
      </c>
    </row>
    <row r="2633" spans="1:10" ht="12.75">
      <c r="A2633" s="2" t="s">
        <v>50</v>
      </c>
      <c r="B2633" s="2" t="s">
        <v>3786</v>
      </c>
      <c r="C2633" s="2" t="s">
        <v>24</v>
      </c>
      <c r="D2633" s="2" t="s">
        <v>3787</v>
      </c>
      <c r="E2633" s="2" t="s">
        <v>293</v>
      </c>
      <c r="F2633" s="11">
        <v>4137</v>
      </c>
      <c r="G2633" t="s">
        <v>36</v>
      </c>
      <c r="H2633" t="s">
        <v>2582</v>
      </c>
      <c r="I2633" t="s">
        <v>3947</v>
      </c>
      <c r="J2633" s="6" t="str">
        <f>HYPERLINK("https://www.biovista.com/db/link/%5B%5B%22Disease%7CSpinocerebellar%20Ataxia%20Type%203%22%5D,%20%5B%22Gene%7CTAU%22%5D%5D?strength-weight-map=%257B%2522MEDLINE_STRENGTH_AB%2522:1.0,%2522HPO%2522:100.0%257D", "Show Evidence...")</f>
        <v>Show Evidence...</v>
      </c>
    </row>
    <row r="2634" spans="1:10" ht="12.75">
      <c r="A2634" s="2" t="s">
        <v>50</v>
      </c>
      <c r="B2634" s="2" t="s">
        <v>3786</v>
      </c>
      <c r="C2634" s="2" t="s">
        <v>24</v>
      </c>
      <c r="D2634" s="2" t="s">
        <v>3787</v>
      </c>
      <c r="E2634" s="2" t="s">
        <v>293</v>
      </c>
      <c r="F2634" s="11">
        <v>7415</v>
      </c>
      <c r="G2634" t="s">
        <v>36</v>
      </c>
      <c r="H2634" t="s">
        <v>3948</v>
      </c>
      <c r="I2634" t="s">
        <v>3947</v>
      </c>
      <c r="J2634" s="6" t="str">
        <f>HYPERLINK("https://www.biovista.com/db/link/%5B%5B%22Disease%7CSpinocerebellar%20Ataxia%20Type%203%22%5D,%20%5B%22Gene%7CVCP%22%5D%5D?strength-weight-map=%257B%2522MEDLINE_STRENGTH_AB%2522:1.0,%2522HPO%2522:100.0%257D", "Show Evidence...")</f>
        <v>Show Evidence...</v>
      </c>
    </row>
    <row r="2635" spans="1:10" ht="12.75">
      <c r="A2635" s="2" t="s">
        <v>50</v>
      </c>
      <c r="B2635" s="2" t="s">
        <v>3786</v>
      </c>
      <c r="C2635" s="2" t="s">
        <v>24</v>
      </c>
      <c r="D2635" s="2" t="s">
        <v>3787</v>
      </c>
      <c r="E2635" s="2" t="s">
        <v>293</v>
      </c>
      <c r="F2635" s="11">
        <v>2232</v>
      </c>
      <c r="G2635" t="s">
        <v>36</v>
      </c>
      <c r="H2635" t="s">
        <v>2586</v>
      </c>
      <c r="I2635" t="s">
        <v>3949</v>
      </c>
      <c r="J2635" s="6" t="str">
        <f>HYPERLINK("https://www.biovista.com/db/link/%5B%5B%22Disease%7CSpinocerebellar%20Ataxia%20Type%203%22%5D,%20%5B%22Gene%7CAR%22%5D%5D?strength-weight-map=%257B%2522MEDLINE_STRENGTH_AB%2522:1.0,%2522HPO%2522:100.0%257D", "Show Evidence...")</f>
        <v>Show Evidence...</v>
      </c>
    </row>
    <row r="2636" spans="1:10" ht="12.75">
      <c r="A2636" s="2" t="s">
        <v>50</v>
      </c>
      <c r="B2636" s="2" t="s">
        <v>3786</v>
      </c>
      <c r="C2636" s="2" t="s">
        <v>24</v>
      </c>
      <c r="D2636" s="2" t="s">
        <v>3787</v>
      </c>
      <c r="E2636" s="2" t="s">
        <v>293</v>
      </c>
      <c r="F2636" s="11">
        <v>4287</v>
      </c>
      <c r="G2636" t="s">
        <v>36</v>
      </c>
      <c r="H2636" t="s">
        <v>3950</v>
      </c>
      <c r="I2636" t="s">
        <v>3949</v>
      </c>
      <c r="J2636" s="6" t="str">
        <f>HYPERLINK("https://www.biovista.com/db/link/%5B%5B%22Disease%7CSpinocerebellar%20Ataxia%20Type%203%22%5D,%20%5B%22Gene%7Cataxin%203%22%5D%5D?strength-weight-map=%257B%2522MEDLINE_STRENGTH_AB%2522:1.0,%2522HPO%2522:100.0%257D", "Show Evidence...")</f>
        <v>Show Evidence...</v>
      </c>
    </row>
    <row r="2637" spans="1:10" ht="12.75">
      <c r="A2637" s="2" t="s">
        <v>50</v>
      </c>
      <c r="B2637" s="2" t="s">
        <v>3786</v>
      </c>
      <c r="C2637" s="2" t="s">
        <v>24</v>
      </c>
      <c r="D2637" s="2" t="s">
        <v>3787</v>
      </c>
      <c r="E2637" s="2" t="s">
        <v>293</v>
      </c>
      <c r="F2637" s="11">
        <v>25894</v>
      </c>
      <c r="G2637" t="s">
        <v>36</v>
      </c>
      <c r="H2637" t="s">
        <v>3951</v>
      </c>
      <c r="I2637" t="s">
        <v>3949</v>
      </c>
      <c r="J2637" s="6" t="str">
        <f>HYPERLINK("https://www.biovista.com/db/link/%5B%5B%22Disease%7CSpinocerebellar%20Ataxia%20Type%203%22%5D,%20%5B%22Gene%7CSCA4%22%5D%5D?strength-weight-map=%257B%2522MEDLINE_STRENGTH_AB%2522:1.0,%2522HPO%2522:100.0%257D", "Show Evidence...")</f>
        <v>Show Evidence...</v>
      </c>
    </row>
    <row r="2638" spans="1:10" ht="12.75">
      <c r="A2638" s="2" t="s">
        <v>50</v>
      </c>
      <c r="B2638" s="2" t="s">
        <v>3786</v>
      </c>
      <c r="C2638" s="2" t="s">
        <v>24</v>
      </c>
      <c r="D2638" s="2" t="s">
        <v>3787</v>
      </c>
      <c r="E2638" s="2" t="s">
        <v>293</v>
      </c>
      <c r="F2638" s="11">
        <v>180049</v>
      </c>
      <c r="G2638" t="s">
        <v>36</v>
      </c>
      <c r="H2638" t="s">
        <v>3952</v>
      </c>
      <c r="I2638" t="s">
        <v>3953</v>
      </c>
      <c r="J2638" s="6" t="str">
        <f>HYPERLINK("https://www.biovista.com/db/link/%5B%5B%22Disease%7CSpinocerebellar%20Ataxia%20Type%203%22%5D,%20%5B%22Gene%7Catx-3%22%5D%5D?strength-weight-map=%257B%2522MEDLINE_STRENGTH_AB%2522:1.0,%2522HPO%2522:100.0%257D", "Show Evidence...")</f>
        <v>Show Evidence...</v>
      </c>
    </row>
    <row r="2639" spans="1:10" ht="12.75">
      <c r="A2639" s="2" t="s">
        <v>50</v>
      </c>
      <c r="B2639" s="2" t="s">
        <v>3786</v>
      </c>
      <c r="C2639" s="2" t="s">
        <v>24</v>
      </c>
      <c r="D2639" s="2" t="s">
        <v>3787</v>
      </c>
      <c r="E2639" s="2" t="s">
        <v>293</v>
      </c>
      <c r="F2639" s="11">
        <v>37232</v>
      </c>
      <c r="G2639" t="s">
        <v>36</v>
      </c>
      <c r="H2639" t="s">
        <v>3954</v>
      </c>
      <c r="I2639" t="s">
        <v>3955</v>
      </c>
      <c r="J2639" s="6" t="str">
        <f>HYPERLINK("https://www.biovista.com/db/link/%5B%5B%22Disease%7CSpinocerebellar%20Ataxia%20Type%203%22%5D,%20%5B%22Gene%7Ccalpain%22%5D%5D?strength-weight-map=%257B%2522MEDLINE_STRENGTH_AB%2522:1.0,%2522HPO%2522:100.0%257D", "Show Evidence...")</f>
        <v>Show Evidence...</v>
      </c>
    </row>
    <row r="2640" spans="1:10" ht="12.75">
      <c r="A2640" s="2" t="s">
        <v>50</v>
      </c>
      <c r="B2640" s="2" t="s">
        <v>3786</v>
      </c>
      <c r="C2640" s="2" t="s">
        <v>24</v>
      </c>
      <c r="D2640" s="2" t="s">
        <v>3787</v>
      </c>
      <c r="E2640" s="2" t="s">
        <v>293</v>
      </c>
      <c r="F2640" s="11">
        <v>10657</v>
      </c>
      <c r="G2640" t="s">
        <v>36</v>
      </c>
      <c r="H2640" t="s">
        <v>3956</v>
      </c>
      <c r="I2640" t="s">
        <v>3955</v>
      </c>
      <c r="J2640" s="6" t="str">
        <f>HYPERLINK("https://www.biovista.com/db/link/%5B%5B%22Disease%7CSpinocerebellar%20Ataxia%20Type%203%22%5D,%20%5B%22Gene%7Cp62%22%5D%5D?strength-weight-map=%257B%2522MEDLINE_STRENGTH_AB%2522:1.0,%2522HPO%2522:100.0%257D", "Show Evidence...")</f>
        <v>Show Evidence...</v>
      </c>
    </row>
    <row r="2641" spans="1:10" ht="12.75">
      <c r="A2641" s="2" t="s">
        <v>50</v>
      </c>
      <c r="B2641" s="2" t="s">
        <v>3786</v>
      </c>
      <c r="C2641" s="2" t="s">
        <v>24</v>
      </c>
      <c r="D2641" s="2" t="s">
        <v>3787</v>
      </c>
      <c r="E2641" s="2" t="s">
        <v>293</v>
      </c>
      <c r="F2641" s="11">
        <v>6622</v>
      </c>
      <c r="G2641" t="s">
        <v>36</v>
      </c>
      <c r="H2641" t="s">
        <v>3957</v>
      </c>
      <c r="I2641" t="s">
        <v>3958</v>
      </c>
      <c r="J2641" s="6" t="str">
        <f>HYPERLINK("https://www.biovista.com/db/link/%5B%5B%22Disease%7CSpinocerebellar%20Ataxia%20Type%203%22%5D,%20%5B%22Gene%7Calpha-synuclein%22%5D%5D?strength-weight-map=%257B%2522MEDLINE_STRENGTH_AB%2522:1.0,%2522HPO%2522:100.0%257D", "Show Evidence...")</f>
        <v>Show Evidence...</v>
      </c>
    </row>
    <row r="2642" spans="1:10" ht="12.75">
      <c r="A2642" s="2" t="s">
        <v>50</v>
      </c>
      <c r="B2642" s="2" t="s">
        <v>3786</v>
      </c>
      <c r="C2642" s="2" t="s">
        <v>24</v>
      </c>
      <c r="D2642" s="2" t="s">
        <v>3787</v>
      </c>
      <c r="E2642" s="2" t="s">
        <v>293</v>
      </c>
      <c r="F2642" s="11">
        <v>64207</v>
      </c>
      <c r="G2642" t="s">
        <v>36</v>
      </c>
      <c r="H2642" t="s">
        <v>3959</v>
      </c>
      <c r="I2642" t="s">
        <v>3958</v>
      </c>
      <c r="J2642" s="6" t="str">
        <f>HYPERLINK("https://www.biovista.com/db/link/%5B%5B%22Disease%7CSpinocerebellar%20Ataxia%20Type%203%22%5D,%20%5B%22Gene%7CIRF2BPL%22%5D%5D?strength-weight-map=%257B%2522MEDLINE_STRENGTH_AB%2522:1.0,%2522HPO%2522:100.0%257D", "Show Evidence...")</f>
        <v>Show Evidence...</v>
      </c>
    </row>
    <row r="2643" spans="1:10" ht="12.75">
      <c r="A2643" s="2" t="s">
        <v>50</v>
      </c>
      <c r="B2643" s="2" t="s">
        <v>3786</v>
      </c>
      <c r="C2643" s="2" t="s">
        <v>24</v>
      </c>
      <c r="D2643" s="2" t="s">
        <v>3787</v>
      </c>
      <c r="E2643" s="2" t="s">
        <v>293</v>
      </c>
      <c r="F2643" s="11">
        <v>5582</v>
      </c>
      <c r="G2643" t="s">
        <v>36</v>
      </c>
      <c r="H2643" t="s">
        <v>3960</v>
      </c>
      <c r="I2643" t="s">
        <v>3961</v>
      </c>
      <c r="J2643" s="6" t="str">
        <f>HYPERLINK("https://www.biovista.com/db/link/%5B%5B%22Disease%7CSpinocerebellar%20Ataxia%20Type%203%22%5D,%20%5B%22Gene%7CPRKCG%22%5D%5D?strength-weight-map=%257B%2522MEDLINE_STRENGTH_AB%2522:1.0,%2522HPO%2522:100.0%257D", "Show Evidence...")</f>
        <v>Show Evidence...</v>
      </c>
    </row>
    <row r="2644" spans="1:10" ht="12.75">
      <c r="A2644" s="2" t="s">
        <v>50</v>
      </c>
      <c r="B2644" s="2" t="s">
        <v>3786</v>
      </c>
      <c r="C2644" s="2" t="s">
        <v>24</v>
      </c>
      <c r="D2644" s="2" t="s">
        <v>3787</v>
      </c>
      <c r="E2644" s="2" t="s">
        <v>293</v>
      </c>
      <c r="F2644" s="11">
        <v>7415</v>
      </c>
      <c r="G2644" t="s">
        <v>36</v>
      </c>
      <c r="H2644" t="s">
        <v>3962</v>
      </c>
      <c r="I2644" t="s">
        <v>3961</v>
      </c>
      <c r="J2644" s="6" t="str">
        <f>HYPERLINK("https://www.biovista.com/db/link/%5B%5B%22Disease%7CSpinocerebellar%20Ataxia%20Type%203%22%5D,%20%5B%22Gene%7Cvalosin%20containing%20protein%22%5D%5D?strength-weight-map=%257B%2522MEDLINE_STRENGTH_AB%2522:1.0,%2522HPO%2522:100.0%257D", "Show Evidence...")</f>
        <v>Show Evidence...</v>
      </c>
    </row>
    <row r="2645" spans="1:10" ht="12.75">
      <c r="A2645" s="2" t="s">
        <v>50</v>
      </c>
      <c r="B2645" s="2" t="s">
        <v>3786</v>
      </c>
      <c r="C2645" s="2" t="s">
        <v>24</v>
      </c>
      <c r="D2645" s="2" t="s">
        <v>3787</v>
      </c>
      <c r="E2645" s="2" t="s">
        <v>53</v>
      </c>
      <c r="F2645" s="11" t="s">
        <v>365</v>
      </c>
      <c r="G2645" t="s">
        <v>36</v>
      </c>
      <c r="H2645" t="s">
        <v>366</v>
      </c>
      <c r="I2645" t="s">
        <v>3963</v>
      </c>
      <c r="J2645" s="6" t="str">
        <f>HYPERLINK("https://www.biovista.com/db/link/%5B%5B%22Disease%7CSpinocerebellar%20Ataxia%20Type%203%22%5D,%20%5B%22Gene%7CAdaptor%20Proteins,%20Signal%20Transducing%22%5D%5D?strength-weight-map=%257B%2522MEDLINE_STRENGTH_AB%2522:1.0,%2522HPO%2522:100.0%257D", "Show Evidence...")</f>
        <v>Show Evidence...</v>
      </c>
    </row>
    <row r="2646" spans="1:10" ht="12.75">
      <c r="A2646" s="2" t="s">
        <v>50</v>
      </c>
      <c r="B2646" s="2" t="s">
        <v>3786</v>
      </c>
      <c r="C2646" s="2" t="s">
        <v>24</v>
      </c>
      <c r="D2646" s="2" t="s">
        <v>3787</v>
      </c>
      <c r="E2646" s="2" t="s">
        <v>309</v>
      </c>
      <c r="F2646" s="11">
        <v>101054525</v>
      </c>
      <c r="G2646" t="s">
        <v>36</v>
      </c>
      <c r="H2646" t="s">
        <v>3964</v>
      </c>
      <c r="I2646" t="s">
        <v>3963</v>
      </c>
      <c r="J2646" s="6" t="str">
        <f>HYPERLINK("https://www.biovista.com/db/link/%5B%5B%22Disease%7CSpinocerebellar%20Ataxia%20Type%203%22%5D,%20%5B%22Gene%7CAT3%22%5D%5D?strength-weight-map=%257B%2522MEDLINE_STRENGTH_AB%2522:1.0,%2522HPO%2522:100.0%257D", "Show Evidence...")</f>
        <v>Show Evidence...</v>
      </c>
    </row>
    <row r="2647" spans="1:10" ht="12.75">
      <c r="A2647" s="2" t="s">
        <v>50</v>
      </c>
      <c r="B2647" s="2" t="s">
        <v>3786</v>
      </c>
      <c r="C2647" s="2" t="s">
        <v>24</v>
      </c>
      <c r="D2647" s="2" t="s">
        <v>3787</v>
      </c>
      <c r="E2647" s="2" t="s">
        <v>293</v>
      </c>
      <c r="F2647" s="11">
        <v>8678</v>
      </c>
      <c r="G2647" t="s">
        <v>36</v>
      </c>
      <c r="H2647" t="s">
        <v>3965</v>
      </c>
      <c r="I2647" t="s">
        <v>3963</v>
      </c>
      <c r="J2647" s="6" t="str">
        <f>HYPERLINK("https://www.biovista.com/db/link/%5B%5B%22Disease%7CSpinocerebellar%20Ataxia%20Type%203%22%5D,%20%5B%22Gene%7CBECN1%22%5D%5D?strength-weight-map=%257B%2522MEDLINE_STRENGTH_AB%2522:1.0,%2522HPO%2522:100.0%257D", "Show Evidence...")</f>
        <v>Show Evidence...</v>
      </c>
    </row>
    <row r="2648" spans="1:10" ht="12.75">
      <c r="A2648" s="2" t="s">
        <v>50</v>
      </c>
      <c r="B2648" s="2" t="s">
        <v>3786</v>
      </c>
      <c r="C2648" s="2" t="s">
        <v>24</v>
      </c>
      <c r="D2648" s="2" t="s">
        <v>3787</v>
      </c>
      <c r="E2648" s="2" t="s">
        <v>293</v>
      </c>
      <c r="F2648" s="11">
        <v>2395</v>
      </c>
      <c r="G2648" t="s">
        <v>36</v>
      </c>
      <c r="H2648" t="s">
        <v>3966</v>
      </c>
      <c r="I2648" t="s">
        <v>3963</v>
      </c>
      <c r="J2648" s="6" t="str">
        <f>HYPERLINK("https://www.biovista.com/db/link/%5B%5B%22Disease%7CSpinocerebellar%20Ataxia%20Type%203%22%5D,%20%5B%22Gene%7CFRDA%22%5D%5D?strength-weight-map=%257B%2522MEDLINE_STRENGTH_AB%2522:1.0,%2522HPO%2522:100.0%257D", "Show Evidence...")</f>
        <v>Show Evidence...</v>
      </c>
    </row>
    <row r="2649" spans="1:10" ht="12.75">
      <c r="A2649" s="2" t="s">
        <v>50</v>
      </c>
      <c r="B2649" s="2" t="s">
        <v>3786</v>
      </c>
      <c r="C2649" s="2" t="s">
        <v>24</v>
      </c>
      <c r="D2649" s="2" t="s">
        <v>3787</v>
      </c>
      <c r="E2649" s="2" t="s">
        <v>293</v>
      </c>
      <c r="F2649" s="11">
        <v>3708</v>
      </c>
      <c r="G2649" t="s">
        <v>36</v>
      </c>
      <c r="H2649" t="s">
        <v>3967</v>
      </c>
      <c r="I2649" t="s">
        <v>3963</v>
      </c>
      <c r="J2649" s="6" t="str">
        <f>HYPERLINK("https://www.biovista.com/db/link/%5B%5B%22Disease%7CSpinocerebellar%20Ataxia%20Type%203%22%5D,%20%5B%22Gene%7CITPR1%22%5D%5D?strength-weight-map=%257B%2522MEDLINE_STRENGTH_AB%2522:1.0,%2522HPO%2522:100.0%257D", "Show Evidence...")</f>
        <v>Show Evidence...</v>
      </c>
    </row>
    <row r="2650" spans="1:10" ht="12.75">
      <c r="A2650" s="2" t="s">
        <v>50</v>
      </c>
      <c r="B2650" s="2" t="s">
        <v>3786</v>
      </c>
      <c r="C2650" s="2" t="s">
        <v>24</v>
      </c>
      <c r="D2650" s="2" t="s">
        <v>3787</v>
      </c>
      <c r="E2650" s="2" t="s">
        <v>293</v>
      </c>
      <c r="F2650" s="11">
        <v>4747</v>
      </c>
      <c r="G2650" t="s">
        <v>36</v>
      </c>
      <c r="H2650" t="s">
        <v>3968</v>
      </c>
      <c r="I2650" t="s">
        <v>3963</v>
      </c>
      <c r="J2650" s="6" t="str">
        <f>HYPERLINK("https://www.biovista.com/db/link/%5B%5B%22Disease%7CSpinocerebellar%20Ataxia%20Type%203%22%5D,%20%5B%22Gene%7Cneurofilament%20light%20chain%22%5D%5D?strength-weight-map=%257B%2522MEDLINE_STRENGTH_AB%2522:1.0,%2522HPO%2522:100.0%257D", "Show Evidence...")</f>
        <v>Show Evidence...</v>
      </c>
    </row>
    <row r="2651" spans="1:10" ht="12.75">
      <c r="A2651" s="2" t="s">
        <v>50</v>
      </c>
      <c r="B2651" s="2" t="s">
        <v>3786</v>
      </c>
      <c r="C2651" s="2" t="s">
        <v>24</v>
      </c>
      <c r="D2651" s="2" t="s">
        <v>3787</v>
      </c>
      <c r="E2651" s="2" t="s">
        <v>293</v>
      </c>
      <c r="F2651" s="11">
        <v>146227</v>
      </c>
      <c r="G2651" t="s">
        <v>36</v>
      </c>
      <c r="H2651" t="s">
        <v>3969</v>
      </c>
      <c r="I2651" t="s">
        <v>3963</v>
      </c>
      <c r="J2651" s="6" t="str">
        <f>HYPERLINK("https://www.biovista.com/db/link/%5B%5B%22Disease%7CSpinocerebellar%20Ataxia%20Type%203%22%5D,%20%5B%22Gene%7CSCA31%22%5D%5D?strength-weight-map=%257B%2522MEDLINE_STRENGTH_AB%2522:1.0,%2522HPO%2522:100.0%257D", "Show Evidence...")</f>
        <v>Show Evidence...</v>
      </c>
    </row>
    <row r="2652" spans="1:10" ht="12.75">
      <c r="A2652" s="2" t="s">
        <v>50</v>
      </c>
      <c r="B2652" s="2" t="s">
        <v>3786</v>
      </c>
      <c r="C2652" s="2" t="s">
        <v>24</v>
      </c>
      <c r="D2652" s="2" t="s">
        <v>3787</v>
      </c>
      <c r="E2652" s="2" t="s">
        <v>293</v>
      </c>
      <c r="F2652" s="11">
        <v>6908</v>
      </c>
      <c r="G2652" t="s">
        <v>36</v>
      </c>
      <c r="H2652" t="s">
        <v>3970</v>
      </c>
      <c r="I2652" t="s">
        <v>3963</v>
      </c>
      <c r="J2652" s="6" t="str">
        <f>HYPERLINK("https://www.biovista.com/db/link/%5B%5B%22Disease%7CSpinocerebellar%20Ataxia%20Type%203%22%5D,%20%5B%22Gene%7CTATA-box%20binding%20protein%22%5D%5D?strength-weight-map=%257B%2522MEDLINE_STRENGTH_AB%2522:1.0,%2522HPO%2522:100.0%257D", "Show Evidence...")</f>
        <v>Show Evidence...</v>
      </c>
    </row>
    <row r="2653" spans="1:10" ht="12.75">
      <c r="A2653" s="2" t="s">
        <v>50</v>
      </c>
      <c r="B2653" s="2" t="s">
        <v>3786</v>
      </c>
      <c r="C2653" s="2" t="s">
        <v>24</v>
      </c>
      <c r="D2653" s="2" t="s">
        <v>3787</v>
      </c>
      <c r="E2653" s="2" t="s">
        <v>293</v>
      </c>
      <c r="F2653" s="11">
        <v>5173</v>
      </c>
      <c r="G2653" t="s">
        <v>36</v>
      </c>
      <c r="H2653" t="s">
        <v>3971</v>
      </c>
      <c r="I2653" t="s">
        <v>3972</v>
      </c>
      <c r="J2653" s="6" t="str">
        <f>HYPERLINK("https://www.biovista.com/db/link/%5B%5B%22Disease%7CSpinocerebellar%20Ataxia%20Type%203%22%5D,%20%5B%22Gene%7CADCA%22%5D%5D?strength-weight-map=%257B%2522MEDLINE_STRENGTH_AB%2522:1.0,%2522HPO%2522:100.0%257D", "Show Evidence...")</f>
        <v>Show Evidence...</v>
      </c>
    </row>
    <row r="2654" spans="1:10" ht="12.75">
      <c r="A2654" s="2" t="s">
        <v>50</v>
      </c>
      <c r="B2654" s="2" t="s">
        <v>3786</v>
      </c>
      <c r="C2654" s="2" t="s">
        <v>24</v>
      </c>
      <c r="D2654" s="2" t="s">
        <v>3787</v>
      </c>
      <c r="E2654" s="2" t="s">
        <v>293</v>
      </c>
      <c r="F2654" s="11">
        <v>2548</v>
      </c>
      <c r="G2654" t="s">
        <v>36</v>
      </c>
      <c r="H2654" t="s">
        <v>2622</v>
      </c>
      <c r="I2654" t="s">
        <v>3972</v>
      </c>
      <c r="J2654" s="6" t="str">
        <f>HYPERLINK("https://www.biovista.com/db/link/%5B%5B%22Disease%7CSpinocerebellar%20Ataxia%20Type%203%22%5D,%20%5B%22Gene%7CGAA%22%5D%5D?strength-weight-map=%257B%2522MEDLINE_STRENGTH_AB%2522:1.0,%2522HPO%2522:100.0%257D", "Show Evidence...")</f>
        <v>Show Evidence...</v>
      </c>
    </row>
    <row r="2655" spans="1:10" ht="12.75">
      <c r="A2655" s="2" t="s">
        <v>50</v>
      </c>
      <c r="B2655" s="2" t="s">
        <v>3786</v>
      </c>
      <c r="C2655" s="2" t="s">
        <v>24</v>
      </c>
      <c r="D2655" s="2" t="s">
        <v>3787</v>
      </c>
      <c r="E2655" s="2" t="s">
        <v>293</v>
      </c>
      <c r="F2655" s="11">
        <v>3303</v>
      </c>
      <c r="G2655" t="s">
        <v>36</v>
      </c>
      <c r="H2655" t="s">
        <v>3125</v>
      </c>
      <c r="I2655" t="s">
        <v>3972</v>
      </c>
      <c r="J2655" s="6" t="str">
        <f>HYPERLINK("https://www.biovista.com/db/link/%5B%5B%22Disease%7CSpinocerebellar%20Ataxia%20Type%203%22%5D,%20%5B%22Gene%7Chsp70%22%5D%5D?strength-weight-map=%257B%2522MEDLINE_STRENGTH_AB%2522:1.0,%2522HPO%2522:100.0%257D", "Show Evidence...")</f>
        <v>Show Evidence...</v>
      </c>
    </row>
    <row r="2656" spans="1:10" ht="12.75">
      <c r="A2656" s="2" t="s">
        <v>50</v>
      </c>
      <c r="B2656" s="2" t="s">
        <v>3786</v>
      </c>
      <c r="C2656" s="2" t="s">
        <v>24</v>
      </c>
      <c r="D2656" s="2" t="s">
        <v>3787</v>
      </c>
      <c r="E2656" s="2" t="s">
        <v>53</v>
      </c>
      <c r="F2656" s="11" t="s">
        <v>3973</v>
      </c>
      <c r="G2656" t="s">
        <v>36</v>
      </c>
      <c r="H2656" t="s">
        <v>3974</v>
      </c>
      <c r="I2656" t="s">
        <v>3972</v>
      </c>
      <c r="J2656" s="6" t="str">
        <f>HYPERLINK("https://www.biovista.com/db/link/%5B%5B%22Disease%7CSpinocerebellar%20Ataxia%20Type%203%22%5D,%20%5B%22Gene%7CHuman%20Immunodeficiency%20Virus%20Proteins%22%5D%5D?strength-weight-map=%257B%2522MEDLINE_STRENGTH_AB%2522:1.0,%2522HPO%2522:100.0%257D", "Show Evidence...")</f>
        <v>Show Evidence...</v>
      </c>
    </row>
    <row r="2657" spans="1:10" ht="12.75">
      <c r="A2657" s="2" t="s">
        <v>50</v>
      </c>
      <c r="B2657" s="2" t="s">
        <v>3786</v>
      </c>
      <c r="C2657" s="2" t="s">
        <v>24</v>
      </c>
      <c r="D2657" s="2" t="s">
        <v>3787</v>
      </c>
      <c r="E2657" s="2" t="s">
        <v>53</v>
      </c>
      <c r="F2657" s="11" t="s">
        <v>2577</v>
      </c>
      <c r="G2657" t="s">
        <v>36</v>
      </c>
      <c r="H2657" t="s">
        <v>2578</v>
      </c>
      <c r="I2657" t="s">
        <v>3972</v>
      </c>
      <c r="J2657" s="6" t="str">
        <f>HYPERLINK("https://www.biovista.com/db/link/%5B%5B%22Disease%7CSpinocerebellar%20Ataxia%20Type%203%22%5D,%20%5B%22Gene%7Ctau%20Proteins%22%5D%5D?strength-weight-map=%257B%2522MEDLINE_STRENGTH_AB%2522:1.0,%2522HPO%2522:100.0%257D", "Show Evidence...")</f>
        <v>Show Evidence...</v>
      </c>
    </row>
    <row r="2658" spans="1:10" ht="12.75">
      <c r="A2658" s="2" t="s">
        <v>50</v>
      </c>
      <c r="B2658" s="2" t="s">
        <v>3786</v>
      </c>
      <c r="C2658" s="2" t="s">
        <v>24</v>
      </c>
      <c r="D2658" s="2" t="s">
        <v>3787</v>
      </c>
      <c r="E2658" s="2" t="s">
        <v>293</v>
      </c>
      <c r="F2658" s="11">
        <v>1738</v>
      </c>
      <c r="G2658" t="s">
        <v>36</v>
      </c>
      <c r="H2658" t="s">
        <v>2046</v>
      </c>
      <c r="I2658" t="s">
        <v>3975</v>
      </c>
      <c r="J2658" s="6" t="str">
        <f>HYPERLINK("https://www.biovista.com/db/link/%5B%5B%22Disease%7CSpinocerebellar%20Ataxia%20Type%203%22%5D,%20%5B%22Gene%7CE3%22%5D%5D?strength-weight-map=%257B%2522MEDLINE_STRENGTH_AB%2522:1.0,%2522HPO%2522:100.0%257D", "Show Evidence...")</f>
        <v>Show Evidence...</v>
      </c>
    </row>
    <row r="2659" spans="1:10" ht="12.75">
      <c r="A2659" s="2" t="s">
        <v>50</v>
      </c>
      <c r="B2659" s="2" t="s">
        <v>3786</v>
      </c>
      <c r="C2659" s="2" t="s">
        <v>24</v>
      </c>
      <c r="D2659" s="2" t="s">
        <v>3787</v>
      </c>
      <c r="E2659" s="2" t="s">
        <v>293</v>
      </c>
      <c r="F2659" s="11">
        <v>107826841</v>
      </c>
      <c r="G2659" t="s">
        <v>36</v>
      </c>
      <c r="H2659" t="s">
        <v>2600</v>
      </c>
      <c r="I2659" t="s">
        <v>3975</v>
      </c>
      <c r="J2659" s="6" t="str">
        <f>HYPERLINK("https://www.biovista.com/db/link/%5B%5B%22Disease%7CSpinocerebellar%20Ataxia%20Type%203%22%5D,%20%5B%22Gene%7CLOC107826841%22%5D%5D?strength-weight-map=%257B%2522MEDLINE_STRENGTH_AB%2522:1.0,%2522HPO%2522:100.0%257D", "Show Evidence...")</f>
        <v>Show Evidence...</v>
      </c>
    </row>
    <row r="2660" spans="1:10" ht="12.75">
      <c r="A2660" s="2" t="s">
        <v>50</v>
      </c>
      <c r="B2660" s="2" t="s">
        <v>3786</v>
      </c>
      <c r="C2660" s="2" t="s">
        <v>24</v>
      </c>
      <c r="D2660" s="2" t="s">
        <v>3787</v>
      </c>
      <c r="E2660" s="2" t="s">
        <v>293</v>
      </c>
      <c r="F2660" s="11">
        <v>5933</v>
      </c>
      <c r="G2660" t="s">
        <v>36</v>
      </c>
      <c r="H2660" t="s">
        <v>399</v>
      </c>
      <c r="I2660" t="s">
        <v>3975</v>
      </c>
      <c r="J2660" s="6" t="str">
        <f>HYPERLINK("https://www.biovista.com/db/link/%5B%5B%22Disease%7CSpinocerebellar%20Ataxia%20Type%203%22%5D,%20%5B%22Gene%7CRBL1%22%5D%5D?strength-weight-map=%257B%2522MEDLINE_STRENGTH_AB%2522:1.0,%2522HPO%2522:100.0%257D", "Show Evidence...")</f>
        <v>Show Evidence...</v>
      </c>
    </row>
    <row r="2661" spans="1:10" ht="12.75">
      <c r="A2661" s="2" t="s">
        <v>50</v>
      </c>
      <c r="B2661" s="2" t="s">
        <v>3786</v>
      </c>
      <c r="C2661" s="2" t="s">
        <v>24</v>
      </c>
      <c r="D2661" s="2" t="s">
        <v>3787</v>
      </c>
      <c r="E2661" s="2" t="s">
        <v>293</v>
      </c>
      <c r="F2661" s="11">
        <v>4287</v>
      </c>
      <c r="G2661" t="s">
        <v>36</v>
      </c>
      <c r="H2661" t="s">
        <v>3976</v>
      </c>
      <c r="I2661" t="s">
        <v>3790</v>
      </c>
      <c r="J2661" s="6" t="str">
        <f>HYPERLINK("https://www.biovista.com/db/link/%5B%5B%22Disease%7CSpinocerebellar%20Ataxia%20Type%203%22%5D,%20%5B%22Gene%7CATX3%22%5D%5D?strength-weight-map=%257B%2522MEDLINE_STRENGTH_AB%2522:1.0,%2522HPO%2522:100.0%257D", "Show Evidence...")</f>
        <v>Show Evidence...</v>
      </c>
    </row>
    <row r="2662" spans="1:10" ht="12.75">
      <c r="A2662" s="2" t="s">
        <v>50</v>
      </c>
      <c r="B2662" s="2" t="s">
        <v>3786</v>
      </c>
      <c r="C2662" s="2" t="s">
        <v>24</v>
      </c>
      <c r="D2662" s="2" t="s">
        <v>3787</v>
      </c>
      <c r="E2662" s="2" t="s">
        <v>293</v>
      </c>
      <c r="F2662" s="11">
        <v>836</v>
      </c>
      <c r="G2662" t="s">
        <v>36</v>
      </c>
      <c r="H2662" t="s">
        <v>383</v>
      </c>
      <c r="I2662" t="s">
        <v>3790</v>
      </c>
      <c r="J2662" s="6" t="str">
        <f>HYPERLINK("https://www.biovista.com/db/link/%5B%5B%22Disease%7CSpinocerebellar%20Ataxia%20Type%203%22%5D,%20%5B%22Gene%7CCASP3%22%5D%5D?strength-weight-map=%257B%2522MEDLINE_STRENGTH_AB%2522:1.0,%2522HPO%2522:100.0%257D", "Show Evidence...")</f>
        <v>Show Evidence...</v>
      </c>
    </row>
    <row r="2663" spans="1:10" ht="12.75">
      <c r="A2663" s="2" t="s">
        <v>50</v>
      </c>
      <c r="B2663" s="2" t="s">
        <v>3786</v>
      </c>
      <c r="C2663" s="2" t="s">
        <v>24</v>
      </c>
      <c r="D2663" s="2" t="s">
        <v>3787</v>
      </c>
      <c r="E2663" s="2" t="s">
        <v>293</v>
      </c>
      <c r="F2663" s="11">
        <v>6531</v>
      </c>
      <c r="G2663" t="s">
        <v>36</v>
      </c>
      <c r="H2663" t="s">
        <v>3977</v>
      </c>
      <c r="I2663" t="s">
        <v>3790</v>
      </c>
      <c r="J2663" s="6" t="str">
        <f>HYPERLINK("https://www.biovista.com/db/link/%5B%5B%22Disease%7CSpinocerebellar%20Ataxia%20Type%203%22%5D,%20%5B%22Gene%7CDAT%22%5D%5D?strength-weight-map=%257B%2522MEDLINE_STRENGTH_AB%2522:1.0,%2522HPO%2522:100.0%257D", "Show Evidence...")</f>
        <v>Show Evidence...</v>
      </c>
    </row>
    <row r="2664" spans="1:10" ht="12.75">
      <c r="A2664" s="2" t="s">
        <v>50</v>
      </c>
      <c r="B2664" s="2" t="s">
        <v>3786</v>
      </c>
      <c r="C2664" s="2" t="s">
        <v>24</v>
      </c>
      <c r="D2664" s="2" t="s">
        <v>3787</v>
      </c>
      <c r="E2664" s="2" t="s">
        <v>293</v>
      </c>
      <c r="F2664" s="11">
        <v>101076606</v>
      </c>
      <c r="G2664" t="s">
        <v>36</v>
      </c>
      <c r="H2664" t="s">
        <v>3978</v>
      </c>
      <c r="I2664" t="s">
        <v>3790</v>
      </c>
      <c r="J2664" s="6" t="str">
        <f>HYPERLINK("https://www.biovista.com/db/link/%5B%5B%22Disease%7CSpinocerebellar%20Ataxia%20Type%203%22%5D,%20%5B%22Gene%7Cneurofilament%20light%22%5D%5D?strength-weight-map=%257B%2522MEDLINE_STRENGTH_AB%2522:1.0,%2522HPO%2522:100.0%257D", "Show Evidence...")</f>
        <v>Show Evidence...</v>
      </c>
    </row>
    <row r="2665" spans="1:10" ht="12.75">
      <c r="A2665" s="2" t="s">
        <v>50</v>
      </c>
      <c r="B2665" s="2" t="s">
        <v>3786</v>
      </c>
      <c r="C2665" s="2" t="s">
        <v>24</v>
      </c>
      <c r="D2665" s="2" t="s">
        <v>3787</v>
      </c>
      <c r="E2665" s="2" t="s">
        <v>293</v>
      </c>
      <c r="F2665" s="11">
        <v>5887</v>
      </c>
      <c r="G2665" t="s">
        <v>36</v>
      </c>
      <c r="H2665" t="s">
        <v>3979</v>
      </c>
      <c r="I2665" t="s">
        <v>3790</v>
      </c>
      <c r="J2665" s="6" t="str">
        <f>HYPERLINK("https://www.biovista.com/db/link/%5B%5B%22Disease%7CSpinocerebellar%20Ataxia%20Type%203%22%5D,%20%5B%22Gene%7CRAD23B%22%5D%5D?strength-weight-map=%257B%2522MEDLINE_STRENGTH_AB%2522:1.0,%2522HPO%2522:100.0%257D", "Show Evidence...")</f>
        <v>Show Evidence...</v>
      </c>
    </row>
    <row r="2666" spans="1:10" ht="12.75">
      <c r="A2666" s="2" t="s">
        <v>50</v>
      </c>
      <c r="B2666" s="2" t="s">
        <v>3786</v>
      </c>
      <c r="C2666" s="2" t="s">
        <v>24</v>
      </c>
      <c r="D2666" s="2" t="s">
        <v>3787</v>
      </c>
      <c r="E2666" s="2" t="s">
        <v>293</v>
      </c>
      <c r="F2666" s="11">
        <v>23435</v>
      </c>
      <c r="G2666" t="s">
        <v>36</v>
      </c>
      <c r="H2666" t="s">
        <v>3980</v>
      </c>
      <c r="I2666" t="s">
        <v>3790</v>
      </c>
      <c r="J2666" s="6" t="str">
        <f>HYPERLINK("https://www.biovista.com/db/link/%5B%5B%22Disease%7CSpinocerebellar%20Ataxia%20Type%203%22%5D,%20%5B%22Gene%7CTARDBP%22%5D%5D?strength-weight-map=%257B%2522MEDLINE_STRENGTH_AB%2522:1.0,%2522HPO%2522:100.0%257D", "Show Evidence...")</f>
        <v>Show Evidence...</v>
      </c>
    </row>
    <row r="2667" spans="1:10" ht="12.75">
      <c r="A2667" s="2" t="s">
        <v>50</v>
      </c>
      <c r="B2667" s="2" t="s">
        <v>3786</v>
      </c>
      <c r="C2667" s="2" t="s">
        <v>24</v>
      </c>
      <c r="D2667" s="2" t="s">
        <v>3787</v>
      </c>
      <c r="E2667" s="2" t="s">
        <v>293</v>
      </c>
      <c r="F2667" s="11">
        <v>581</v>
      </c>
      <c r="G2667" t="s">
        <v>36</v>
      </c>
      <c r="H2667" t="s">
        <v>3981</v>
      </c>
      <c r="I2667" t="s">
        <v>3982</v>
      </c>
      <c r="J2667" s="6" t="str">
        <f>HYPERLINK("https://www.biovista.com/db/link/%5B%5B%22Disease%7CSpinocerebellar%20Ataxia%20Type%203%22%5D,%20%5B%22Gene%7CBAX%22%5D%5D?strength-weight-map=%257B%2522MEDLINE_STRENGTH_AB%2522:1.0,%2522HPO%2522:100.0%257D", "Show Evidence...")</f>
        <v>Show Evidence...</v>
      </c>
    </row>
    <row r="2668" spans="1:10" ht="12.75">
      <c r="A2668" s="2" t="s">
        <v>50</v>
      </c>
      <c r="B2668" s="2" t="s">
        <v>3786</v>
      </c>
      <c r="C2668" s="2" t="s">
        <v>24</v>
      </c>
      <c r="D2668" s="2" t="s">
        <v>3787</v>
      </c>
      <c r="E2668" s="2" t="s">
        <v>309</v>
      </c>
      <c r="F2668" s="11">
        <v>106478973</v>
      </c>
      <c r="G2668" t="s">
        <v>36</v>
      </c>
      <c r="H2668" t="s">
        <v>2612</v>
      </c>
      <c r="I2668" t="s">
        <v>3982</v>
      </c>
      <c r="J2668" s="6" t="str">
        <f>HYPERLINK("https://www.biovista.com/db/link/%5B%5B%22Disease%7CSpinocerebellar%20Ataxia%20Type%203%22%5D,%20%5B%22Gene%7CFMR1%22%5D%5D?strength-weight-map=%257B%2522MEDLINE_STRENGTH_AB%2522:1.0,%2522HPO%2522:100.0%257D", "Show Evidence...")</f>
        <v>Show Evidence...</v>
      </c>
    </row>
    <row r="2669" spans="1:10" ht="12.75">
      <c r="A2669" s="2" t="s">
        <v>50</v>
      </c>
      <c r="B2669" s="2" t="s">
        <v>3786</v>
      </c>
      <c r="C2669" s="2" t="s">
        <v>24</v>
      </c>
      <c r="D2669" s="2" t="s">
        <v>3787</v>
      </c>
      <c r="E2669" s="2" t="s">
        <v>293</v>
      </c>
      <c r="F2669" s="11">
        <v>3630</v>
      </c>
      <c r="G2669" t="s">
        <v>36</v>
      </c>
      <c r="H2669" t="s">
        <v>358</v>
      </c>
      <c r="I2669" t="s">
        <v>3982</v>
      </c>
      <c r="J2669" s="6" t="str">
        <f>HYPERLINK("https://www.biovista.com/db/link/%5B%5B%22Disease%7CSpinocerebellar%20Ataxia%20Type%203%22%5D,%20%5B%22Gene%7CINS%22%5D%5D?strength-weight-map=%257B%2522MEDLINE_STRENGTH_AB%2522:1.0,%2522HPO%2522:100.0%257D", "Show Evidence...")</f>
        <v>Show Evidence...</v>
      </c>
    </row>
    <row r="2670" spans="1:10" ht="12.75">
      <c r="A2670" s="2" t="s">
        <v>50</v>
      </c>
      <c r="B2670" s="2" t="s">
        <v>3786</v>
      </c>
      <c r="C2670" s="2" t="s">
        <v>24</v>
      </c>
      <c r="D2670" s="2" t="s">
        <v>3787</v>
      </c>
      <c r="E2670" s="2" t="s">
        <v>293</v>
      </c>
      <c r="F2670" s="11">
        <v>2475</v>
      </c>
      <c r="G2670" t="s">
        <v>36</v>
      </c>
      <c r="H2670" t="s">
        <v>2062</v>
      </c>
      <c r="I2670" t="s">
        <v>3982</v>
      </c>
      <c r="J2670" s="6" t="str">
        <f>HYPERLINK("https://www.biovista.com/db/link/%5B%5B%22Disease%7CSpinocerebellar%20Ataxia%20Type%203%22%5D,%20%5B%22Gene%7CMTOR%22%5D%5D?strength-weight-map=%257B%2522MEDLINE_STRENGTH_AB%2522:1.0,%2522HPO%2522:100.0%257D", "Show Evidence...")</f>
        <v>Show Evidence...</v>
      </c>
    </row>
    <row r="2671" spans="1:10" ht="12.75">
      <c r="A2671" s="2" t="s">
        <v>50</v>
      </c>
      <c r="B2671" s="2" t="s">
        <v>3786</v>
      </c>
      <c r="C2671" s="2" t="s">
        <v>24</v>
      </c>
      <c r="D2671" s="2" t="s">
        <v>3787</v>
      </c>
      <c r="E2671" s="2" t="s">
        <v>53</v>
      </c>
      <c r="F2671" s="11" t="s">
        <v>3983</v>
      </c>
      <c r="G2671" t="s">
        <v>36</v>
      </c>
      <c r="H2671" t="s">
        <v>3984</v>
      </c>
      <c r="I2671" t="s">
        <v>3982</v>
      </c>
      <c r="J2671" s="6" t="str">
        <f>HYPERLINK("https://www.biovista.com/db/link/%5B%5B%22Disease%7CSpinocerebellar%20Ataxia%20Type%203%22%5D,%20%5B%22Gene%7CSPECT%20protein,%20Plasmodium%20berghei%22%5D%5D?strength-weight-map=%257B%2522MEDLINE_STRENGTH_AB%2522:1.0,%2522HPO%2522:100.0%257D", "Show Evidence...")</f>
        <v>Show Evidence...</v>
      </c>
    </row>
    <row r="2672" spans="1:10" ht="12.75">
      <c r="A2672" s="2" t="s">
        <v>50</v>
      </c>
      <c r="B2672" s="2" t="s">
        <v>3786</v>
      </c>
      <c r="C2672" s="2" t="s">
        <v>24</v>
      </c>
      <c r="D2672" s="2" t="s">
        <v>3787</v>
      </c>
      <c r="E2672" s="2" t="s">
        <v>293</v>
      </c>
      <c r="F2672" s="11">
        <v>6683</v>
      </c>
      <c r="G2672" t="s">
        <v>36</v>
      </c>
      <c r="H2672" t="s">
        <v>3985</v>
      </c>
      <c r="I2672" t="s">
        <v>3982</v>
      </c>
      <c r="J2672" s="6" t="str">
        <f>HYPERLINK("https://www.biovista.com/db/link/%5B%5B%22Disease%7CSpinocerebellar%20Ataxia%20Type%203%22%5D,%20%5B%22Gene%7CSPG4%22%5D%5D?strength-weight-map=%257B%2522MEDLINE_STRENGTH_AB%2522:1.0,%2522HPO%2522:100.0%257D", "Show Evidence...")</f>
        <v>Show Evidence...</v>
      </c>
    </row>
    <row r="2673" spans="1:10" ht="12.75">
      <c r="A2673" s="2" t="s">
        <v>50</v>
      </c>
      <c r="B2673" s="2" t="s">
        <v>3786</v>
      </c>
      <c r="C2673" s="2" t="s">
        <v>24</v>
      </c>
      <c r="D2673" s="2" t="s">
        <v>3787</v>
      </c>
      <c r="E2673" s="2" t="s">
        <v>53</v>
      </c>
      <c r="F2673" s="11" t="s">
        <v>3986</v>
      </c>
      <c r="G2673" t="s">
        <v>36</v>
      </c>
      <c r="H2673" t="s">
        <v>3987</v>
      </c>
      <c r="I2673" t="s">
        <v>3982</v>
      </c>
      <c r="J2673" s="6" t="str">
        <f>HYPERLINK("https://www.biovista.com/db/link/%5B%5B%22Disease%7CSpinocerebellar%20Ataxia%20Type%203%22%5D,%20%5B%22Gene%7Cspinocerebellar%20ataxia%202%22%5D%5D?strength-weight-map=%257B%2522MEDLINE_STRENGTH_AB%2522:1.0,%2522HPO%2522:100.0%257D", "Show Evidence...")</f>
        <v>Show Evidence...</v>
      </c>
    </row>
    <row r="2674" spans="1:10" ht="12.75">
      <c r="A2674" s="2" t="s">
        <v>50</v>
      </c>
      <c r="B2674" s="2" t="s">
        <v>3786</v>
      </c>
      <c r="C2674" s="2" t="s">
        <v>24</v>
      </c>
      <c r="D2674" s="2" t="s">
        <v>3787</v>
      </c>
      <c r="E2674" s="2" t="s">
        <v>293</v>
      </c>
      <c r="F2674" s="11">
        <v>116643</v>
      </c>
      <c r="G2674" t="s">
        <v>36</v>
      </c>
      <c r="H2674" t="s">
        <v>3988</v>
      </c>
      <c r="I2674" t="s">
        <v>3982</v>
      </c>
      <c r="J2674" s="6" t="str">
        <f>HYPERLINK("https://www.biovista.com/db/link/%5B%5B%22Disease%7CSpinocerebellar%20Ataxia%20Type%203%22%5D,%20%5B%22Gene%7CValosin-containing%20protein%22%5D%5D?strength-weight-map=%257B%2522MEDLINE_STRENGTH_AB%2522:1.0,%2522HPO%2522:100.0%257D", "Show Evidence...")</f>
        <v>Show Evidence...</v>
      </c>
    </row>
    <row r="2675" spans="1:10" ht="12.75">
      <c r="A2675" s="2" t="s">
        <v>50</v>
      </c>
      <c r="B2675" s="2" t="s">
        <v>3786</v>
      </c>
      <c r="C2675" s="2" t="s">
        <v>24</v>
      </c>
      <c r="D2675" s="2" t="s">
        <v>3787</v>
      </c>
      <c r="E2675" s="2" t="s">
        <v>1180</v>
      </c>
      <c r="F2675" s="11">
        <v>17</v>
      </c>
      <c r="G2675" t="s">
        <v>36</v>
      </c>
      <c r="H2675" t="s">
        <v>1181</v>
      </c>
      <c r="I2675" t="s">
        <v>3791</v>
      </c>
      <c r="J2675" s="6" t="str">
        <f>HYPERLINK("https://www.biovista.com/db/link/%5B%5B%22Disease%7CSpinocerebellar%20Ataxia%20Type%203%22%5D,%20%5B%22Gene%7CAAVS1%22%5D%5D?strength-weight-map=%257B%2522MEDLINE_STRENGTH_AB%2522:1.0,%2522HPO%2522:100.0%257D", "Show Evidence...")</f>
        <v>Show Evidence...</v>
      </c>
    </row>
    <row r="2676" spans="1:10" ht="12.75">
      <c r="A2676" s="2" t="s">
        <v>50</v>
      </c>
      <c r="B2676" s="2" t="s">
        <v>3786</v>
      </c>
      <c r="C2676" s="2" t="s">
        <v>24</v>
      </c>
      <c r="D2676" s="2" t="s">
        <v>3787</v>
      </c>
      <c r="E2676" s="2" t="s">
        <v>309</v>
      </c>
      <c r="F2676" s="11">
        <v>6315</v>
      </c>
      <c r="G2676" t="s">
        <v>36</v>
      </c>
      <c r="H2676" t="s">
        <v>3989</v>
      </c>
      <c r="I2676" t="s">
        <v>3791</v>
      </c>
      <c r="J2676" s="6" t="str">
        <f>HYPERLINK("https://www.biovista.com/db/link/%5B%5B%22Disease%7CSpinocerebellar%20Ataxia%20Type%203%22%5D,%20%5B%22Gene%7CATXN8OS%22%5D%5D?strength-weight-map=%257B%2522MEDLINE_STRENGTH_AB%2522:1.0,%2522HPO%2522:100.0%257D", "Show Evidence...")</f>
        <v>Show Evidence...</v>
      </c>
    </row>
    <row r="2677" spans="1:10" ht="12.75">
      <c r="A2677" s="2" t="s">
        <v>50</v>
      </c>
      <c r="B2677" s="2" t="s">
        <v>3786</v>
      </c>
      <c r="C2677" s="2" t="s">
        <v>24</v>
      </c>
      <c r="D2677" s="2" t="s">
        <v>3787</v>
      </c>
      <c r="E2677" s="2" t="s">
        <v>293</v>
      </c>
      <c r="F2677" s="11">
        <v>596</v>
      </c>
      <c r="G2677" t="s">
        <v>36</v>
      </c>
      <c r="H2677" t="s">
        <v>3990</v>
      </c>
      <c r="I2677" t="s">
        <v>3791</v>
      </c>
      <c r="J2677" s="6" t="str">
        <f>HYPERLINK("https://www.biovista.com/db/link/%5B%5B%22Disease%7CSpinocerebellar%20Ataxia%20Type%203%22%5D,%20%5B%22Gene%7CBCL2%22%5D%5D?strength-weight-map=%257B%2522MEDLINE_STRENGTH_AB%2522:1.0,%2522HPO%2522:100.0%257D", "Show Evidence...")</f>
        <v>Show Evidence...</v>
      </c>
    </row>
    <row r="2678" spans="1:10" ht="12.75">
      <c r="A2678" s="2" t="s">
        <v>50</v>
      </c>
      <c r="B2678" s="2" t="s">
        <v>3786</v>
      </c>
      <c r="C2678" s="2" t="s">
        <v>24</v>
      </c>
      <c r="D2678" s="2" t="s">
        <v>3787</v>
      </c>
      <c r="E2678" s="2" t="s">
        <v>309</v>
      </c>
      <c r="F2678" s="11">
        <v>108639</v>
      </c>
      <c r="G2678" t="s">
        <v>36</v>
      </c>
      <c r="H2678" t="s">
        <v>2609</v>
      </c>
      <c r="I2678" t="s">
        <v>3791</v>
      </c>
      <c r="J2678" s="6" t="str">
        <f>HYPERLINK("https://www.biovista.com/db/link/%5B%5B%22Disease%7CSpinocerebellar%20Ataxia%20Type%203%22%5D,%20%5B%22Gene%7CBY367451%22%5D%5D?strength-weight-map=%257B%2522MEDLINE_STRENGTH_AB%2522:1.0,%2522HPO%2522:100.0%257D", "Show Evidence...")</f>
        <v>Show Evidence...</v>
      </c>
    </row>
    <row r="2679" spans="1:10" ht="12.75">
      <c r="A2679" s="2" t="s">
        <v>50</v>
      </c>
      <c r="B2679" s="2" t="s">
        <v>3786</v>
      </c>
      <c r="C2679" s="2" t="s">
        <v>24</v>
      </c>
      <c r="D2679" s="2" t="s">
        <v>3787</v>
      </c>
      <c r="E2679" s="2" t="s">
        <v>293</v>
      </c>
      <c r="F2679" s="11">
        <v>203228</v>
      </c>
      <c r="G2679" t="s">
        <v>36</v>
      </c>
      <c r="H2679" t="s">
        <v>2594</v>
      </c>
      <c r="I2679" t="s">
        <v>3791</v>
      </c>
      <c r="J2679" s="6" t="str">
        <f>HYPERLINK("https://www.biovista.com/db/link/%5B%5B%22Disease%7CSpinocerebellar%20Ataxia%20Type%203%22%5D,%20%5B%22Gene%7CC9orf72%22%5D%5D?strength-weight-map=%257B%2522MEDLINE_STRENGTH_AB%2522:1.0,%2522HPO%2522:100.0%257D", "Show Evidence...")</f>
        <v>Show Evidence...</v>
      </c>
    </row>
    <row r="2680" spans="1:10" ht="12.75">
      <c r="A2680" s="2" t="s">
        <v>50</v>
      </c>
      <c r="B2680" s="2" t="s">
        <v>3786</v>
      </c>
      <c r="C2680" s="2" t="s">
        <v>24</v>
      </c>
      <c r="D2680" s="2" t="s">
        <v>3787</v>
      </c>
      <c r="E2680" s="2" t="s">
        <v>293</v>
      </c>
      <c r="F2680" s="11">
        <v>2395</v>
      </c>
      <c r="G2680" t="s">
        <v>36</v>
      </c>
      <c r="H2680" t="s">
        <v>3991</v>
      </c>
      <c r="I2680" t="s">
        <v>3791</v>
      </c>
      <c r="J2680" s="6" t="str">
        <f>HYPERLINK("https://www.biovista.com/db/link/%5B%5B%22Disease%7CSpinocerebellar%20Ataxia%20Type%203%22%5D,%20%5B%22Gene%7Cfrataxin%22%5D%5D?strength-weight-map=%257B%2522MEDLINE_STRENGTH_AB%2522:1.0,%2522HPO%2522:100.0%257D", "Show Evidence...")</f>
        <v>Show Evidence...</v>
      </c>
    </row>
    <row r="2681" spans="1:10" ht="12.75">
      <c r="A2681" s="2" t="s">
        <v>50</v>
      </c>
      <c r="B2681" s="2" t="s">
        <v>3786</v>
      </c>
      <c r="C2681" s="2" t="s">
        <v>24</v>
      </c>
      <c r="D2681" s="2" t="s">
        <v>3787</v>
      </c>
      <c r="E2681" s="2" t="s">
        <v>293</v>
      </c>
      <c r="F2681" s="11">
        <v>2670</v>
      </c>
      <c r="G2681" t="s">
        <v>36</v>
      </c>
      <c r="H2681" t="s">
        <v>1168</v>
      </c>
      <c r="I2681" t="s">
        <v>3791</v>
      </c>
      <c r="J2681" s="6" t="str">
        <f>HYPERLINK("https://www.biovista.com/db/link/%5B%5B%22Disease%7CSpinocerebellar%20Ataxia%20Type%203%22%5D,%20%5B%22Gene%7CGFAP%22%5D%5D?strength-weight-map=%257B%2522MEDLINE_STRENGTH_AB%2522:1.0,%2522HPO%2522:100.0%257D", "Show Evidence...")</f>
        <v>Show Evidence...</v>
      </c>
    </row>
    <row r="2682" spans="1:10" ht="12.75">
      <c r="A2682" s="2" t="s">
        <v>50</v>
      </c>
      <c r="B2682" s="2" t="s">
        <v>3786</v>
      </c>
      <c r="C2682" s="2" t="s">
        <v>24</v>
      </c>
      <c r="D2682" s="2" t="s">
        <v>3787</v>
      </c>
      <c r="E2682" s="2" t="s">
        <v>53</v>
      </c>
      <c r="F2682" s="11" t="s">
        <v>3992</v>
      </c>
      <c r="G2682" t="s">
        <v>36</v>
      </c>
      <c r="H2682" t="s">
        <v>3993</v>
      </c>
      <c r="I2682" t="s">
        <v>3791</v>
      </c>
      <c r="J2682" s="6" t="str">
        <f>HYPERLINK("https://www.biovista.com/db/link/%5B%5B%22Disease%7CSpinocerebellar%20Ataxia%20Type%203%22%5D,%20%5B%22Gene%7CHSP40%20Heat-Shock%20Proteins%22%5D%5D?strength-weight-map=%257B%2522MEDLINE_STRENGTH_AB%2522:1.0,%2522HPO%2522:100.0%257D", "Show Evidence...")</f>
        <v>Show Evidence...</v>
      </c>
    </row>
    <row r="2683" spans="1:10" ht="12.75">
      <c r="A2683" s="2" t="s">
        <v>50</v>
      </c>
      <c r="B2683" s="2" t="s">
        <v>3786</v>
      </c>
      <c r="C2683" s="2" t="s">
        <v>24</v>
      </c>
      <c r="D2683" s="2" t="s">
        <v>3787</v>
      </c>
      <c r="E2683" s="2" t="s">
        <v>293</v>
      </c>
      <c r="F2683" s="11">
        <v>3315</v>
      </c>
      <c r="G2683" t="s">
        <v>36</v>
      </c>
      <c r="H2683" t="s">
        <v>3994</v>
      </c>
      <c r="I2683" t="s">
        <v>3791</v>
      </c>
      <c r="J2683" s="6" t="str">
        <f>HYPERLINK("https://www.biovista.com/db/link/%5B%5B%22Disease%7CSpinocerebellar%20Ataxia%20Type%203%22%5D,%20%5B%22Gene%7CHSPB1%22%5D%5D?strength-weight-map=%257B%2522MEDLINE_STRENGTH_AB%2522:1.0,%2522HPO%2522:100.0%257D", "Show Evidence...")</f>
        <v>Show Evidence...</v>
      </c>
    </row>
    <row r="2684" spans="1:10" ht="12.75">
      <c r="A2684" s="2" t="s">
        <v>50</v>
      </c>
      <c r="B2684" s="2" t="s">
        <v>3786</v>
      </c>
      <c r="C2684" s="2" t="s">
        <v>24</v>
      </c>
      <c r="D2684" s="2" t="s">
        <v>3787</v>
      </c>
      <c r="E2684" s="2" t="s">
        <v>293</v>
      </c>
      <c r="F2684" s="11">
        <v>3479</v>
      </c>
      <c r="G2684" t="s">
        <v>36</v>
      </c>
      <c r="H2684" t="s">
        <v>3106</v>
      </c>
      <c r="I2684" t="s">
        <v>3791</v>
      </c>
      <c r="J2684" s="6" t="str">
        <f>HYPERLINK("https://www.biovista.com/db/link/%5B%5B%22Disease%7CSpinocerebellar%20Ataxia%20Type%203%22%5D,%20%5B%22Gene%7CIGF1%22%5D%5D?strength-weight-map=%257B%2522MEDLINE_STRENGTH_AB%2522:1.0,%2522HPO%2522:100.0%257D", "Show Evidence...")</f>
        <v>Show Evidence...</v>
      </c>
    </row>
    <row r="2685" spans="1:10" ht="12.75">
      <c r="A2685" s="2" t="s">
        <v>50</v>
      </c>
      <c r="B2685" s="2" t="s">
        <v>3786</v>
      </c>
      <c r="C2685" s="2" t="s">
        <v>24</v>
      </c>
      <c r="D2685" s="2" t="s">
        <v>3787</v>
      </c>
      <c r="E2685" s="2" t="s">
        <v>293</v>
      </c>
      <c r="F2685" s="11">
        <v>84557</v>
      </c>
      <c r="G2685" t="s">
        <v>36</v>
      </c>
      <c r="H2685" t="s">
        <v>3995</v>
      </c>
      <c r="I2685" t="s">
        <v>3791</v>
      </c>
      <c r="J2685" s="6" t="str">
        <f>HYPERLINK("https://www.biovista.com/db/link/%5B%5B%22Disease%7CSpinocerebellar%20Ataxia%20Type%203%22%5D,%20%5B%22Gene%7CMAP1LC3A%22%5D%5D?strength-weight-map=%257B%2522MEDLINE_STRENGTH_AB%2522:1.0,%2522HPO%2522:100.0%257D", "Show Evidence...")</f>
        <v>Show Evidence...</v>
      </c>
    </row>
    <row r="2686" spans="1:10" ht="12.75">
      <c r="A2686" s="2" t="s">
        <v>50</v>
      </c>
      <c r="B2686" s="2" t="s">
        <v>3786</v>
      </c>
      <c r="C2686" s="2" t="s">
        <v>24</v>
      </c>
      <c r="D2686" s="2" t="s">
        <v>3787</v>
      </c>
      <c r="E2686" s="2" t="s">
        <v>293</v>
      </c>
      <c r="F2686" s="11">
        <v>4137</v>
      </c>
      <c r="G2686" t="s">
        <v>36</v>
      </c>
      <c r="H2686" t="s">
        <v>2616</v>
      </c>
      <c r="I2686" t="s">
        <v>3791</v>
      </c>
      <c r="J2686" s="6" t="str">
        <f>HYPERLINK("https://www.biovista.com/db/link/%5B%5B%22Disease%7CSpinocerebellar%20Ataxia%20Type%203%22%5D,%20%5B%22Gene%7CMAPT%22%5D%5D?strength-weight-map=%257B%2522MEDLINE_STRENGTH_AB%2522:1.0,%2522HPO%2522:100.0%257D", "Show Evidence...")</f>
        <v>Show Evidence...</v>
      </c>
    </row>
    <row r="2687" spans="1:10" ht="12.75">
      <c r="A2687" s="2" t="s">
        <v>50</v>
      </c>
      <c r="B2687" s="2" t="s">
        <v>3786</v>
      </c>
      <c r="C2687" s="2" t="s">
        <v>24</v>
      </c>
      <c r="D2687" s="2" t="s">
        <v>3787</v>
      </c>
      <c r="E2687" s="2" t="s">
        <v>293</v>
      </c>
      <c r="F2687" s="11">
        <v>4437</v>
      </c>
      <c r="G2687" t="s">
        <v>36</v>
      </c>
      <c r="H2687" t="s">
        <v>1190</v>
      </c>
      <c r="I2687" t="s">
        <v>3791</v>
      </c>
      <c r="J2687" s="6" t="str">
        <f>HYPERLINK("https://www.biovista.com/db/link/%5B%5B%22Disease%7CSpinocerebellar%20Ataxia%20Type%203%22%5D,%20%5B%22Gene%7CMSH3%22%5D%5D?strength-weight-map=%257B%2522MEDLINE_STRENGTH_AB%2522:1.0,%2522HPO%2522:100.0%257D", "Show Evidence...")</f>
        <v>Show Evidence...</v>
      </c>
    </row>
    <row r="2688" spans="1:10" ht="12.75">
      <c r="A2688" s="2" t="s">
        <v>50</v>
      </c>
      <c r="B2688" s="2" t="s">
        <v>3786</v>
      </c>
      <c r="C2688" s="2" t="s">
        <v>24</v>
      </c>
      <c r="D2688" s="2" t="s">
        <v>3787</v>
      </c>
      <c r="E2688" s="2" t="s">
        <v>293</v>
      </c>
      <c r="F2688" s="11">
        <v>4747</v>
      </c>
      <c r="G2688" t="s">
        <v>36</v>
      </c>
      <c r="H2688" t="s">
        <v>3996</v>
      </c>
      <c r="I2688" t="s">
        <v>3791</v>
      </c>
      <c r="J2688" s="6" t="str">
        <f>HYPERLINK("https://www.biovista.com/db/link/%5B%5B%22Disease%7CSpinocerebellar%20Ataxia%20Type%203%22%5D,%20%5B%22Gene%7CNEFL%22%5D%5D?strength-weight-map=%257B%2522MEDLINE_STRENGTH_AB%2522:1.0,%2522HPO%2522:100.0%257D", "Show Evidence...")</f>
        <v>Show Evidence...</v>
      </c>
    </row>
    <row r="2689" spans="1:10" ht="12.75">
      <c r="A2689" s="2" t="s">
        <v>50</v>
      </c>
      <c r="B2689" s="2" t="s">
        <v>3786</v>
      </c>
      <c r="C2689" s="2" t="s">
        <v>24</v>
      </c>
      <c r="D2689" s="2" t="s">
        <v>3787</v>
      </c>
      <c r="E2689" s="2" t="s">
        <v>293</v>
      </c>
      <c r="F2689" s="11">
        <v>367</v>
      </c>
      <c r="G2689" t="s">
        <v>36</v>
      </c>
      <c r="H2689" t="s">
        <v>3997</v>
      </c>
      <c r="I2689" t="s">
        <v>3791</v>
      </c>
      <c r="J2689" s="6" t="str">
        <f>HYPERLINK("https://www.biovista.com/db/link/%5B%5B%22Disease%7CSpinocerebellar%20Ataxia%20Type%203%22%5D,%20%5B%22Gene%7CSBMA%22%5D%5D?strength-weight-map=%257B%2522MEDLINE_STRENGTH_AB%2522:1.0,%2522HPO%2522:100.0%257D", "Show Evidence...")</f>
        <v>Show Evidence...</v>
      </c>
    </row>
    <row r="2690" spans="1:10" ht="12.75">
      <c r="A2690" s="2" t="s">
        <v>50</v>
      </c>
      <c r="B2690" s="2" t="s">
        <v>3786</v>
      </c>
      <c r="C2690" s="2" t="s">
        <v>24</v>
      </c>
      <c r="D2690" s="2" t="s">
        <v>3787</v>
      </c>
      <c r="E2690" s="2" t="s">
        <v>293</v>
      </c>
      <c r="F2690" s="11">
        <v>8878</v>
      </c>
      <c r="G2690" t="s">
        <v>36</v>
      </c>
      <c r="H2690" t="s">
        <v>3998</v>
      </c>
      <c r="I2690" t="s">
        <v>3791</v>
      </c>
      <c r="J2690" s="6" t="str">
        <f>HYPERLINK("https://www.biovista.com/db/link/%5B%5B%22Disease%7CSpinocerebellar%20Ataxia%20Type%203%22%5D,%20%5B%22Gene%7CSQSTM1%22%5D%5D?strength-weight-map=%257B%2522MEDLINE_STRENGTH_AB%2522:1.0,%2522HPO%2522:100.0%257D", "Show Evidence...")</f>
        <v>Show Evidence...</v>
      </c>
    </row>
    <row r="2691" spans="1:10" ht="12.75">
      <c r="A2691" s="2" t="s">
        <v>50</v>
      </c>
      <c r="B2691" s="2" t="s">
        <v>3786</v>
      </c>
      <c r="C2691" s="2" t="s">
        <v>24</v>
      </c>
      <c r="D2691" s="2" t="s">
        <v>3787</v>
      </c>
      <c r="E2691" s="2" t="s">
        <v>293</v>
      </c>
      <c r="F2691" s="11">
        <v>84585</v>
      </c>
      <c r="G2691" t="s">
        <v>36</v>
      </c>
      <c r="H2691" t="s">
        <v>3999</v>
      </c>
      <c r="I2691" t="s">
        <v>3791</v>
      </c>
      <c r="J2691" s="6" t="str">
        <f>HYPERLINK("https://www.biovista.com/db/link/%5B%5B%22Disease%7CSpinocerebellar%20Ataxia%20Type%203%22%5D,%20%5B%22Gene%7Cubiquitin%20ligase%22%5D%5D?strength-weight-map=%257B%2522MEDLINE_STRENGTH_AB%2522:1.0,%2522HPO%2522:100.0%257D", "Show Evidence...")</f>
        <v>Show Evidence...</v>
      </c>
    </row>
    <row r="2692" spans="1:10" ht="12.75">
      <c r="A2692" s="2" t="s">
        <v>50</v>
      </c>
      <c r="B2692" s="2" t="s">
        <v>3786</v>
      </c>
      <c r="C2692" s="2" t="s">
        <v>24</v>
      </c>
      <c r="D2692" s="2" t="s">
        <v>3787</v>
      </c>
      <c r="E2692" s="2" t="s">
        <v>293</v>
      </c>
      <c r="F2692" s="11">
        <v>3145</v>
      </c>
      <c r="G2692" t="s">
        <v>36</v>
      </c>
      <c r="H2692" t="s">
        <v>4000</v>
      </c>
      <c r="I2692" t="s">
        <v>3791</v>
      </c>
      <c r="J2692" s="6" t="str">
        <f>HYPERLINK("https://www.biovista.com/db/link/%5B%5B%22Disease%7CSpinocerebellar%20Ataxia%20Type%203%22%5D,%20%5B%22Gene%7CUPS%22%5D%5D?strength-weight-map=%257B%2522MEDLINE_STRENGTH_AB%2522:1.0,%2522HPO%2522:100.0%257D", "Show Evidence...")</f>
        <v>Show Evidence...</v>
      </c>
    </row>
    <row r="2693" spans="1:10" ht="12.75">
      <c r="A2693" s="2" t="s">
        <v>50</v>
      </c>
      <c r="B2693" s="2" t="s">
        <v>3786</v>
      </c>
      <c r="C2693" s="2" t="s">
        <v>24</v>
      </c>
      <c r="D2693" s="2" t="s">
        <v>3787</v>
      </c>
      <c r="E2693" s="2" t="s">
        <v>293</v>
      </c>
      <c r="F2693" s="11">
        <v>367</v>
      </c>
      <c r="G2693" t="s">
        <v>36</v>
      </c>
      <c r="H2693" t="s">
        <v>4001</v>
      </c>
      <c r="I2693" t="s">
        <v>3795</v>
      </c>
      <c r="J2693" s="6" t="str">
        <f>HYPERLINK("https://www.biovista.com/db/link/%5B%5B%22Disease%7CSpinocerebellar%20Ataxia%20Type%203%22%5D,%20%5B%22Gene%7Candrogen%20receptor%22%5D%5D?strength-weight-map=%257B%2522MEDLINE_STRENGTH_AB%2522:1.0,%2522HPO%2522:100.0%257D", "Show Evidence...")</f>
        <v>Show Evidence...</v>
      </c>
    </row>
    <row r="2694" spans="1:10" ht="12.75">
      <c r="A2694" s="2" t="s">
        <v>50</v>
      </c>
      <c r="B2694" s="2" t="s">
        <v>3786</v>
      </c>
      <c r="C2694" s="2" t="s">
        <v>24</v>
      </c>
      <c r="D2694" s="2" t="s">
        <v>3787</v>
      </c>
      <c r="E2694" s="2" t="s">
        <v>293</v>
      </c>
      <c r="F2694" s="11">
        <v>351</v>
      </c>
      <c r="G2694" t="s">
        <v>36</v>
      </c>
      <c r="H2694" t="s">
        <v>4002</v>
      </c>
      <c r="I2694" t="s">
        <v>3795</v>
      </c>
      <c r="J2694" s="6" t="str">
        <f>HYPERLINK("https://www.biovista.com/db/link/%5B%5B%22Disease%7CSpinocerebellar%20Ataxia%20Type%203%22%5D,%20%5B%22Gene%7CAPP%22%5D%5D?strength-weight-map=%257B%2522MEDLINE_STRENGTH_AB%2522:1.0,%2522HPO%2522:100.0%257D", "Show Evidence...")</f>
        <v>Show Evidence...</v>
      </c>
    </row>
    <row r="2695" spans="1:10" ht="12.75">
      <c r="A2695" s="2" t="s">
        <v>50</v>
      </c>
      <c r="B2695" s="2" t="s">
        <v>3786</v>
      </c>
      <c r="C2695" s="2" t="s">
        <v>24</v>
      </c>
      <c r="D2695" s="2" t="s">
        <v>3787</v>
      </c>
      <c r="E2695" s="2" t="s">
        <v>293</v>
      </c>
      <c r="F2695" s="11">
        <v>3553</v>
      </c>
      <c r="G2695" t="s">
        <v>36</v>
      </c>
      <c r="H2695" t="s">
        <v>335</v>
      </c>
      <c r="I2695" t="s">
        <v>3795</v>
      </c>
      <c r="J2695" s="6" t="str">
        <f>HYPERLINK("https://www.biovista.com/db/link/%5B%5B%22Disease%7CSpinocerebellar%20Ataxia%20Type%203%22%5D,%20%5B%22Gene%7CIL1B%22%5D%5D?strength-weight-map=%257B%2522MEDLINE_STRENGTH_AB%2522:1.0,%2522HPO%2522:100.0%257D", "Show Evidence...")</f>
        <v>Show Evidence...</v>
      </c>
    </row>
    <row r="2696" spans="1:10" ht="12.75">
      <c r="A2696" s="2" t="s">
        <v>50</v>
      </c>
      <c r="B2696" s="2" t="s">
        <v>3786</v>
      </c>
      <c r="C2696" s="2" t="s">
        <v>24</v>
      </c>
      <c r="D2696" s="2" t="s">
        <v>3787</v>
      </c>
      <c r="E2696" s="2" t="s">
        <v>293</v>
      </c>
      <c r="F2696" s="8">
        <v>123168174</v>
      </c>
      <c r="G2696" t="s">
        <v>36</v>
      </c>
      <c r="H2696" t="s">
        <v>4003</v>
      </c>
      <c r="I2696" t="s">
        <v>3795</v>
      </c>
      <c r="J2696" s="6" t="str">
        <f>HYPERLINK("https://www.biovista.com/db/link/%5B%5B%22Disease%7CSpinocerebellar%20Ataxia%20Type%203%22%5D,%20%5B%22Gene%7CLOC123168174%22%5D%5D?strength-weight-map=%257B%2522MEDLINE_STRENGTH_AB%2522:1.0,%2522HPO%2522:100.0%257D", "Show Evidence...")</f>
        <v>Show Evidence...</v>
      </c>
    </row>
    <row r="2697" spans="1:10" ht="12.75">
      <c r="A2697" s="2" t="s">
        <v>50</v>
      </c>
      <c r="B2697" s="2" t="s">
        <v>3786</v>
      </c>
      <c r="C2697" s="2" t="s">
        <v>24</v>
      </c>
      <c r="D2697" s="2" t="s">
        <v>3787</v>
      </c>
      <c r="E2697" s="2" t="s">
        <v>293</v>
      </c>
      <c r="F2697" s="11">
        <v>5981</v>
      </c>
      <c r="G2697" t="s">
        <v>36</v>
      </c>
      <c r="H2697" t="s">
        <v>4004</v>
      </c>
      <c r="I2697" t="s">
        <v>3795</v>
      </c>
      <c r="J2697" s="6" t="str">
        <f>HYPERLINK("https://www.biovista.com/db/link/%5B%5B%22Disease%7CSpinocerebellar%20Ataxia%20Type%203%22%5D,%20%5B%22Gene%7CRFC1%22%5D%5D?strength-weight-map=%257B%2522MEDLINE_STRENGTH_AB%2522:1.0,%2522HPO%2522:100.0%257D", "Show Evidence...")</f>
        <v>Show Evidence...</v>
      </c>
    </row>
    <row r="2698" spans="1:10" ht="12.75">
      <c r="A2698" s="2" t="s">
        <v>50</v>
      </c>
      <c r="B2698" s="2" t="s">
        <v>3786</v>
      </c>
      <c r="C2698" s="2" t="s">
        <v>24</v>
      </c>
      <c r="D2698" s="2" t="s">
        <v>3787</v>
      </c>
      <c r="E2698" s="2" t="s">
        <v>293</v>
      </c>
      <c r="F2698" s="11">
        <v>4061</v>
      </c>
      <c r="G2698" t="s">
        <v>36</v>
      </c>
      <c r="H2698" t="s">
        <v>4005</v>
      </c>
      <c r="I2698" t="s">
        <v>3795</v>
      </c>
      <c r="J2698" s="6" t="str">
        <f>HYPERLINK("https://www.biovista.com/db/link/%5B%5B%22Disease%7CSpinocerebellar%20Ataxia%20Type%203%22%5D,%20%5B%22Gene%7CSCA-2%22%5D%5D?strength-weight-map=%257B%2522MEDLINE_STRENGTH_AB%2522:1.0,%2522HPO%2522:100.0%257D", "Show Evidence...")</f>
        <v>Show Evidence...</v>
      </c>
    </row>
    <row r="2699" spans="1:10" ht="12.75">
      <c r="A2699" s="2" t="s">
        <v>50</v>
      </c>
      <c r="B2699" s="2" t="s">
        <v>3786</v>
      </c>
      <c r="C2699" s="2" t="s">
        <v>24</v>
      </c>
      <c r="D2699" s="2" t="s">
        <v>3787</v>
      </c>
      <c r="E2699" s="2" t="s">
        <v>293</v>
      </c>
      <c r="F2699" s="11">
        <v>7124</v>
      </c>
      <c r="G2699" t="s">
        <v>36</v>
      </c>
      <c r="H2699" t="s">
        <v>318</v>
      </c>
      <c r="I2699" t="s">
        <v>3795</v>
      </c>
      <c r="J2699" s="6" t="str">
        <f>HYPERLINK("https://www.biovista.com/db/link/%5B%5B%22Disease%7CSpinocerebellar%20Ataxia%20Type%203%22%5D,%20%5B%22Gene%7CTNF%22%5D%5D?strength-weight-map=%257B%2522MEDLINE_STRENGTH_AB%2522:1.0,%2522HPO%2522:100.0%257D", "Show Evidence...")</f>
        <v>Show Evidence...</v>
      </c>
    </row>
    <row r="2700" spans="1:10" ht="12.75">
      <c r="A2700" s="2" t="s">
        <v>50</v>
      </c>
      <c r="B2700" s="2" t="s">
        <v>3786</v>
      </c>
      <c r="C2700" s="2" t="s">
        <v>24</v>
      </c>
      <c r="D2700" s="2" t="s">
        <v>3787</v>
      </c>
      <c r="E2700" s="2" t="s">
        <v>293</v>
      </c>
      <c r="F2700" s="11">
        <v>31165</v>
      </c>
      <c r="G2700" t="s">
        <v>36</v>
      </c>
      <c r="H2700" t="s">
        <v>4006</v>
      </c>
      <c r="I2700" t="s">
        <v>3795</v>
      </c>
      <c r="J2700" s="6" t="str">
        <f>HYPERLINK("https://www.biovista.com/db/link/%5B%5B%22Disease%7CSpinocerebellar%20Ataxia%20Type%203%22%5D,%20%5B%22Gene%7CUSP%22%5D%5D?strength-weight-map=%257B%2522MEDLINE_STRENGTH_AB%2522:1.0,%2522HPO%2522:100.0%257D", "Show Evidence...")</f>
        <v>Show Evidence...</v>
      </c>
    </row>
    <row r="2701" spans="1:10" ht="12.75">
      <c r="A2701" s="2" t="s">
        <v>50</v>
      </c>
      <c r="B2701" s="2" t="s">
        <v>3786</v>
      </c>
      <c r="C2701" s="2" t="s">
        <v>24</v>
      </c>
      <c r="D2701" s="2" t="s">
        <v>3787</v>
      </c>
      <c r="E2701" s="2" t="s">
        <v>431</v>
      </c>
      <c r="F2701" s="11" t="s">
        <v>464</v>
      </c>
      <c r="G2701" t="s">
        <v>38</v>
      </c>
      <c r="H2701" t="s">
        <v>465</v>
      </c>
      <c r="I2701" t="s">
        <v>4007</v>
      </c>
      <c r="J2701" s="6" t="str">
        <f>HYPERLINK("https://www.biovista.com/db/link/%5B%5B%22Disease%7CSpinocerebellar%20Ataxia%20Type%203%22%5D,%20%5B%22Human%20Phenotype%7CAtaxia%22%5D%5D?strength-weight-map=%257B%2522MEDLINE_STRENGTH_AB%2522:1.0,%2522HPO%2522:100.0%257D", "Show Evidence...")</f>
        <v>Show Evidence...</v>
      </c>
    </row>
    <row r="2702" spans="1:10" ht="12.75">
      <c r="A2702" s="2" t="s">
        <v>50</v>
      </c>
      <c r="B2702" s="2" t="s">
        <v>3786</v>
      </c>
      <c r="C2702" s="2" t="s">
        <v>24</v>
      </c>
      <c r="D2702" s="2" t="s">
        <v>3787</v>
      </c>
      <c r="E2702" s="2" t="s">
        <v>431</v>
      </c>
      <c r="F2702" s="11" t="s">
        <v>1266</v>
      </c>
      <c r="G2702" t="s">
        <v>38</v>
      </c>
      <c r="H2702" t="s">
        <v>1267</v>
      </c>
      <c r="I2702" t="s">
        <v>4008</v>
      </c>
      <c r="J2702" s="6" t="str">
        <f>HYPERLINK("https://www.biovista.com/db/link/%5B%5B%22Disease%7CSpinocerebellar%20Ataxia%20Type%203%22%5D,%20%5B%22Human%20Phenotype%7CDysarthria%22%5D%5D?strength-weight-map=%257B%2522MEDLINE_STRENGTH_AB%2522:1.0,%2522HPO%2522:100.0%257D", "Show Evidence...")</f>
        <v>Show Evidence...</v>
      </c>
    </row>
    <row r="2703" spans="1:10" ht="12.75">
      <c r="A2703" s="2" t="s">
        <v>50</v>
      </c>
      <c r="B2703" s="2" t="s">
        <v>3786</v>
      </c>
      <c r="C2703" s="2" t="s">
        <v>24</v>
      </c>
      <c r="D2703" s="2" t="s">
        <v>3787</v>
      </c>
      <c r="E2703" s="2" t="s">
        <v>431</v>
      </c>
      <c r="F2703" s="11" t="s">
        <v>587</v>
      </c>
      <c r="G2703" t="s">
        <v>38</v>
      </c>
      <c r="H2703" t="s">
        <v>588</v>
      </c>
      <c r="I2703" t="s">
        <v>4009</v>
      </c>
      <c r="J2703" s="6" t="str">
        <f>HYPERLINK("https://www.biovista.com/db/link/%5B%5B%22Disease%7CSpinocerebellar%20Ataxia%20Type%203%22%5D,%20%5B%22Human%20Phenotype%7CNystagmus%22%5D%5D?strength-weight-map=%257B%2522MEDLINE_STRENGTH_AB%2522:1.0,%2522HPO%2522:100.0%257D", "Show Evidence...")</f>
        <v>Show Evidence...</v>
      </c>
    </row>
    <row r="2704" spans="1:10" ht="12.75">
      <c r="A2704" s="2" t="s">
        <v>50</v>
      </c>
      <c r="B2704" s="2" t="s">
        <v>3786</v>
      </c>
      <c r="C2704" s="2" t="s">
        <v>24</v>
      </c>
      <c r="D2704" s="2" t="s">
        <v>3787</v>
      </c>
      <c r="E2704" s="2" t="s">
        <v>431</v>
      </c>
      <c r="F2704" s="8" t="s">
        <v>2190</v>
      </c>
      <c r="G2704" t="s">
        <v>38</v>
      </c>
      <c r="H2704" t="s">
        <v>2191</v>
      </c>
      <c r="I2704" t="s">
        <v>4010</v>
      </c>
      <c r="J2704" s="6" t="str">
        <f>HYPERLINK("https://www.biovista.com/db/link/%5B%5B%22Disease%7CSpinocerebellar%20Ataxia%20Type%203%22%5D,%20%5B%22Human%20Phenotype%7CSkeletal%20muscle%20atrophy%22%5D%5D?strength-weight-map=%257B%2522MEDLINE_STRENGTH_AB%2522:1.0,%2522HPO%2522:100.0%257D", "Show Evidence...")</f>
        <v>Show Evidence...</v>
      </c>
    </row>
    <row r="2705" spans="1:10" ht="12.75">
      <c r="A2705" s="2" t="s">
        <v>50</v>
      </c>
      <c r="B2705" s="2" t="s">
        <v>3786</v>
      </c>
      <c r="C2705" s="2" t="s">
        <v>24</v>
      </c>
      <c r="D2705" s="2" t="s">
        <v>3787</v>
      </c>
      <c r="E2705" s="2" t="s">
        <v>431</v>
      </c>
      <c r="F2705" s="11" t="s">
        <v>4011</v>
      </c>
      <c r="G2705" t="s">
        <v>38</v>
      </c>
      <c r="H2705" t="s">
        <v>4012</v>
      </c>
      <c r="I2705" t="s">
        <v>4013</v>
      </c>
      <c r="J2705" s="6" t="str">
        <f>HYPERLINK("https://www.biovista.com/db/link/%5B%5B%22Disease%7CSpinocerebellar%20Ataxia%20Type%203%22%5D,%20%5B%22Human%20Phenotype%7CAbnormal%20pyramidal%20sign%22%5D%5D?strength-weight-map=%257B%2522MEDLINE_STRENGTH_AB%2522:1.0,%2522HPO%2522:100.0%257D", "Show Evidence...")</f>
        <v>Show Evidence...</v>
      </c>
    </row>
    <row r="2706" spans="1:10" ht="12.75">
      <c r="A2706" s="2" t="s">
        <v>50</v>
      </c>
      <c r="B2706" s="2" t="s">
        <v>3786</v>
      </c>
      <c r="C2706" s="2" t="s">
        <v>24</v>
      </c>
      <c r="D2706" s="2" t="s">
        <v>3787</v>
      </c>
      <c r="E2706" s="2" t="s">
        <v>431</v>
      </c>
      <c r="F2706" s="11" t="s">
        <v>3235</v>
      </c>
      <c r="G2706" t="s">
        <v>38</v>
      </c>
      <c r="H2706" t="s">
        <v>3236</v>
      </c>
      <c r="I2706" t="s">
        <v>4014</v>
      </c>
      <c r="J2706" s="6" t="str">
        <f>HYPERLINK("https://www.biovista.com/db/link/%5B%5B%22Disease%7CSpinocerebellar%20Ataxia%20Type%203%22%5D,%20%5B%22Human%20Phenotype%7CHyperreflexia%22%5D%5D?strength-weight-map=%257B%2522MEDLINE_STRENGTH_AB%2522:1.0,%2522HPO%2522:100.0%257D", "Show Evidence...")</f>
        <v>Show Evidence...</v>
      </c>
    </row>
    <row r="2707" spans="1:10" ht="12.75">
      <c r="A2707" s="2" t="s">
        <v>50</v>
      </c>
      <c r="B2707" s="2" t="s">
        <v>3786</v>
      </c>
      <c r="C2707" s="2" t="s">
        <v>24</v>
      </c>
      <c r="D2707" s="2" t="s">
        <v>3787</v>
      </c>
      <c r="E2707" s="2" t="s">
        <v>431</v>
      </c>
      <c r="F2707" s="11" t="s">
        <v>4015</v>
      </c>
      <c r="G2707" t="s">
        <v>38</v>
      </c>
      <c r="H2707" t="s">
        <v>4016</v>
      </c>
      <c r="I2707" t="s">
        <v>4017</v>
      </c>
      <c r="J2707" t="s">
        <v>4018</v>
      </c>
    </row>
    <row r="2708" spans="1:10" ht="12.75">
      <c r="A2708" s="2" t="s">
        <v>50</v>
      </c>
      <c r="B2708" s="2" t="s">
        <v>3786</v>
      </c>
      <c r="C2708" s="2" t="s">
        <v>24</v>
      </c>
      <c r="D2708" s="2" t="s">
        <v>3787</v>
      </c>
      <c r="E2708" s="2" t="s">
        <v>431</v>
      </c>
      <c r="F2708" s="11" t="s">
        <v>4019</v>
      </c>
      <c r="G2708" t="s">
        <v>38</v>
      </c>
      <c r="H2708" t="s">
        <v>4020</v>
      </c>
      <c r="I2708" t="s">
        <v>4021</v>
      </c>
      <c r="J2708" s="6" t="str">
        <f>HYPERLINK("https://www.biovista.com/db/link/%5B%5B%22Disease%7CSpinocerebellar%20Ataxia%20Type%203%22%5D,%20%5B%22Human%20Phenotype%7CClumsiness%22%5D%5D?strength-weight-map=%257B%2522MEDLINE_STRENGTH_AB%2522:1.0,%2522HPO%2522:100.0%257D", "Show Evidence...")</f>
        <v>Show Evidence...</v>
      </c>
    </row>
    <row r="2709" spans="1:10" ht="12.75">
      <c r="A2709" s="2" t="s">
        <v>50</v>
      </c>
      <c r="B2709" s="2" t="s">
        <v>3786</v>
      </c>
      <c r="C2709" s="2" t="s">
        <v>24</v>
      </c>
      <c r="D2709" s="2" t="s">
        <v>3787</v>
      </c>
      <c r="E2709" s="2" t="s">
        <v>431</v>
      </c>
      <c r="F2709" s="11" t="s">
        <v>1306</v>
      </c>
      <c r="G2709" t="s">
        <v>38</v>
      </c>
      <c r="H2709" t="s">
        <v>1307</v>
      </c>
      <c r="I2709" t="s">
        <v>455</v>
      </c>
      <c r="J2709" t="s">
        <v>4022</v>
      </c>
    </row>
    <row r="2710" spans="1:10" ht="12.75">
      <c r="A2710" s="2" t="s">
        <v>50</v>
      </c>
      <c r="B2710" s="2" t="s">
        <v>3786</v>
      </c>
      <c r="C2710" s="2" t="s">
        <v>24</v>
      </c>
      <c r="D2710" s="2" t="s">
        <v>3787</v>
      </c>
      <c r="E2710" s="2" t="s">
        <v>431</v>
      </c>
      <c r="F2710" s="11" t="s">
        <v>1225</v>
      </c>
      <c r="G2710" t="s">
        <v>38</v>
      </c>
      <c r="H2710" t="s">
        <v>1226</v>
      </c>
      <c r="I2710" t="s">
        <v>4023</v>
      </c>
      <c r="J2710" s="6" t="str">
        <f>HYPERLINK("https://www.biovista.com/db/link/%5B%5B%22Disease%7CSpinocerebellar%20Ataxia%20Type%203%22%5D,%20%5B%22Human%20Phenotype%7CDystonia%22%5D%5D?strength-weight-map=%257B%2522MEDLINE_STRENGTH_AB%2522:1.0,%2522HPO%2522:100.0%257D", "Show Evidence...")</f>
        <v>Show Evidence...</v>
      </c>
    </row>
    <row r="2711" spans="1:10" ht="12.75">
      <c r="A2711" s="2" t="s">
        <v>50</v>
      </c>
      <c r="B2711" s="2" t="s">
        <v>3786</v>
      </c>
      <c r="C2711" s="2" t="s">
        <v>24</v>
      </c>
      <c r="D2711" s="2" t="s">
        <v>3787</v>
      </c>
      <c r="E2711" s="2" t="s">
        <v>431</v>
      </c>
      <c r="F2711" s="11" t="s">
        <v>4024</v>
      </c>
      <c r="G2711" t="s">
        <v>38</v>
      </c>
      <c r="H2711" t="s">
        <v>4025</v>
      </c>
      <c r="I2711" t="s">
        <v>4026</v>
      </c>
      <c r="J2711" s="6" t="str">
        <f>HYPERLINK("https://www.biovista.com/db/link/%5B%5B%22Disease%7CSpinocerebellar%20Ataxia%20Type%203%22%5D,%20%5B%22Human%20Phenotype%7CGaze-evoked%20nystagmus%22%5D%5D?strength-weight-map=%257B%2522MEDLINE_STRENGTH_AB%2522:1.0,%2522HPO%2522:100.0%257D", "Show Evidence...")</f>
        <v>Show Evidence...</v>
      </c>
    </row>
    <row r="2712" spans="1:10" ht="12.75">
      <c r="A2712" s="2" t="s">
        <v>50</v>
      </c>
      <c r="B2712" s="2" t="s">
        <v>3786</v>
      </c>
      <c r="C2712" s="2" t="s">
        <v>24</v>
      </c>
      <c r="D2712" s="2" t="s">
        <v>3787</v>
      </c>
      <c r="E2712" s="2" t="s">
        <v>431</v>
      </c>
      <c r="F2712" s="11" t="s">
        <v>4027</v>
      </c>
      <c r="G2712" t="s">
        <v>38</v>
      </c>
      <c r="H2712" t="s">
        <v>4028</v>
      </c>
      <c r="I2712" t="s">
        <v>4029</v>
      </c>
      <c r="J2712" s="6" t="str">
        <f>HYPERLINK("https://www.biovista.com/db/link/%5B%5B%22Disease%7CSpinocerebellar%20Ataxia%20Type%203%22%5D,%20%5B%22Human%20Phenotype%7CExternal%20ophthalmoplegia%22%5D%5D?strength-weight-map=%257B%2522MEDLINE_STRENGTH_AB%2522:1.0,%2522HPO%2522:100.0%257D", "Show Evidence...")</f>
        <v>Show Evidence...</v>
      </c>
    </row>
    <row r="2713" spans="1:10" ht="12.75">
      <c r="A2713" s="2" t="s">
        <v>50</v>
      </c>
      <c r="B2713" s="2" t="s">
        <v>3786</v>
      </c>
      <c r="C2713" s="2" t="s">
        <v>24</v>
      </c>
      <c r="D2713" s="2" t="s">
        <v>3787</v>
      </c>
      <c r="E2713" s="2" t="s">
        <v>431</v>
      </c>
      <c r="F2713" s="11" t="s">
        <v>4030</v>
      </c>
      <c r="G2713" t="s">
        <v>38</v>
      </c>
      <c r="H2713" t="s">
        <v>4031</v>
      </c>
      <c r="I2713" t="s">
        <v>4032</v>
      </c>
      <c r="J2713" s="6" t="str">
        <f>HYPERLINK("https://www.biovista.com/db/link/%5B%5B%22Disease%7CSpinocerebellar%20Ataxia%20Type%203%22%5D,%20%5B%22Human%20Phenotype%7CProgressive%20cerebellar%20ataxia%22%5D%5D?strength-weight-map=%257B%2522MEDLINE_STRENGTH_AB%2522:1.0,%2522HPO%2522:100.0%257D", "Show Evidence...")</f>
        <v>Show Evidence...</v>
      </c>
    </row>
    <row r="2714" spans="1:10" ht="12.75">
      <c r="A2714" s="2" t="s">
        <v>50</v>
      </c>
      <c r="B2714" s="2" t="s">
        <v>3786</v>
      </c>
      <c r="C2714" s="2" t="s">
        <v>24</v>
      </c>
      <c r="D2714" s="2" t="s">
        <v>3787</v>
      </c>
      <c r="E2714" s="2" t="s">
        <v>431</v>
      </c>
      <c r="F2714" s="11" t="s">
        <v>1445</v>
      </c>
      <c r="G2714" t="s">
        <v>38</v>
      </c>
      <c r="H2714" t="s">
        <v>1446</v>
      </c>
      <c r="I2714" t="s">
        <v>4033</v>
      </c>
      <c r="J2714" s="6" t="s">
        <v>4034</v>
      </c>
    </row>
    <row r="2715" spans="1:10" ht="12.75">
      <c r="A2715" s="2" t="s">
        <v>50</v>
      </c>
      <c r="B2715" s="2" t="s">
        <v>3786</v>
      </c>
      <c r="C2715" s="2" t="s">
        <v>24</v>
      </c>
      <c r="D2715" s="2" t="s">
        <v>3787</v>
      </c>
      <c r="E2715" s="2" t="s">
        <v>431</v>
      </c>
      <c r="F2715" s="11" t="s">
        <v>578</v>
      </c>
      <c r="G2715" t="s">
        <v>38</v>
      </c>
      <c r="H2715" t="s">
        <v>579</v>
      </c>
      <c r="I2715" t="s">
        <v>4035</v>
      </c>
      <c r="J2715" s="6" t="str">
        <f>HYPERLINK("https://www.biovista.com/db/link/%5B%5B%22Disease%7CSpinocerebellar%20Ataxia%20Type%203%22%5D,%20%5B%22Human%20Phenotype%7CDiplopia%22%5D%5D?strength-weight-map=%257B%2522MEDLINE_STRENGTH_AB%2522:1.0,%2522HPO%2522:100.0%257D", "Show Evidence...")</f>
        <v>Show Evidence...</v>
      </c>
    </row>
    <row r="2716" spans="1:10" ht="12.75">
      <c r="A2716" s="2" t="s">
        <v>50</v>
      </c>
      <c r="B2716" s="2" t="s">
        <v>3786</v>
      </c>
      <c r="C2716" s="2" t="s">
        <v>24</v>
      </c>
      <c r="D2716" s="2" t="s">
        <v>3787</v>
      </c>
      <c r="E2716" s="2" t="s">
        <v>431</v>
      </c>
      <c r="F2716" s="11" t="s">
        <v>1427</v>
      </c>
      <c r="G2716" t="s">
        <v>38</v>
      </c>
      <c r="H2716" t="s">
        <v>1428</v>
      </c>
      <c r="I2716" t="s">
        <v>4036</v>
      </c>
      <c r="J2716" s="6" t="str">
        <f>HYPERLINK("https://www.biovista.com/db/link/%5B%5B%22Disease%7CSpinocerebellar%20Ataxia%20Type%203%22%5D,%20%5B%22Human%20Phenotype%7CSpasticity%22%5D%5D?strength-weight-map=%257B%2522MEDLINE_STRENGTH_AB%2522:1.0,%2522HPO%2522:100.0%257D", "Show Evidence...")</f>
        <v>Show Evidence...</v>
      </c>
    </row>
    <row r="2717" spans="1:10" ht="12.75">
      <c r="A2717" s="2" t="s">
        <v>50</v>
      </c>
      <c r="B2717" s="2" t="s">
        <v>3786</v>
      </c>
      <c r="C2717" s="2" t="s">
        <v>24</v>
      </c>
      <c r="D2717" s="2" t="s">
        <v>3787</v>
      </c>
      <c r="E2717" s="2" t="s">
        <v>431</v>
      </c>
      <c r="F2717" s="11" t="s">
        <v>4037</v>
      </c>
      <c r="G2717" t="s">
        <v>38</v>
      </c>
      <c r="H2717" t="s">
        <v>4038</v>
      </c>
      <c r="I2717" t="s">
        <v>4039</v>
      </c>
      <c r="J2717" s="6" t="str">
        <f>HYPERLINK("https://www.biovista.com/db/link/%5B%5B%22Disease%7CSpinocerebellar%20Ataxia%20Type%203%22%5D,%20%5B%22Human%20Phenotype%7CProptosis%22%5D%5D?strength-weight-map=%257B%2522MEDLINE_STRENGTH_AB%2522:1.0,%2522HPO%2522:100.0%257D", "Show Evidence...")</f>
        <v>Show Evidence...</v>
      </c>
    </row>
    <row r="2718" spans="1:10" ht="12.75">
      <c r="A2718" s="2" t="s">
        <v>50</v>
      </c>
      <c r="B2718" s="2" t="s">
        <v>3786</v>
      </c>
      <c r="C2718" s="2" t="s">
        <v>24</v>
      </c>
      <c r="D2718" s="2" t="s">
        <v>3787</v>
      </c>
      <c r="E2718" s="2" t="s">
        <v>431</v>
      </c>
      <c r="F2718" s="11" t="s">
        <v>4040</v>
      </c>
      <c r="G2718" t="s">
        <v>38</v>
      </c>
      <c r="H2718" t="s">
        <v>4041</v>
      </c>
      <c r="I2718" t="s">
        <v>4042</v>
      </c>
      <c r="J2718" s="6" t="str">
        <f>HYPERLINK("https://www.biovista.com/db/link/%5B%5B%22Disease%7CSpinocerebellar%20Ataxia%20Type%203%22%5D,%20%5B%22Human%20Phenotype%7CFasciculations%22%5D%5D?strength-weight-map=%257B%2522MEDLINE_STRENGTH_AB%2522:1.0,%2522HPO%2522:100.0%257D", "Show Evidence...")</f>
        <v>Show Evidence...</v>
      </c>
    </row>
    <row r="2719" spans="1:10" ht="12.75">
      <c r="A2719" s="2" t="s">
        <v>50</v>
      </c>
      <c r="B2719" s="2" t="s">
        <v>3786</v>
      </c>
      <c r="C2719" s="2" t="s">
        <v>24</v>
      </c>
      <c r="D2719" s="2" t="s">
        <v>3787</v>
      </c>
      <c r="E2719" s="2" t="s">
        <v>431</v>
      </c>
      <c r="F2719" s="11" t="s">
        <v>1727</v>
      </c>
      <c r="G2719" t="s">
        <v>38</v>
      </c>
      <c r="H2719" t="s">
        <v>1728</v>
      </c>
      <c r="I2719" t="s">
        <v>4043</v>
      </c>
      <c r="J2719" s="6" t="s">
        <v>4044</v>
      </c>
    </row>
    <row r="2720" spans="1:10" ht="12.75">
      <c r="A2720" s="2" t="s">
        <v>50</v>
      </c>
      <c r="B2720" s="2" t="s">
        <v>3786</v>
      </c>
      <c r="C2720" s="2" t="s">
        <v>24</v>
      </c>
      <c r="D2720" s="2" t="s">
        <v>3787</v>
      </c>
      <c r="E2720" s="2" t="s">
        <v>431</v>
      </c>
      <c r="F2720" s="11" t="s">
        <v>4045</v>
      </c>
      <c r="G2720" t="s">
        <v>38</v>
      </c>
      <c r="H2720" t="s">
        <v>4046</v>
      </c>
      <c r="I2720" t="s">
        <v>4047</v>
      </c>
      <c r="J2720" s="6" t="str">
        <f>HYPERLINK("https://www.biovista.com/db/link/%5B%5B%22Disease%7CSpinocerebellar%20Ataxia%20Type%203%22%5D,%20%5B%22Human%20Phenotype%7CVocal%20cord%20paralysis%22%5D%5D?strength-weight-map=%257B%2522MEDLINE_STRENGTH_AB%2522:1.0,%2522HPO%2522:100.0%257D", "Show Evidence...")</f>
        <v>Show Evidence...</v>
      </c>
    </row>
    <row r="2721" spans="1:10" ht="12.75">
      <c r="A2721" s="2" t="s">
        <v>50</v>
      </c>
      <c r="B2721" s="2" t="s">
        <v>3786</v>
      </c>
      <c r="C2721" s="2" t="s">
        <v>24</v>
      </c>
      <c r="D2721" s="2" t="s">
        <v>3787</v>
      </c>
      <c r="E2721" s="2" t="s">
        <v>431</v>
      </c>
      <c r="F2721" s="11" t="s">
        <v>4048</v>
      </c>
      <c r="G2721" t="s">
        <v>38</v>
      </c>
      <c r="H2721" t="s">
        <v>4049</v>
      </c>
      <c r="I2721" t="s">
        <v>552</v>
      </c>
      <c r="J2721" s="6" t="str">
        <f>HYPERLINK("https://www.biovista.com/db/link/%5B%5B%22Disease%7CSpinocerebellar%20Ataxia%20Type%203%22%5D,%20%5B%22Human%20Phenotype%7CAbnormal%20vestibular%20function%22%5D%5D?strength-weight-map=%257B%2522MEDLINE_STRENGTH_AB%2522:1.0,%2522HPO%2522:100.0%257D", "Show Evidence...")</f>
        <v>Show Evidence...</v>
      </c>
    </row>
    <row r="2722" spans="1:10" ht="12.75">
      <c r="A2722" s="2" t="s">
        <v>50</v>
      </c>
      <c r="B2722" s="2" t="s">
        <v>3786</v>
      </c>
      <c r="C2722" s="2" t="s">
        <v>24</v>
      </c>
      <c r="D2722" s="2" t="s">
        <v>3787</v>
      </c>
      <c r="E2722" s="2" t="s">
        <v>431</v>
      </c>
      <c r="F2722" s="11" t="s">
        <v>4050</v>
      </c>
      <c r="G2722" t="s">
        <v>38</v>
      </c>
      <c r="H2722" t="s">
        <v>4051</v>
      </c>
      <c r="I2722" t="s">
        <v>552</v>
      </c>
      <c r="J2722" s="6" t="s">
        <v>4052</v>
      </c>
    </row>
    <row r="2723" spans="1:10" ht="12.75">
      <c r="A2723" s="2" t="s">
        <v>50</v>
      </c>
      <c r="B2723" s="2" t="s">
        <v>3786</v>
      </c>
      <c r="C2723" s="2" t="s">
        <v>24</v>
      </c>
      <c r="D2723" s="2" t="s">
        <v>3787</v>
      </c>
      <c r="E2723" s="2" t="s">
        <v>431</v>
      </c>
      <c r="F2723" s="11" t="s">
        <v>1715</v>
      </c>
      <c r="G2723" t="s">
        <v>38</v>
      </c>
      <c r="H2723" t="s">
        <v>1716</v>
      </c>
      <c r="I2723" t="s">
        <v>4053</v>
      </c>
      <c r="J2723" s="6" t="str">
        <f>HYPERLINK("https://www.biovista.com/db/link/%5B%5B%22Disease%7CSpinocerebellar%20Ataxia%20Type%203%22%5D,%20%5B%22Human%20Phenotype%7CParkinsonism%22%5D%5D?strength-weight-map=%257B%2522MEDLINE_STRENGTH_AB%2522:1.0,%2522HPO%2522:100.0%257D", "Show Evidence...")</f>
        <v>Show Evidence...</v>
      </c>
    </row>
    <row r="2724" spans="1:10" ht="12.75">
      <c r="A2724" s="2" t="s">
        <v>50</v>
      </c>
      <c r="B2724" s="2" t="s">
        <v>3786</v>
      </c>
      <c r="C2724" s="2" t="s">
        <v>24</v>
      </c>
      <c r="D2724" s="2" t="s">
        <v>3787</v>
      </c>
      <c r="E2724" s="2" t="s">
        <v>431</v>
      </c>
      <c r="F2724" s="11" t="s">
        <v>1376</v>
      </c>
      <c r="G2724" t="s">
        <v>38</v>
      </c>
      <c r="H2724" t="s">
        <v>1377</v>
      </c>
      <c r="I2724" t="s">
        <v>4054</v>
      </c>
      <c r="J2724" s="6" t="str">
        <f>HYPERLINK("https://www.biovista.com/db/link/%5B%5B%22Disease%7CSpinocerebellar%20Ataxia%20Type%203%22%5D,%20%5B%22Human%20Phenotype%7CNeurodegeneration%22%5D%5D?strength-weight-map=%257B%2522MEDLINE_STRENGTH_AB%2522:1.0,%2522HPO%2522:100.0%257D", "Show Evidence...")</f>
        <v>Show Evidence...</v>
      </c>
    </row>
    <row r="2725" spans="1:10" ht="12.75">
      <c r="A2725" s="2" t="s">
        <v>50</v>
      </c>
      <c r="B2725" s="2" t="s">
        <v>3786</v>
      </c>
      <c r="C2725" s="2" t="s">
        <v>24</v>
      </c>
      <c r="D2725" s="2" t="s">
        <v>3787</v>
      </c>
      <c r="E2725" s="2" t="s">
        <v>431</v>
      </c>
      <c r="F2725" s="11" t="s">
        <v>1707</v>
      </c>
      <c r="G2725" t="s">
        <v>38</v>
      </c>
      <c r="H2725" t="s">
        <v>1708</v>
      </c>
      <c r="I2725" t="s">
        <v>3026</v>
      </c>
      <c r="J2725" s="6" t="str">
        <f>HYPERLINK("https://www.biovista.com/db/link/%5B%5B%22Disease%7CSpinocerebellar%20Ataxia%20Type%203%22%5D,%20%5B%22Human%20Phenotype%7CAutosomal%20dominant%20inheritance%22%5D%5D?strength-weight-map=%257B%2522MEDLINE_STRENGTH_AB%2522:1.0,%2522HPO%2522:100.0%257D", "Show Evidence...")</f>
        <v>Show Evidence...</v>
      </c>
    </row>
    <row r="2726" spans="1:10" ht="12.75">
      <c r="A2726" s="2" t="s">
        <v>50</v>
      </c>
      <c r="B2726" s="2" t="s">
        <v>3786</v>
      </c>
      <c r="C2726" s="2" t="s">
        <v>24</v>
      </c>
      <c r="D2726" s="2" t="s">
        <v>3787</v>
      </c>
      <c r="E2726" s="2" t="s">
        <v>431</v>
      </c>
      <c r="F2726" s="11" t="s">
        <v>617</v>
      </c>
      <c r="G2726" t="s">
        <v>38</v>
      </c>
      <c r="H2726" t="s">
        <v>618</v>
      </c>
      <c r="I2726" t="s">
        <v>4055</v>
      </c>
      <c r="J2726" s="6" t="str">
        <f>HYPERLINK("https://www.biovista.com/db/link/%5B%5B%22Disease%7CSpinocerebellar%20Ataxia%20Type%203%22%5D,%20%5B%22Human%20Phenotype%7CHealthy%22%5D%5D?strength-weight-map=%257B%2522MEDLINE_STRENGTH_AB%2522:1.0,%2522HPO%2522:100.0%257D", "Show Evidence...")</f>
        <v>Show Evidence...</v>
      </c>
    </row>
    <row r="2727" spans="1:10" ht="12.75">
      <c r="A2727" s="2" t="s">
        <v>50</v>
      </c>
      <c r="B2727" s="2" t="s">
        <v>3786</v>
      </c>
      <c r="C2727" s="2" t="s">
        <v>24</v>
      </c>
      <c r="D2727" s="2" t="s">
        <v>3787</v>
      </c>
      <c r="E2727" s="2" t="s">
        <v>431</v>
      </c>
      <c r="F2727" s="11" t="s">
        <v>2239</v>
      </c>
      <c r="G2727" t="s">
        <v>38</v>
      </c>
      <c r="H2727" t="s">
        <v>2240</v>
      </c>
      <c r="I2727" t="s">
        <v>4056</v>
      </c>
      <c r="J2727" s="6" t="str">
        <f>HYPERLINK("https://www.biovista.com/db/link/%5B%5B%22Disease%7CSpinocerebellar%20Ataxia%20Type%203%22%5D,%20%5B%22Human%20Phenotype%7CCerebellar%20atrophy%22%5D%5D?strength-weight-map=%257B%2522MEDLINE_STRENGTH_AB%2522:1.0,%2522HPO%2522:100.0%257D", "Show Evidence...")</f>
        <v>Show Evidence...</v>
      </c>
    </row>
    <row r="2728" spans="1:10" ht="12.75">
      <c r="A2728" s="2" t="s">
        <v>50</v>
      </c>
      <c r="B2728" s="2" t="s">
        <v>3786</v>
      </c>
      <c r="C2728" s="2" t="s">
        <v>24</v>
      </c>
      <c r="D2728" s="2" t="s">
        <v>3787</v>
      </c>
      <c r="E2728" s="2" t="s">
        <v>431</v>
      </c>
      <c r="F2728" s="11" t="s">
        <v>1359</v>
      </c>
      <c r="G2728" t="s">
        <v>38</v>
      </c>
      <c r="H2728" t="s">
        <v>1360</v>
      </c>
      <c r="I2728" t="s">
        <v>4057</v>
      </c>
      <c r="J2728" s="6" t="str">
        <f>HYPERLINK("https://www.biovista.com/db/link/%5B%5B%22Disease%7CSpinocerebellar%20Ataxia%20Type%203%22%5D,%20%5B%22Human%20Phenotype%7CPeripheral%20neuropathy%22%5D%5D?strength-weight-map=%257B%2522MEDLINE_STRENGTH_AB%2522:1.0,%2522HPO%2522:100.0%257D", "Show Evidence...")</f>
        <v>Show Evidence...</v>
      </c>
    </row>
    <row r="2729" spans="1:10" ht="12.75">
      <c r="A2729" s="2" t="s">
        <v>50</v>
      </c>
      <c r="B2729" s="2" t="s">
        <v>3786</v>
      </c>
      <c r="C2729" s="2" t="s">
        <v>24</v>
      </c>
      <c r="D2729" s="2" t="s">
        <v>3787</v>
      </c>
      <c r="E2729" s="2" t="s">
        <v>431</v>
      </c>
      <c r="F2729" s="11" t="s">
        <v>4058</v>
      </c>
      <c r="G2729" t="s">
        <v>38</v>
      </c>
      <c r="H2729" t="s">
        <v>4059</v>
      </c>
      <c r="I2729" t="s">
        <v>4060</v>
      </c>
      <c r="J2729" s="6" t="str">
        <f>HYPERLINK("https://www.biovista.com/db/link/%5B%5B%22Disease%7CSpinocerebellar%20Ataxia%20Type%203%22%5D,%20%5B%22Human%20Phenotype%7CSpinocerebellar%20tract%20degeneration%22%5D%5D?strength-weight-map=%257B%2522MEDLINE_STRENGTH_AB%2522:1.0,%2522HPO%2522:100.0%257D", "Show Evidence...")</f>
        <v>Show Evidence...</v>
      </c>
    </row>
    <row r="2730" spans="1:10" ht="12.75">
      <c r="A2730" s="2" t="s">
        <v>50</v>
      </c>
      <c r="B2730" s="2" t="s">
        <v>3786</v>
      </c>
      <c r="C2730" s="2" t="s">
        <v>24</v>
      </c>
      <c r="D2730" s="2" t="s">
        <v>3787</v>
      </c>
      <c r="E2730" s="2" t="s">
        <v>431</v>
      </c>
      <c r="F2730" s="11" t="s">
        <v>566</v>
      </c>
      <c r="G2730" t="s">
        <v>38</v>
      </c>
      <c r="H2730" t="s">
        <v>567</v>
      </c>
      <c r="I2730" t="s">
        <v>4061</v>
      </c>
      <c r="J2730" s="6" t="str">
        <f>HYPERLINK("https://www.biovista.com/db/link/%5B%5B%22Disease%7CSpinocerebellar%20Ataxia%20Type%203%22%5D,%20%5B%22Human%20Phenotype%7CDepression%22%5D%5D?strength-weight-map=%257B%2522MEDLINE_STRENGTH_AB%2522:1.0,%2522HPO%2522:100.0%257D", "Show Evidence...")</f>
        <v>Show Evidence...</v>
      </c>
    </row>
    <row r="2731" spans="1:10" ht="12.75">
      <c r="A2731" s="2" t="s">
        <v>50</v>
      </c>
      <c r="B2731" s="2" t="s">
        <v>3786</v>
      </c>
      <c r="C2731" s="2" t="s">
        <v>24</v>
      </c>
      <c r="D2731" s="2" t="s">
        <v>3787</v>
      </c>
      <c r="E2731" s="2" t="s">
        <v>431</v>
      </c>
      <c r="F2731" s="11" t="s">
        <v>1368</v>
      </c>
      <c r="G2731" t="s">
        <v>38</v>
      </c>
      <c r="H2731" t="s">
        <v>1369</v>
      </c>
      <c r="I2731" t="s">
        <v>3929</v>
      </c>
      <c r="J2731" s="6" t="str">
        <f>HYPERLINK("https://www.biovista.com/db/link/%5B%5B%22Disease%7CSpinocerebellar%20Ataxia%20Type%203%22%5D,%20%5B%22Human%20Phenotype%7CAbnormality%20of%20movement%22%5D%5D?strength-weight-map=%257B%2522MEDLINE_STRENGTH_AB%2522:1.0,%2522HPO%2522:100.0%257D", "Show Evidence...")</f>
        <v>Show Evidence...</v>
      </c>
    </row>
    <row r="2732" spans="1:10" ht="12.75">
      <c r="A2732" s="2" t="s">
        <v>50</v>
      </c>
      <c r="B2732" s="2" t="s">
        <v>3786</v>
      </c>
      <c r="C2732" s="2" t="s">
        <v>24</v>
      </c>
      <c r="D2732" s="2" t="s">
        <v>3787</v>
      </c>
      <c r="E2732" s="2" t="s">
        <v>431</v>
      </c>
      <c r="F2732" s="11" t="s">
        <v>4062</v>
      </c>
      <c r="G2732" t="s">
        <v>38</v>
      </c>
      <c r="H2732" t="s">
        <v>4063</v>
      </c>
      <c r="I2732" t="s">
        <v>3933</v>
      </c>
      <c r="J2732" s="6" t="str">
        <f>HYPERLINK("https://www.biovista.com/db/link/%5B%5B%22Disease%7CSpinocerebellar%20Ataxia%20Type%203%22%5D,%20%5B%22Human%20Phenotype%7CAmyotrophic%20lateral%20sclerosis%22%5D%5D?strength-weight-map=%257B%2522MEDLINE_STRENGTH_AB%2522:1.0,%2522HPO%2522:100.0%257D", "Show Evidence...")</f>
        <v>Show Evidence...</v>
      </c>
    </row>
    <row r="2733" spans="1:10" ht="12.75">
      <c r="A2733" s="2" t="s">
        <v>50</v>
      </c>
      <c r="B2733" s="2" t="s">
        <v>3786</v>
      </c>
      <c r="C2733" s="2" t="s">
        <v>24</v>
      </c>
      <c r="D2733" s="2" t="s">
        <v>3787</v>
      </c>
      <c r="E2733" s="2" t="s">
        <v>431</v>
      </c>
      <c r="F2733" s="11" t="s">
        <v>4064</v>
      </c>
      <c r="G2733" t="s">
        <v>38</v>
      </c>
      <c r="H2733" t="s">
        <v>4065</v>
      </c>
      <c r="I2733" t="s">
        <v>3933</v>
      </c>
      <c r="J2733" s="6" t="str">
        <f>HYPERLINK("https://www.biovista.com/db/link/%5B%5B%22Disease%7CSpinocerebellar%20Ataxia%20Type%203%22%5D,%20%5B%22Human%20Phenotype%7CFamily%20history%22%5D%5D?strength-weight-map=%257B%2522MEDLINE_STRENGTH_AB%2522:1.0,%2522HPO%2522:100.0%257D", "Show Evidence...")</f>
        <v>Show Evidence...</v>
      </c>
    </row>
    <row r="2734" spans="1:10" ht="12.75">
      <c r="A2734" s="2" t="s">
        <v>50</v>
      </c>
      <c r="B2734" s="2" t="s">
        <v>3786</v>
      </c>
      <c r="C2734" s="2" t="s">
        <v>24</v>
      </c>
      <c r="D2734" s="2" t="s">
        <v>3787</v>
      </c>
      <c r="E2734" s="2" t="s">
        <v>431</v>
      </c>
      <c r="F2734" s="11" t="s">
        <v>1443</v>
      </c>
      <c r="G2734" t="s">
        <v>38</v>
      </c>
      <c r="H2734" t="s">
        <v>1444</v>
      </c>
      <c r="I2734" t="s">
        <v>4066</v>
      </c>
      <c r="J2734" s="6" t="s">
        <v>4067</v>
      </c>
    </row>
    <row r="2735" spans="1:10" ht="12.75">
      <c r="A2735" s="2" t="s">
        <v>50</v>
      </c>
      <c r="B2735" s="2" t="s">
        <v>3786</v>
      </c>
      <c r="C2735" s="2" t="s">
        <v>24</v>
      </c>
      <c r="D2735" s="2" t="s">
        <v>3787</v>
      </c>
      <c r="E2735" s="2" t="s">
        <v>431</v>
      </c>
      <c r="F2735" s="11" t="s">
        <v>689</v>
      </c>
      <c r="G2735" t="s">
        <v>38</v>
      </c>
      <c r="H2735" t="s">
        <v>690</v>
      </c>
      <c r="I2735" t="s">
        <v>4068</v>
      </c>
      <c r="J2735" s="6" t="str">
        <f>HYPERLINK("https://www.biovista.com/db/link/%5B%5B%22Disease%7CSpinocerebellar%20Ataxia%20Type%203%22%5D,%20%5B%22Human%20Phenotype%7CDementia%22%5D%5D?strength-weight-map=%257B%2522MEDLINE_STRENGTH_AB%2522:1.0,%2522HPO%2522:100.0%257D", "Show Evidence...")</f>
        <v>Show Evidence...</v>
      </c>
    </row>
    <row r="2736" spans="1:10" ht="12.75">
      <c r="A2736" s="2" t="s">
        <v>50</v>
      </c>
      <c r="B2736" s="2" t="s">
        <v>3786</v>
      </c>
      <c r="C2736" s="2" t="s">
        <v>24</v>
      </c>
      <c r="D2736" s="2" t="s">
        <v>3787</v>
      </c>
      <c r="E2736" s="2" t="s">
        <v>431</v>
      </c>
      <c r="F2736" s="11" t="s">
        <v>643</v>
      </c>
      <c r="G2736" t="s">
        <v>38</v>
      </c>
      <c r="H2736" t="s">
        <v>644</v>
      </c>
      <c r="I2736" t="s">
        <v>4069</v>
      </c>
      <c r="J2736" s="6" t="s">
        <v>4070</v>
      </c>
    </row>
    <row r="2737" spans="1:10" ht="12.75">
      <c r="A2737" s="2" t="s">
        <v>50</v>
      </c>
      <c r="B2737" s="2" t="s">
        <v>3786</v>
      </c>
      <c r="C2737" s="2" t="s">
        <v>24</v>
      </c>
      <c r="D2737" s="2" t="s">
        <v>3787</v>
      </c>
      <c r="E2737" s="2" t="s">
        <v>431</v>
      </c>
      <c r="F2737" s="11" t="s">
        <v>4071</v>
      </c>
      <c r="G2737" t="s">
        <v>38</v>
      </c>
      <c r="H2737" t="s">
        <v>4072</v>
      </c>
      <c r="I2737" t="s">
        <v>3788</v>
      </c>
      <c r="J2737" s="6" t="str">
        <f>HYPERLINK("https://www.biovista.com/db/link/%5B%5B%22Disease%7CSpinocerebellar%20Ataxia%20Type%203%22%5D,%20%5B%22Human%20Phenotype%7CGait%20ataxia%22%5D%5D?strength-weight-map=%257B%2522MEDLINE_STRENGTH_AB%2522:1.0,%2522HPO%2522:100.0%257D", "Show Evidence...")</f>
        <v>Show Evidence...</v>
      </c>
    </row>
    <row r="2738" spans="1:10" ht="12.75">
      <c r="A2738" s="2" t="s">
        <v>50</v>
      </c>
      <c r="B2738" s="2" t="s">
        <v>3786</v>
      </c>
      <c r="C2738" s="2" t="s">
        <v>24</v>
      </c>
      <c r="D2738" s="2" t="s">
        <v>3787</v>
      </c>
      <c r="E2738" s="2" t="s">
        <v>431</v>
      </c>
      <c r="F2738" s="11" t="s">
        <v>441</v>
      </c>
      <c r="G2738" t="s">
        <v>38</v>
      </c>
      <c r="H2738" t="s">
        <v>442</v>
      </c>
      <c r="I2738" t="s">
        <v>4073</v>
      </c>
      <c r="J2738" s="6" t="str">
        <f>HYPERLINK("https://www.biovista.com/db/link/%5B%5B%22Disease%7CSpinocerebellar%20Ataxia%20Type%203%22%5D,%20%5B%22Human%20Phenotype%7CDysphagia%22%5D%5D?strength-weight-map=%257B%2522MEDLINE_STRENGTH_AB%2522:1.0,%2522HPO%2522:100.0%257D", "Show Evidence...")</f>
        <v>Show Evidence...</v>
      </c>
    </row>
    <row r="2739" spans="1:10" ht="12.75">
      <c r="A2739" s="2" t="s">
        <v>50</v>
      </c>
      <c r="B2739" s="2" t="s">
        <v>3786</v>
      </c>
      <c r="C2739" s="2" t="s">
        <v>24</v>
      </c>
      <c r="D2739" s="2" t="s">
        <v>3787</v>
      </c>
      <c r="E2739" s="2" t="s">
        <v>431</v>
      </c>
      <c r="F2739" s="11" t="s">
        <v>694</v>
      </c>
      <c r="G2739" t="s">
        <v>38</v>
      </c>
      <c r="H2739" t="s">
        <v>695</v>
      </c>
      <c r="I2739" t="s">
        <v>4074</v>
      </c>
      <c r="J2739" s="6" t="str">
        <f>HYPERLINK("https://www.biovista.com/db/link/%5B%5B%22Disease%7CSpinocerebellar%20Ataxia%20Type%203%22%5D,%20%5B%22Human%20Phenotype%7CCognitive%20impairment%22%5D%5D?strength-weight-map=%257B%2522MEDLINE_STRENGTH_AB%2522:1.0,%2522HPO%2522:100.0%257D", "Show Evidence...")</f>
        <v>Show Evidence...</v>
      </c>
    </row>
    <row r="2740" spans="1:10" ht="12.75">
      <c r="A2740" s="2" t="s">
        <v>50</v>
      </c>
      <c r="B2740" s="2" t="s">
        <v>3786</v>
      </c>
      <c r="C2740" s="2" t="s">
        <v>24</v>
      </c>
      <c r="D2740" s="2" t="s">
        <v>3787</v>
      </c>
      <c r="E2740" s="2" t="s">
        <v>431</v>
      </c>
      <c r="F2740" s="11" t="s">
        <v>634</v>
      </c>
      <c r="G2740" t="s">
        <v>38</v>
      </c>
      <c r="H2740" t="s">
        <v>635</v>
      </c>
      <c r="I2740" t="s">
        <v>3789</v>
      </c>
      <c r="J2740" s="6" t="str">
        <f>HYPERLINK("https://www.biovista.com/db/link/%5B%5B%22Disease%7CSpinocerebellar%20Ataxia%20Type%203%22%5D,%20%5B%22Human%20Phenotype%7CAnxiety%22%5D%5D?strength-weight-map=%257B%2522MEDLINE_STRENGTH_AB%2522:1.0,%2522HPO%2522:100.0%257D", "Show Evidence...")</f>
        <v>Show Evidence...</v>
      </c>
    </row>
    <row r="2741" spans="1:10" ht="12.75">
      <c r="A2741" s="2" t="s">
        <v>50</v>
      </c>
      <c r="B2741" s="2" t="s">
        <v>3786</v>
      </c>
      <c r="C2741" s="2" t="s">
        <v>24</v>
      </c>
      <c r="D2741" s="2" t="s">
        <v>3787</v>
      </c>
      <c r="E2741" s="2" t="s">
        <v>431</v>
      </c>
      <c r="F2741" s="11" t="s">
        <v>467</v>
      </c>
      <c r="G2741" t="s">
        <v>38</v>
      </c>
      <c r="H2741" t="s">
        <v>468</v>
      </c>
      <c r="I2741" t="s">
        <v>3789</v>
      </c>
      <c r="J2741" s="6" t="str">
        <f>HYPERLINK("https://www.biovista.com/db/link/%5B%5B%22Disease%7CSpinocerebellar%20Ataxia%20Type%203%22%5D,%20%5B%22Human%20Phenotype%7COphthalmoplegia%22%5D%5D?strength-weight-map=%257B%2522MEDLINE_STRENGTH_AB%2522:1.0,%2522HPO%2522:100.0%257D", "Show Evidence...")</f>
        <v>Show Evidence...</v>
      </c>
    </row>
    <row r="2742" spans="1:10" ht="12.75">
      <c r="A2742" s="2" t="s">
        <v>50</v>
      </c>
      <c r="B2742" s="2" t="s">
        <v>3786</v>
      </c>
      <c r="C2742" s="2" t="s">
        <v>24</v>
      </c>
      <c r="D2742" s="2" t="s">
        <v>3787</v>
      </c>
      <c r="E2742" s="2" t="s">
        <v>431</v>
      </c>
      <c r="F2742" s="11" t="s">
        <v>1319</v>
      </c>
      <c r="G2742" t="s">
        <v>38</v>
      </c>
      <c r="H2742" t="s">
        <v>1320</v>
      </c>
      <c r="I2742" t="s">
        <v>3938</v>
      </c>
      <c r="J2742" s="6" t="str">
        <f>HYPERLINK("https://www.biovista.com/db/link/%5B%5B%22Disease%7CSpinocerebellar%20Ataxia%20Type%203%22%5D,%20%5B%22Human%20Phenotype%7CTremor%22%5D%5D?strength-weight-map=%257B%2522MEDLINE_STRENGTH_AB%2522:1.0,%2522HPO%2522:100.0%257D", "Show Evidence...")</f>
        <v>Show Evidence...</v>
      </c>
    </row>
    <row r="2743" spans="1:10" ht="12.75">
      <c r="A2743" s="2" t="s">
        <v>50</v>
      </c>
      <c r="B2743" s="2" t="s">
        <v>3786</v>
      </c>
      <c r="C2743" s="2" t="s">
        <v>24</v>
      </c>
      <c r="D2743" s="2" t="s">
        <v>3787</v>
      </c>
      <c r="E2743" s="2" t="s">
        <v>431</v>
      </c>
      <c r="F2743" s="11" t="s">
        <v>1448</v>
      </c>
      <c r="G2743" t="s">
        <v>38</v>
      </c>
      <c r="H2743" t="s">
        <v>1449</v>
      </c>
      <c r="I2743" t="s">
        <v>4075</v>
      </c>
      <c r="J2743" s="6" t="str">
        <f>HYPERLINK("https://www.biovista.com/db/link/%5B%5B%22Disease%7CSpinocerebellar%20Ataxia%20Type%203%22%5D,%20%5B%22Human%20Phenotype%7CGliosis%22%5D%5D?strength-weight-map=%257B%2522MEDLINE_STRENGTH_AB%2522:1.0,%2522HPO%2522:100.0%257D", "Show Evidence...")</f>
        <v>Show Evidence...</v>
      </c>
    </row>
    <row r="2744" spans="1:10" ht="12.75">
      <c r="A2744" s="2" t="s">
        <v>50</v>
      </c>
      <c r="B2744" s="2" t="s">
        <v>3786</v>
      </c>
      <c r="C2744" s="2" t="s">
        <v>24</v>
      </c>
      <c r="D2744" s="2" t="s">
        <v>3787</v>
      </c>
      <c r="E2744" s="2" t="s">
        <v>431</v>
      </c>
      <c r="F2744" s="11" t="s">
        <v>1431</v>
      </c>
      <c r="G2744" t="s">
        <v>38</v>
      </c>
      <c r="H2744" t="s">
        <v>1432</v>
      </c>
      <c r="I2744" t="s">
        <v>4075</v>
      </c>
      <c r="J2744" s="6" t="str">
        <f>HYPERLINK("https://www.biovista.com/db/link/%5B%5B%22Disease%7CSpinocerebellar%20Ataxia%20Type%203%22%5D,%20%5B%22Human%20Phenotype%7CPostural%20instability%22%5D%5D?strength-weight-map=%257B%2522MEDLINE_STRENGTH_AB%2522:1.0,%2522HPO%2522:100.0%257D", "Show Evidence...")</f>
        <v>Show Evidence...</v>
      </c>
    </row>
    <row r="2745" spans="1:10" ht="12.75">
      <c r="A2745" s="2" t="s">
        <v>50</v>
      </c>
      <c r="B2745" s="2" t="s">
        <v>3786</v>
      </c>
      <c r="C2745" s="2" t="s">
        <v>24</v>
      </c>
      <c r="D2745" s="2" t="s">
        <v>3787</v>
      </c>
      <c r="E2745" s="2" t="s">
        <v>431</v>
      </c>
      <c r="F2745" s="11" t="s">
        <v>4076</v>
      </c>
      <c r="G2745" t="s">
        <v>38</v>
      </c>
      <c r="H2745" t="s">
        <v>4077</v>
      </c>
      <c r="I2745" t="s">
        <v>3945</v>
      </c>
      <c r="J2745" s="6" t="str">
        <f>HYPERLINK("https://www.biovista.com/db/link/%5B%5B%22Disease%7CSpinocerebellar%20Ataxia%20Type%203%22%5D,%20%5B%22Human%20Phenotype%7CNeuroblastoma%22%5D%5D?strength-weight-map=%257B%2522MEDLINE_STRENGTH_AB%2522:1.0,%2522HPO%2522:100.0%257D", "Show Evidence...")</f>
        <v>Show Evidence...</v>
      </c>
    </row>
    <row r="2746" spans="1:10" ht="12.75">
      <c r="A2746" s="2" t="s">
        <v>50</v>
      </c>
      <c r="B2746" s="2" t="s">
        <v>3786</v>
      </c>
      <c r="C2746" s="2" t="s">
        <v>24</v>
      </c>
      <c r="D2746" s="2" t="s">
        <v>3787</v>
      </c>
      <c r="E2746" s="2" t="s">
        <v>431</v>
      </c>
      <c r="F2746" s="11" t="s">
        <v>2228</v>
      </c>
      <c r="G2746" t="s">
        <v>38</v>
      </c>
      <c r="H2746" t="s">
        <v>2229</v>
      </c>
      <c r="I2746" t="s">
        <v>3946</v>
      </c>
      <c r="J2746" s="6" t="str">
        <f>HYPERLINK("https://www.biovista.com/db/link/%5B%5B%22Disease%7CSpinocerebellar%20Ataxia%20Type%203%22%5D,%20%5B%22Human%20Phenotype%7COlivopontocerebellar%20atrophy%22%5D%5D?strength-weight-map=%257B%2522MEDLINE_STRENGTH_AB%2522:1.0,%2522HPO%2522:100.0%257D", "Show Evidence...")</f>
        <v>Show Evidence...</v>
      </c>
    </row>
    <row r="2747" spans="1:10" ht="12.75">
      <c r="A2747" s="2" t="s">
        <v>50</v>
      </c>
      <c r="B2747" s="2" t="s">
        <v>3786</v>
      </c>
      <c r="C2747" s="2" t="s">
        <v>24</v>
      </c>
      <c r="D2747" s="2" t="s">
        <v>3787</v>
      </c>
      <c r="E2747" s="2" t="s">
        <v>431</v>
      </c>
      <c r="F2747" s="11" t="s">
        <v>3700</v>
      </c>
      <c r="G2747" t="s">
        <v>38</v>
      </c>
      <c r="H2747" t="s">
        <v>3701</v>
      </c>
      <c r="I2747" t="s">
        <v>3946</v>
      </c>
      <c r="J2747" s="6" t="str">
        <f>HYPERLINK("https://www.biovista.com/db/link/%5B%5B%22Disease%7CSpinocerebellar%20Ataxia%20Type%203%22%5D,%20%5B%22Human%20Phenotype%7CPhenotypic%20variability%22%5D%5D?strength-weight-map=%257B%2522MEDLINE_STRENGTH_AB%2522:1.0,%2522HPO%2522:100.0%257D", "Show Evidence...")</f>
        <v>Show Evidence...</v>
      </c>
    </row>
    <row r="2748" spans="1:10" ht="12.75">
      <c r="A2748" s="2" t="s">
        <v>50</v>
      </c>
      <c r="B2748" s="2" t="s">
        <v>3786</v>
      </c>
      <c r="C2748" s="2" t="s">
        <v>24</v>
      </c>
      <c r="D2748" s="2" t="s">
        <v>3787</v>
      </c>
      <c r="E2748" s="2" t="s">
        <v>431</v>
      </c>
      <c r="F2748" s="11" t="s">
        <v>1315</v>
      </c>
      <c r="G2748" t="s">
        <v>38</v>
      </c>
      <c r="H2748" t="s">
        <v>1316</v>
      </c>
      <c r="I2748" t="s">
        <v>4078</v>
      </c>
      <c r="J2748" s="6" t="str">
        <f>HYPERLINK("https://www.biovista.com/db/link/%5B%5B%22Disease%7CSpinocerebellar%20Ataxia%20Type%203%22%5D,%20%5B%22Human%20Phenotype%7CRigidity%22%5D%5D?strength-weight-map=%257B%2522MEDLINE_STRENGTH_AB%2522:1.0,%2522HPO%2522:100.0%257D", "Show Evidence...")</f>
        <v>Show Evidence...</v>
      </c>
    </row>
    <row r="2749" spans="1:10" ht="12.75">
      <c r="A2749" s="2" t="s">
        <v>50</v>
      </c>
      <c r="B2749" s="2" t="s">
        <v>3786</v>
      </c>
      <c r="C2749" s="2" t="s">
        <v>24</v>
      </c>
      <c r="D2749" s="2" t="s">
        <v>3787</v>
      </c>
      <c r="E2749" s="2" t="s">
        <v>431</v>
      </c>
      <c r="F2749" s="11" t="s">
        <v>1779</v>
      </c>
      <c r="G2749" t="s">
        <v>38</v>
      </c>
      <c r="H2749" t="s">
        <v>1780</v>
      </c>
      <c r="I2749" t="s">
        <v>4079</v>
      </c>
      <c r="J2749" s="6" t="str">
        <f>HYPERLINK("https://www.biovista.com/db/link/%5B%5B%22Disease%7CSpinocerebellar%20Ataxia%20Type%203%22%5D,%20%5B%22Human%20Phenotype%7CAbnormality%20of%20eye%20movement%22%5D%5D?strength-weight-map=%257B%2522MEDLINE_STRENGTH_AB%2522:1.0,%2522HPO%2522:100.0%257D", "Show Evidence...")</f>
        <v>Show Evidence...</v>
      </c>
    </row>
    <row r="2750" spans="1:10" ht="12.75">
      <c r="A2750" s="2" t="s">
        <v>50</v>
      </c>
      <c r="B2750" s="2" t="s">
        <v>3786</v>
      </c>
      <c r="C2750" s="2" t="s">
        <v>24</v>
      </c>
      <c r="D2750" s="2" t="s">
        <v>3787</v>
      </c>
      <c r="E2750" s="2" t="s">
        <v>431</v>
      </c>
      <c r="F2750" s="11" t="s">
        <v>4080</v>
      </c>
      <c r="G2750" t="s">
        <v>38</v>
      </c>
      <c r="H2750" t="s">
        <v>4081</v>
      </c>
      <c r="I2750" t="s">
        <v>4079</v>
      </c>
      <c r="J2750" s="6" t="str">
        <f>HYPERLINK("https://www.biovista.com/db/link/%5B%5B%22Disease%7CSpinocerebellar%20Ataxia%20Type%203%22%5D,%20%5B%22Human%20Phenotype%7CMode%20of%20inheritance%22%5D%5D?strength-weight-map=%257B%2522MEDLINE_STRENGTH_AB%2522:1.0,%2522HPO%2522:100.0%257D", "Show Evidence...")</f>
        <v>Show Evidence...</v>
      </c>
    </row>
    <row r="2751" spans="1:10" ht="12.75">
      <c r="A2751" s="2" t="s">
        <v>50</v>
      </c>
      <c r="B2751" s="2" t="s">
        <v>3786</v>
      </c>
      <c r="C2751" s="2" t="s">
        <v>24</v>
      </c>
      <c r="D2751" s="2" t="s">
        <v>3787</v>
      </c>
      <c r="E2751" s="2" t="s">
        <v>431</v>
      </c>
      <c r="F2751" s="11" t="s">
        <v>4082</v>
      </c>
      <c r="G2751" t="s">
        <v>38</v>
      </c>
      <c r="H2751" t="s">
        <v>4083</v>
      </c>
      <c r="I2751" t="s">
        <v>4079</v>
      </c>
      <c r="J2751" s="6" t="str">
        <f>HYPERLINK("https://www.biovista.com/db/link/%5B%5B%22Disease%7CSpinocerebellar%20Ataxia%20Type%203%22%5D,%20%5B%22Human%20Phenotype%7CRestless%20legs%22%5D%5D?strength-weight-map=%257B%2522MEDLINE_STRENGTH_AB%2522:1.0,%2522HPO%2522:100.0%257D", "Show Evidence...")</f>
        <v>Show Evidence...</v>
      </c>
    </row>
    <row r="2752" spans="1:10" ht="12.75">
      <c r="A2752" s="2" t="s">
        <v>50</v>
      </c>
      <c r="B2752" s="2" t="s">
        <v>3786</v>
      </c>
      <c r="C2752" s="2" t="s">
        <v>24</v>
      </c>
      <c r="D2752" s="2" t="s">
        <v>3787</v>
      </c>
      <c r="E2752" s="2" t="s">
        <v>431</v>
      </c>
      <c r="F2752" s="11" t="s">
        <v>692</v>
      </c>
      <c r="G2752" t="s">
        <v>38</v>
      </c>
      <c r="H2752" t="s">
        <v>693</v>
      </c>
      <c r="I2752" t="s">
        <v>3947</v>
      </c>
      <c r="J2752" s="6" t="str">
        <f>HYPERLINK("https://www.biovista.com/db/link/%5B%5B%22Disease%7CSpinocerebellar%20Ataxia%20Type%203%22%5D,%20%5B%22Human%20Phenotype%7CFatigue%22%5D%5D?strength-weight-map=%257B%2522MEDLINE_STRENGTH_AB%2522:1.0,%2522HPO%2522:100.0%257D", "Show Evidence...")</f>
        <v>Show Evidence...</v>
      </c>
    </row>
    <row r="2753" spans="1:10" ht="12.75">
      <c r="A2753" s="2" t="s">
        <v>50</v>
      </c>
      <c r="B2753" s="2" t="s">
        <v>3786</v>
      </c>
      <c r="C2753" s="2" t="s">
        <v>24</v>
      </c>
      <c r="D2753" s="2" t="s">
        <v>3787</v>
      </c>
      <c r="E2753" s="2" t="s">
        <v>431</v>
      </c>
      <c r="F2753" s="11" t="s">
        <v>4084</v>
      </c>
      <c r="G2753" t="s">
        <v>38</v>
      </c>
      <c r="H2753" t="s">
        <v>4085</v>
      </c>
      <c r="I2753" t="s">
        <v>3949</v>
      </c>
      <c r="J2753" s="6" t="str">
        <f>HYPERLINK("https://www.biovista.com/db/link/%5B%5B%22Disease%7CSpinocerebellar%20Ataxia%20Type%203%22%5D,%20%5B%22Human%20Phenotype%7CFrontotemporal%20dementia%22%5D%5D?strength-weight-map=%257B%2522MEDLINE_STRENGTH_AB%2522:1.0,%2522HPO%2522:100.0%257D", "Show Evidence...")</f>
        <v>Show Evidence...</v>
      </c>
    </row>
    <row r="2754" spans="1:10" ht="12.75">
      <c r="A2754" s="2" t="s">
        <v>50</v>
      </c>
      <c r="B2754" s="2" t="s">
        <v>3786</v>
      </c>
      <c r="C2754" s="2" t="s">
        <v>24</v>
      </c>
      <c r="D2754" s="2" t="s">
        <v>3787</v>
      </c>
      <c r="E2754" s="2" t="s">
        <v>431</v>
      </c>
      <c r="F2754" s="11" t="s">
        <v>4086</v>
      </c>
      <c r="G2754" t="s">
        <v>38</v>
      </c>
      <c r="H2754" t="s">
        <v>4087</v>
      </c>
      <c r="I2754" t="s">
        <v>3949</v>
      </c>
      <c r="J2754" s="6" t="str">
        <f>HYPERLINK("https://www.biovista.com/db/link/%5B%5B%22Disease%7CSpinocerebellar%20Ataxia%20Type%203%22%5D,%20%5B%22Human%20Phenotype%7CPolyneuropathy%22%5D%5D?strength-weight-map=%257B%2522MEDLINE_STRENGTH_AB%2522:1.0,%2522HPO%2522:100.0%257D", "Show Evidence...")</f>
        <v>Show Evidence...</v>
      </c>
    </row>
    <row r="2755" spans="1:10" ht="12.75">
      <c r="A2755" s="2" t="s">
        <v>50</v>
      </c>
      <c r="B2755" s="2" t="s">
        <v>3786</v>
      </c>
      <c r="C2755" s="2" t="s">
        <v>24</v>
      </c>
      <c r="D2755" s="2" t="s">
        <v>3787</v>
      </c>
      <c r="E2755" s="2" t="s">
        <v>431</v>
      </c>
      <c r="F2755" s="11" t="s">
        <v>4088</v>
      </c>
      <c r="G2755" t="s">
        <v>38</v>
      </c>
      <c r="H2755" t="s">
        <v>4089</v>
      </c>
      <c r="I2755" t="s">
        <v>3949</v>
      </c>
      <c r="J2755" s="6" t="str">
        <f>HYPERLINK("https://www.biovista.com/db/link/%5B%5B%22Disease%7CSpinocerebellar%20Ataxia%20Type%203%22%5D,%20%5B%22Human%20Phenotype%7CSleep%20enactment%22%5D%5D?strength-weight-map=%257B%2522MEDLINE_STRENGTH_AB%2522:1.0,%2522HPO%2522:100.0%257D", "Show Evidence...")</f>
        <v>Show Evidence...</v>
      </c>
    </row>
    <row r="2756" spans="1:10" ht="12.75">
      <c r="A2756" s="2" t="s">
        <v>50</v>
      </c>
      <c r="B2756" s="2" t="s">
        <v>3786</v>
      </c>
      <c r="C2756" s="2" t="s">
        <v>24</v>
      </c>
      <c r="D2756" s="2" t="s">
        <v>3787</v>
      </c>
      <c r="E2756" s="2" t="s">
        <v>431</v>
      </c>
      <c r="F2756" s="11" t="s">
        <v>1735</v>
      </c>
      <c r="G2756" t="s">
        <v>38</v>
      </c>
      <c r="H2756" t="s">
        <v>1736</v>
      </c>
      <c r="I2756" t="s">
        <v>4090</v>
      </c>
      <c r="J2756" s="6" t="str">
        <f>HYPERLINK("https://www.biovista.com/db/link/%5B%5B%22Disease%7CSpinocerebellar%20Ataxia%20Type%203%22%5D,%20%5B%22Human%20Phenotype%7CBradykinesia%22%5D%5D?strength-weight-map=%257B%2522MEDLINE_STRENGTH_AB%2522:1.0,%2522HPO%2522:100.0%257D", "Show Evidence...")</f>
        <v>Show Evidence...</v>
      </c>
    </row>
    <row r="2757" spans="1:10" ht="12.75">
      <c r="A2757" s="2" t="s">
        <v>50</v>
      </c>
      <c r="B2757" s="2" t="s">
        <v>3786</v>
      </c>
      <c r="C2757" s="2" t="s">
        <v>24</v>
      </c>
      <c r="D2757" s="2" t="s">
        <v>3787</v>
      </c>
      <c r="E2757" s="2" t="s">
        <v>431</v>
      </c>
      <c r="F2757" s="11" t="s">
        <v>620</v>
      </c>
      <c r="G2757" t="s">
        <v>38</v>
      </c>
      <c r="H2757" t="s">
        <v>621</v>
      </c>
      <c r="I2757" t="s">
        <v>3953</v>
      </c>
      <c r="J2757" s="6" t="str">
        <f>HYPERLINK("https://www.biovista.com/db/link/%5B%5B%22Disease%7CSpinocerebellar%20Ataxia%20Type%203%22%5D,%20%5B%22Human%20Phenotype%7CPain%22%5D%5D?strength-weight-map=%257B%2522MEDLINE_STRENGTH_AB%2522:1.0,%2522HPO%2522:100.0%257D", "Show Evidence...")</f>
        <v>Show Evidence...</v>
      </c>
    </row>
    <row r="2758" spans="1:10" ht="12.75">
      <c r="A2758" s="2" t="s">
        <v>50</v>
      </c>
      <c r="B2758" s="2" t="s">
        <v>3786</v>
      </c>
      <c r="C2758" s="2" t="s">
        <v>24</v>
      </c>
      <c r="D2758" s="2" t="s">
        <v>3787</v>
      </c>
      <c r="E2758" s="2" t="s">
        <v>431</v>
      </c>
      <c r="F2758" s="11" t="s">
        <v>517</v>
      </c>
      <c r="G2758" t="s">
        <v>38</v>
      </c>
      <c r="H2758" t="s">
        <v>518</v>
      </c>
      <c r="I2758" t="s">
        <v>3953</v>
      </c>
      <c r="J2758" s="6" t="str">
        <f>HYPERLINK("https://www.biovista.com/db/link/%5B%5B%22Disease%7CSpinocerebellar%20Ataxia%20Type%203%22%5D,%20%5B%22Human%20Phenotype%7CSeizure%22%5D%5D?strength-weight-map=%257B%2522MEDLINE_STRENGTH_AB%2522:1.0,%2522HPO%2522:100.0%257D", "Show Evidence...")</f>
        <v>Show Evidence...</v>
      </c>
    </row>
    <row r="2759" spans="1:10" ht="12.75">
      <c r="A2759" s="2" t="s">
        <v>50</v>
      </c>
      <c r="B2759" s="2" t="s">
        <v>3786</v>
      </c>
      <c r="C2759" s="2" t="s">
        <v>24</v>
      </c>
      <c r="D2759" s="2" t="s">
        <v>3787</v>
      </c>
      <c r="E2759" s="2" t="s">
        <v>431</v>
      </c>
      <c r="F2759" s="11" t="s">
        <v>1433</v>
      </c>
      <c r="G2759" t="s">
        <v>38</v>
      </c>
      <c r="H2759" t="s">
        <v>1434</v>
      </c>
      <c r="I2759" t="s">
        <v>3955</v>
      </c>
      <c r="J2759" s="6" t="s">
        <v>4091</v>
      </c>
    </row>
    <row r="2760" spans="1:10" ht="12.75">
      <c r="A2760" s="2" t="s">
        <v>50</v>
      </c>
      <c r="B2760" s="2" t="s">
        <v>3786</v>
      </c>
      <c r="C2760" s="2" t="s">
        <v>24</v>
      </c>
      <c r="D2760" s="2" t="s">
        <v>3787</v>
      </c>
      <c r="E2760" s="2" t="s">
        <v>431</v>
      </c>
      <c r="F2760" s="11" t="s">
        <v>1422</v>
      </c>
      <c r="G2760" t="s">
        <v>38</v>
      </c>
      <c r="H2760" t="s">
        <v>1423</v>
      </c>
      <c r="I2760" t="s">
        <v>3955</v>
      </c>
      <c r="J2760" s="6" t="str">
        <f>HYPERLINK("https://www.biovista.com/db/link/%5B%5B%22Disease%7CSpinocerebellar%20Ataxia%20Type%203%22%5D,%20%5B%22Human%20Phenotype%7CBrain%20atrophy%22%5D%5D?strength-weight-map=%257B%2522MEDLINE_STRENGTH_AB%2522:1.0,%2522HPO%2522:100.0%257D", "Show Evidence...")</f>
        <v>Show Evidence...</v>
      </c>
    </row>
    <row r="2761" spans="1:10" ht="12.75">
      <c r="A2761" s="2" t="s">
        <v>50</v>
      </c>
      <c r="B2761" s="2" t="s">
        <v>3786</v>
      </c>
      <c r="C2761" s="2" t="s">
        <v>24</v>
      </c>
      <c r="D2761" s="2" t="s">
        <v>3787</v>
      </c>
      <c r="E2761" s="2" t="s">
        <v>431</v>
      </c>
      <c r="F2761" s="11" t="s">
        <v>4092</v>
      </c>
      <c r="G2761" t="s">
        <v>38</v>
      </c>
      <c r="H2761" t="s">
        <v>4093</v>
      </c>
      <c r="I2761" t="s">
        <v>3955</v>
      </c>
      <c r="J2761" s="6" t="str">
        <f>HYPERLINK("https://www.biovista.com/db/link/%5B%5B%22Disease%7CSpinocerebellar%20Ataxia%20Type%203%22%5D,%20%5B%22Human%20Phenotype%7CNeuroinflammation%22%5D%5D?strength-weight-map=%257B%2522MEDLINE_STRENGTH_AB%2522:1.0,%2522HPO%2522:100.0%257D", "Show Evidence...")</f>
        <v>Show Evidence...</v>
      </c>
    </row>
    <row r="2762" spans="1:10" ht="12.75">
      <c r="A2762" s="2" t="s">
        <v>50</v>
      </c>
      <c r="B2762" s="2" t="s">
        <v>3786</v>
      </c>
      <c r="C2762" s="2" t="s">
        <v>24</v>
      </c>
      <c r="D2762" s="2" t="s">
        <v>3787</v>
      </c>
      <c r="E2762" s="2" t="s">
        <v>431</v>
      </c>
      <c r="F2762" s="11" t="s">
        <v>4094</v>
      </c>
      <c r="G2762" t="s">
        <v>38</v>
      </c>
      <c r="H2762" t="s">
        <v>4095</v>
      </c>
      <c r="I2762" t="s">
        <v>3958</v>
      </c>
      <c r="J2762" s="6" t="str">
        <f>HYPERLINK("https://www.biovista.com/db/link/%5B%5B%22Disease%7CSpinocerebellar%20Ataxia%20Type%203%22%5D,%20%5B%22Human%20Phenotype%7CAxial%22%5D%5D?strength-weight-map=%257B%2522MEDLINE_STRENGTH_AB%2522:1.0,%2522HPO%2522:100.0%257D", "Show Evidence...")</f>
        <v>Show Evidence...</v>
      </c>
    </row>
    <row r="2763" spans="1:10" ht="12.75">
      <c r="A2763" s="2" t="s">
        <v>50</v>
      </c>
      <c r="B2763" s="2" t="s">
        <v>3786</v>
      </c>
      <c r="C2763" s="2" t="s">
        <v>24</v>
      </c>
      <c r="D2763" s="2" t="s">
        <v>3787</v>
      </c>
      <c r="E2763" s="2" t="s">
        <v>431</v>
      </c>
      <c r="F2763" s="11" t="s">
        <v>1324</v>
      </c>
      <c r="G2763" t="s">
        <v>38</v>
      </c>
      <c r="H2763" t="s">
        <v>1325</v>
      </c>
      <c r="I2763" t="s">
        <v>3958</v>
      </c>
      <c r="J2763" s="6" t="str">
        <f>HYPERLINK("https://www.biovista.com/db/link/%5B%5B%22Disease%7CSpinocerebellar%20Ataxia%20Type%203%22%5D,%20%5B%22Human%20Phenotype%7CChorea%22%5D%5D?strength-weight-map=%257B%2522MEDLINE_STRENGTH_AB%2522:1.0,%2522HPO%2522:100.0%257D", "Show Evidence...")</f>
        <v>Show Evidence...</v>
      </c>
    </row>
    <row r="2764" spans="1:10" ht="12.75">
      <c r="A2764" s="2" t="s">
        <v>50</v>
      </c>
      <c r="B2764" s="2" t="s">
        <v>3786</v>
      </c>
      <c r="C2764" s="2" t="s">
        <v>24</v>
      </c>
      <c r="D2764" s="2" t="s">
        <v>3787</v>
      </c>
      <c r="E2764" s="2" t="s">
        <v>431</v>
      </c>
      <c r="F2764" s="11" t="s">
        <v>614</v>
      </c>
      <c r="G2764" t="s">
        <v>38</v>
      </c>
      <c r="H2764" t="s">
        <v>615</v>
      </c>
      <c r="I2764" t="s">
        <v>3958</v>
      </c>
      <c r="J2764" s="6" t="str">
        <f>HYPERLINK("https://www.biovista.com/db/link/%5B%5B%22Disease%7CSpinocerebellar%20Ataxia%20Type%203%22%5D,%20%5B%22Human%20Phenotype%7CNeoplasm%22%5D%5D?strength-weight-map=%257B%2522MEDLINE_STRENGTH_AB%2522:1.0,%2522HPO%2522:100.0%257D", "Show Evidence...")</f>
        <v>Show Evidence...</v>
      </c>
    </row>
    <row r="2765" spans="1:10" ht="12.75">
      <c r="A2765" s="2" t="s">
        <v>50</v>
      </c>
      <c r="B2765" s="2" t="s">
        <v>3786</v>
      </c>
      <c r="C2765" s="2" t="s">
        <v>24</v>
      </c>
      <c r="D2765" s="2" t="s">
        <v>3787</v>
      </c>
      <c r="E2765" s="2" t="s">
        <v>431</v>
      </c>
      <c r="F2765" s="11" t="s">
        <v>4096</v>
      </c>
      <c r="G2765" t="s">
        <v>38</v>
      </c>
      <c r="H2765" t="s">
        <v>4097</v>
      </c>
      <c r="I2765" t="s">
        <v>3961</v>
      </c>
      <c r="J2765" s="6" t="str">
        <f>HYPERLINK("https://www.biovista.com/db/link/%5B%5B%22Disease%7CSpinocerebellar%20Ataxia%20Type%203%22%5D,%20%5B%22Human%20Phenotype%7CAbnormal%20cerebellum%20morphology%22%5D%5D?strength-weight-map=%257B%2522MEDLINE_STRENGTH_AB%2522:1.0,%2522HPO%2522:100.0%257D", "Show Evidence...")</f>
        <v>Show Evidence...</v>
      </c>
    </row>
    <row r="2766" spans="1:10" ht="12.75">
      <c r="A2766" s="2" t="s">
        <v>50</v>
      </c>
      <c r="B2766" s="2" t="s">
        <v>3786</v>
      </c>
      <c r="C2766" s="2" t="s">
        <v>24</v>
      </c>
      <c r="D2766" s="2" t="s">
        <v>3787</v>
      </c>
      <c r="E2766" s="2" t="s">
        <v>431</v>
      </c>
      <c r="F2766" s="11" t="s">
        <v>1731</v>
      </c>
      <c r="G2766" t="s">
        <v>38</v>
      </c>
      <c r="H2766" t="s">
        <v>1732</v>
      </c>
      <c r="I2766" t="s">
        <v>3961</v>
      </c>
      <c r="J2766" s="6" t="str">
        <f>HYPERLINK("https://www.biovista.com/db/link/%5B%5B%22Disease%7CSpinocerebellar%20Ataxia%20Type%203%22%5D,%20%5B%22Human%20Phenotype%7CAlzheimer%20disease%22%5D%5D?strength-weight-map=%257B%2522MEDLINE_STRENGTH_AB%2522:1.0,%2522HPO%2522:100.0%257D", "Show Evidence...")</f>
        <v>Show Evidence...</v>
      </c>
    </row>
    <row r="2767" spans="1:10" ht="12.75">
      <c r="A2767" s="2" t="s">
        <v>50</v>
      </c>
      <c r="B2767" s="2" t="s">
        <v>3786</v>
      </c>
      <c r="C2767" s="2" t="s">
        <v>24</v>
      </c>
      <c r="D2767" s="2" t="s">
        <v>3787</v>
      </c>
      <c r="E2767" s="2" t="s">
        <v>431</v>
      </c>
      <c r="F2767" s="11" t="s">
        <v>660</v>
      </c>
      <c r="G2767" t="s">
        <v>38</v>
      </c>
      <c r="H2767" t="s">
        <v>661</v>
      </c>
      <c r="I2767" t="s">
        <v>3961</v>
      </c>
      <c r="J2767" s="6" t="str">
        <f>HYPERLINK("https://www.biovista.com/db/link/%5B%5B%22Disease%7CSpinocerebellar%20Ataxia%20Type%203%22%5D,%20%5B%22Human%20Phenotype%7CAtypical%20behavior%22%5D%5D?strength-weight-map=%257B%2522MEDLINE_STRENGTH_AB%2522:1.0,%2522HPO%2522:100.0%257D", "Show Evidence...")</f>
        <v>Show Evidence...</v>
      </c>
    </row>
    <row r="2768" spans="1:10" ht="12.75">
      <c r="A2768" s="2" t="s">
        <v>50</v>
      </c>
      <c r="B2768" s="2" t="s">
        <v>3786</v>
      </c>
      <c r="C2768" s="2" t="s">
        <v>24</v>
      </c>
      <c r="D2768" s="2" t="s">
        <v>3787</v>
      </c>
      <c r="E2768" s="2" t="s">
        <v>431</v>
      </c>
      <c r="F2768" s="11" t="s">
        <v>606</v>
      </c>
      <c r="G2768" t="s">
        <v>38</v>
      </c>
      <c r="H2768" t="s">
        <v>607</v>
      </c>
      <c r="I2768" t="s">
        <v>3961</v>
      </c>
      <c r="J2768" s="6" t="str">
        <f>HYPERLINK("https://www.biovista.com/db/link/%5B%5B%22Disease%7CSpinocerebellar%20Ataxia%20Type%203%22%5D,%20%5B%22Human%20Phenotype%7CHyporeflexia%22%5D%5D?strength-weight-map=%257B%2522MEDLINE_STRENGTH_AB%2522:1.0,%2522HPO%2522:100.0%257D", "Show Evidence...")</f>
        <v>Show Evidence...</v>
      </c>
    </row>
    <row r="2769" spans="1:10" ht="12.75">
      <c r="A2769" s="2" t="s">
        <v>50</v>
      </c>
      <c r="B2769" s="2" t="s">
        <v>3786</v>
      </c>
      <c r="C2769" s="2" t="s">
        <v>24</v>
      </c>
      <c r="D2769" s="2" t="s">
        <v>3787</v>
      </c>
      <c r="E2769" s="2" t="s">
        <v>431</v>
      </c>
      <c r="F2769" s="11" t="s">
        <v>4098</v>
      </c>
      <c r="G2769" t="s">
        <v>38</v>
      </c>
      <c r="H2769" t="s">
        <v>4099</v>
      </c>
      <c r="I2769" t="s">
        <v>3961</v>
      </c>
      <c r="J2769" s="6" t="str">
        <f>HYPERLINK("https://www.biovista.com/db/link/%5B%5B%22Disease%7CSpinocerebellar%20Ataxia%20Type%203%22%5D,%20%5B%22Human%20Phenotype%7CSleep%20abnormality%22%5D%5D?strength-weight-map=%257B%2522MEDLINE_STRENGTH_AB%2522:1.0,%2522HPO%2522:100.0%257D", "Show Evidence...")</f>
        <v>Show Evidence...</v>
      </c>
    </row>
    <row r="2770" spans="1:10" ht="12.75">
      <c r="A2770" s="2" t="s">
        <v>50</v>
      </c>
      <c r="B2770" s="2" t="s">
        <v>3786</v>
      </c>
      <c r="C2770" s="2" t="s">
        <v>24</v>
      </c>
      <c r="D2770" s="2" t="s">
        <v>3787</v>
      </c>
      <c r="E2770" s="2" t="s">
        <v>431</v>
      </c>
      <c r="F2770" s="11" t="s">
        <v>4100</v>
      </c>
      <c r="G2770" t="s">
        <v>38</v>
      </c>
      <c r="H2770" t="s">
        <v>4101</v>
      </c>
      <c r="I2770" t="s">
        <v>3961</v>
      </c>
      <c r="J2770" s="6" t="str">
        <f>HYPERLINK("https://www.biovista.com/db/link/%5B%5B%22Disease%7CSpinocerebellar%20Ataxia%20Type%203%22%5D,%20%5B%22Human%20Phenotype%7CSlow%20saccadic%20eye%20movements%22%5D%5D?strength-weight-map=%257B%2522MEDLINE_STRENGTH_AB%2522:1.0,%2522HPO%2522:100.0%257D", "Show Evidence...")</f>
        <v>Show Evidence...</v>
      </c>
    </row>
    <row r="2771" spans="1:10" ht="12.75">
      <c r="A2771" s="2" t="s">
        <v>50</v>
      </c>
      <c r="B2771" s="2" t="s">
        <v>3786</v>
      </c>
      <c r="C2771" s="2" t="s">
        <v>24</v>
      </c>
      <c r="D2771" s="2" t="s">
        <v>3787</v>
      </c>
      <c r="E2771" s="2" t="s">
        <v>431</v>
      </c>
      <c r="F2771" s="11" t="s">
        <v>4102</v>
      </c>
      <c r="G2771" t="s">
        <v>38</v>
      </c>
      <c r="H2771" t="s">
        <v>4103</v>
      </c>
      <c r="I2771" t="s">
        <v>3961</v>
      </c>
      <c r="J2771" s="6" t="str">
        <f>HYPERLINK("https://www.biovista.com/db/link/%5B%5B%22Disease%7CSpinocerebellar%20Ataxia%20Type%203%22%5D,%20%5B%22Human%20Phenotype%7CWeight%20loss%22%5D%5D?strength-weight-map=%257B%2522MEDLINE_STRENGTH_AB%2522:1.0,%2522HPO%2522:100.0%257D", "Show Evidence...")</f>
        <v>Show Evidence...</v>
      </c>
    </row>
    <row r="2772" spans="1:10" ht="12.75">
      <c r="A2772" s="2" t="s">
        <v>50</v>
      </c>
      <c r="B2772" s="2" t="s">
        <v>3786</v>
      </c>
      <c r="C2772" s="2" t="s">
        <v>24</v>
      </c>
      <c r="D2772" s="2" t="s">
        <v>3787</v>
      </c>
      <c r="E2772" s="2" t="s">
        <v>431</v>
      </c>
      <c r="F2772" s="11" t="s">
        <v>4104</v>
      </c>
      <c r="G2772" t="s">
        <v>38</v>
      </c>
      <c r="H2772" t="s">
        <v>4105</v>
      </c>
      <c r="I2772" t="s">
        <v>4106</v>
      </c>
      <c r="J2772" s="6" t="str">
        <f>HYPERLINK("https://www.biovista.com/db/link/%5B%5B%22Disease%7CSpinocerebellar%20Ataxia%20Type%203%22%5D,%20%5B%22Human%20Phenotype%7CLimb%20ataxia%22%5D%5D?strength-weight-map=%257B%2522MEDLINE_STRENGTH_AB%2522:1.0,%2522HPO%2522:100.0%257D", "Show Evidence...")</f>
        <v>Show Evidence...</v>
      </c>
    </row>
    <row r="2773" spans="1:10" ht="12.75">
      <c r="A2773" s="2" t="s">
        <v>50</v>
      </c>
      <c r="B2773" s="2" t="s">
        <v>3786</v>
      </c>
      <c r="C2773" s="2" t="s">
        <v>24</v>
      </c>
      <c r="D2773" s="2" t="s">
        <v>3787</v>
      </c>
      <c r="E2773" s="2" t="s">
        <v>431</v>
      </c>
      <c r="F2773" s="11" t="s">
        <v>493</v>
      </c>
      <c r="G2773" t="s">
        <v>38</v>
      </c>
      <c r="H2773" t="s">
        <v>494</v>
      </c>
      <c r="I2773" t="s">
        <v>3963</v>
      </c>
      <c r="J2773" s="6" t="str">
        <f>HYPERLINK("https://www.biovista.com/db/link/%5B%5B%22Disease%7CSpinocerebellar%20Ataxia%20Type%203%22%5D,%20%5B%22Human%20Phenotype%7CGait%20disturbance%22%5D%5D?strength-weight-map=%257B%2522MEDLINE_STRENGTH_AB%2522:1.0,%2522HPO%2522:100.0%257D", "Show Evidence...")</f>
        <v>Show Evidence...</v>
      </c>
    </row>
    <row r="2774" spans="1:10" ht="12.75">
      <c r="A2774" s="2" t="s">
        <v>50</v>
      </c>
      <c r="B2774" s="2" t="s">
        <v>3786</v>
      </c>
      <c r="C2774" s="2" t="s">
        <v>24</v>
      </c>
      <c r="D2774" s="2" t="s">
        <v>3787</v>
      </c>
      <c r="E2774" s="2" t="s">
        <v>431</v>
      </c>
      <c r="F2774" s="11" t="s">
        <v>4107</v>
      </c>
      <c r="G2774" t="s">
        <v>38</v>
      </c>
      <c r="H2774" t="s">
        <v>4108</v>
      </c>
      <c r="I2774" t="s">
        <v>4109</v>
      </c>
      <c r="J2774" s="6" t="str">
        <f>HYPERLINK("https://www.biovista.com/db/link/%5B%5B%22Disease%7CSpinocerebellar%20Ataxia%20Type%203%22%5D,%20%5B%22Human%20Phenotype%7CGenetic%20anticipation%22%5D%5D?strength-weight-map=%257B%2522MEDLINE_STRENGTH_AB%2522:1.0,%2522HPO%2522:100.0%257D", "Show Evidence...")</f>
        <v>Show Evidence...</v>
      </c>
    </row>
    <row r="2775" spans="1:10" ht="12.75">
      <c r="A2775" s="2" t="s">
        <v>50</v>
      </c>
      <c r="B2775" s="2" t="s">
        <v>3786</v>
      </c>
      <c r="C2775" s="2" t="s">
        <v>24</v>
      </c>
      <c r="D2775" s="2" t="s">
        <v>3787</v>
      </c>
      <c r="E2775" s="2" t="s">
        <v>431</v>
      </c>
      <c r="F2775" s="11" t="s">
        <v>4110</v>
      </c>
      <c r="G2775" t="s">
        <v>38</v>
      </c>
      <c r="H2775" t="s">
        <v>4111</v>
      </c>
      <c r="I2775" t="s">
        <v>3972</v>
      </c>
      <c r="J2775" s="6" t="str">
        <f>HYPERLINK("https://www.biovista.com/db/link/%5B%5B%22Disease%7CSpinocerebellar%20Ataxia%20Type%203%22%5D,%20%5B%22Human%20Phenotype%7CRetinal%20degeneration%22%5D%5D?strength-weight-map=%257B%2522MEDLINE_STRENGTH_AB%2522:1.0,%2522HPO%2522:100.0%257D", "Show Evidence...")</f>
        <v>Show Evidence...</v>
      </c>
    </row>
    <row r="2776" spans="1:10" ht="12.75">
      <c r="A2776" s="2" t="s">
        <v>50</v>
      </c>
      <c r="B2776" s="2" t="s">
        <v>3786</v>
      </c>
      <c r="C2776" s="2" t="s">
        <v>24</v>
      </c>
      <c r="D2776" s="2" t="s">
        <v>3787</v>
      </c>
      <c r="E2776" s="2" t="s">
        <v>431</v>
      </c>
      <c r="F2776" s="11" t="s">
        <v>4112</v>
      </c>
      <c r="G2776" t="s">
        <v>38</v>
      </c>
      <c r="H2776" t="s">
        <v>4113</v>
      </c>
      <c r="I2776" t="s">
        <v>3975</v>
      </c>
      <c r="J2776" s="6" t="str">
        <f>HYPERLINK("https://www.biovista.com/db/link/%5B%5B%22Disease%7CSpinocerebellar%20Ataxia%20Type%203%22%5D,%20%5B%22Human%20Phenotype%7CKinetic%20tremor%22%5D%5D?strength-weight-map=%257B%2522MEDLINE_STRENGTH_AB%2522:1.0,%2522HPO%2522:100.0%257D", "Show Evidence...")</f>
        <v>Show Evidence...</v>
      </c>
    </row>
    <row r="2777" spans="1:10" ht="12.75">
      <c r="A2777" s="2" t="s">
        <v>50</v>
      </c>
      <c r="B2777" s="2" t="s">
        <v>3786</v>
      </c>
      <c r="C2777" s="2" t="s">
        <v>24</v>
      </c>
      <c r="D2777" s="2" t="s">
        <v>3787</v>
      </c>
      <c r="E2777" s="2" t="s">
        <v>431</v>
      </c>
      <c r="F2777" s="11" t="s">
        <v>4114</v>
      </c>
      <c r="G2777" t="s">
        <v>38</v>
      </c>
      <c r="H2777" t="s">
        <v>4115</v>
      </c>
      <c r="I2777" t="s">
        <v>3975</v>
      </c>
      <c r="J2777" s="6" t="str">
        <f>HYPERLINK("https://www.biovista.com/db/link/%5B%5B%22Disease%7CSpinocerebellar%20Ataxia%20Type%203%22%5D,%20%5B%22Human%20Phenotype%7CParaplegia%22%5D%5D?strength-weight-map=%257B%2522MEDLINE_STRENGTH_AB%2522:1.0,%2522HPO%2522:100.0%257D", "Show Evidence...")</f>
        <v>Show Evidence...</v>
      </c>
    </row>
    <row r="2778" spans="1:10" ht="12.75">
      <c r="A2778" s="2" t="s">
        <v>50</v>
      </c>
      <c r="B2778" s="2" t="s">
        <v>3786</v>
      </c>
      <c r="C2778" s="2" t="s">
        <v>24</v>
      </c>
      <c r="D2778" s="2" t="s">
        <v>3787</v>
      </c>
      <c r="E2778" s="2" t="s">
        <v>431</v>
      </c>
      <c r="F2778" s="11" t="s">
        <v>4116</v>
      </c>
      <c r="G2778" t="s">
        <v>38</v>
      </c>
      <c r="H2778" t="s">
        <v>4117</v>
      </c>
      <c r="I2778" t="s">
        <v>3790</v>
      </c>
      <c r="J2778" s="6" t="s">
        <v>4118</v>
      </c>
    </row>
    <row r="2779" spans="1:10" ht="12.75">
      <c r="A2779" s="2" t="s">
        <v>50</v>
      </c>
      <c r="B2779" s="2" t="s">
        <v>3786</v>
      </c>
      <c r="C2779" s="2" t="s">
        <v>24</v>
      </c>
      <c r="D2779" s="2" t="s">
        <v>3787</v>
      </c>
      <c r="E2779" s="2" t="s">
        <v>431</v>
      </c>
      <c r="F2779" s="11" t="s">
        <v>1408</v>
      </c>
      <c r="G2779" t="s">
        <v>38</v>
      </c>
      <c r="H2779" t="s">
        <v>1409</v>
      </c>
      <c r="I2779" t="s">
        <v>3790</v>
      </c>
      <c r="J2779" s="6" t="str">
        <f>HYPERLINK("https://www.biovista.com/db/link/%5B%5B%22Disease%7CSpinocerebellar%20Ataxia%20Type%203%22%5D,%20%5B%22Human%20Phenotype%7CClinical%20course%22%5D%5D?strength-weight-map=%257B%2522MEDLINE_STRENGTH_AB%2522:1.0,%2522HPO%2522:100.0%257D", "Show Evidence...")</f>
        <v>Show Evidence...</v>
      </c>
    </row>
    <row r="2780" spans="1:10" ht="12.75">
      <c r="A2780" s="2" t="s">
        <v>50</v>
      </c>
      <c r="B2780" s="2" t="s">
        <v>3786</v>
      </c>
      <c r="C2780" s="2" t="s">
        <v>24</v>
      </c>
      <c r="D2780" s="2" t="s">
        <v>3787</v>
      </c>
      <c r="E2780" s="2" t="s">
        <v>431</v>
      </c>
      <c r="F2780" s="11" t="s">
        <v>701</v>
      </c>
      <c r="G2780" t="s">
        <v>38</v>
      </c>
      <c r="H2780" t="s">
        <v>702</v>
      </c>
      <c r="I2780" t="s">
        <v>3790</v>
      </c>
      <c r="J2780" s="6" t="str">
        <f>HYPERLINK("https://www.biovista.com/db/link/%5B%5B%22Disease%7CSpinocerebellar%20Ataxia%20Type%203%22%5D,%20%5B%22Human%20Phenotype%7CEpisodic%22%5D%5D?strength-weight-map=%257B%2522MEDLINE_STRENGTH_AB%2522:1.0,%2522HPO%2522:100.0%257D", "Show Evidence...")</f>
        <v>Show Evidence...</v>
      </c>
    </row>
    <row r="2781" spans="1:10" ht="12.75">
      <c r="A2781" s="2" t="s">
        <v>50</v>
      </c>
      <c r="B2781" s="2" t="s">
        <v>3786</v>
      </c>
      <c r="C2781" s="2" t="s">
        <v>24</v>
      </c>
      <c r="D2781" s="2" t="s">
        <v>3787</v>
      </c>
      <c r="E2781" s="2" t="s">
        <v>431</v>
      </c>
      <c r="F2781" s="11" t="s">
        <v>2696</v>
      </c>
      <c r="G2781" t="s">
        <v>38</v>
      </c>
      <c r="H2781" t="s">
        <v>2697</v>
      </c>
      <c r="I2781" t="s">
        <v>3790</v>
      </c>
      <c r="J2781" s="6" t="str">
        <f>HYPERLINK("https://www.biovista.com/db/link/%5B%5B%22Disease%7CSpinocerebellar%20Ataxia%20Type%203%22%5D,%20%5B%22Human%20Phenotype%7CExcessive%20daytime%20somnolence%22%5D%5D?strength-weight-map=%257B%2522MEDLINE_STRENGTH_AB%2522:1.0,%2522HPO%2522:100.0%257D", "Show Evidence...")</f>
        <v>Show Evidence...</v>
      </c>
    </row>
    <row r="2782" spans="1:10" ht="12.75">
      <c r="A2782" s="2" t="s">
        <v>50</v>
      </c>
      <c r="B2782" s="2" t="s">
        <v>3786</v>
      </c>
      <c r="C2782" s="2" t="s">
        <v>24</v>
      </c>
      <c r="D2782" s="2" t="s">
        <v>3787</v>
      </c>
      <c r="E2782" s="2" t="s">
        <v>431</v>
      </c>
      <c r="F2782" s="11" t="s">
        <v>1348</v>
      </c>
      <c r="G2782" t="s">
        <v>38</v>
      </c>
      <c r="H2782" t="s">
        <v>1349</v>
      </c>
      <c r="I2782" t="s">
        <v>3790</v>
      </c>
      <c r="J2782" s="6" t="str">
        <f>HYPERLINK("https://www.biovista.com/db/link/%5B%5B%22Disease%7CSpinocerebellar%20Ataxia%20Type%203%22%5D,%20%5B%22Human%20Phenotype%7CVertigo%22%5D%5D?strength-weight-map=%257B%2522MEDLINE_STRENGTH_AB%2522:1.0,%2522HPO%2522:100.0%257D", "Show Evidence...")</f>
        <v>Show Evidence...</v>
      </c>
    </row>
    <row r="2783" spans="1:10" ht="12.75">
      <c r="A2783" s="2" t="s">
        <v>50</v>
      </c>
      <c r="B2783" s="2" t="s">
        <v>3786</v>
      </c>
      <c r="C2783" s="2" t="s">
        <v>24</v>
      </c>
      <c r="D2783" s="2" t="s">
        <v>3787</v>
      </c>
      <c r="E2783" s="2" t="s">
        <v>431</v>
      </c>
      <c r="F2783" s="11" t="s">
        <v>4119</v>
      </c>
      <c r="G2783" t="s">
        <v>38</v>
      </c>
      <c r="H2783" t="s">
        <v>4120</v>
      </c>
      <c r="I2783" t="s">
        <v>3982</v>
      </c>
      <c r="J2783" s="6" t="str">
        <f>HYPERLINK("https://www.biovista.com/db/link/%5B%5B%22Disease%7CSpinocerebellar%20Ataxia%20Type%203%22%5D,%20%5B%22Human%20Phenotype%7CDrowsiness%22%5D%5D?strength-weight-map=%257B%2522MEDLINE_STRENGTH_AB%2522:1.0,%2522HPO%2522:100.0%257D", "Show Evidence...")</f>
        <v>Show Evidence...</v>
      </c>
    </row>
    <row r="2784" spans="1:10" ht="12.75">
      <c r="A2784" s="2" t="s">
        <v>50</v>
      </c>
      <c r="B2784" s="2" t="s">
        <v>3786</v>
      </c>
      <c r="C2784" s="2" t="s">
        <v>24</v>
      </c>
      <c r="D2784" s="2" t="s">
        <v>3787</v>
      </c>
      <c r="E2784" s="2" t="s">
        <v>431</v>
      </c>
      <c r="F2784" s="11" t="s">
        <v>4121</v>
      </c>
      <c r="G2784" t="s">
        <v>38</v>
      </c>
      <c r="H2784" t="s">
        <v>4122</v>
      </c>
      <c r="I2784" t="s">
        <v>3982</v>
      </c>
      <c r="J2784" s="6" t="str">
        <f>HYPERLINK("https://www.biovista.com/db/link/%5B%5B%22Disease%7CSpinocerebellar%20Ataxia%20Type%203%22%5D,%20%5B%22Human%20Phenotype%7CInsomnia%22%5D%5D?strength-weight-map=%257B%2522MEDLINE_STRENGTH_AB%2522:1.0,%2522HPO%2522:100.0%257D", "Show Evidence...")</f>
        <v>Show Evidence...</v>
      </c>
    </row>
    <row r="2785" spans="1:10" ht="12.75">
      <c r="A2785" s="2" t="s">
        <v>50</v>
      </c>
      <c r="B2785" s="2" t="s">
        <v>3786</v>
      </c>
      <c r="C2785" s="2" t="s">
        <v>24</v>
      </c>
      <c r="D2785" s="2" t="s">
        <v>3787</v>
      </c>
      <c r="E2785" s="2" t="s">
        <v>431</v>
      </c>
      <c r="F2785" s="11" t="s">
        <v>1767</v>
      </c>
      <c r="G2785" t="s">
        <v>38</v>
      </c>
      <c r="H2785" t="s">
        <v>1768</v>
      </c>
      <c r="I2785" t="s">
        <v>3982</v>
      </c>
      <c r="J2785" s="6" t="str">
        <f>HYPERLINK("https://www.biovista.com/db/link/%5B%5B%22Disease%7CSpinocerebellar%20Ataxia%20Type%203%22%5D,%20%5B%22Human%20Phenotype%7CMyoclonus%22%5D%5D?strength-weight-map=%257B%2522MEDLINE_STRENGTH_AB%2522:1.0,%2522HPO%2522:100.0%257D", "Show Evidence...")</f>
        <v>Show Evidence...</v>
      </c>
    </row>
    <row r="2786" spans="1:10" ht="12.75">
      <c r="A2786" s="2" t="s">
        <v>50</v>
      </c>
      <c r="B2786" s="2" t="s">
        <v>3786</v>
      </c>
      <c r="C2786" s="2" t="s">
        <v>24</v>
      </c>
      <c r="D2786" s="2" t="s">
        <v>3787</v>
      </c>
      <c r="E2786" s="2" t="s">
        <v>431</v>
      </c>
      <c r="F2786" s="11" t="s">
        <v>4123</v>
      </c>
      <c r="G2786" t="s">
        <v>38</v>
      </c>
      <c r="H2786" t="s">
        <v>4124</v>
      </c>
      <c r="I2786" t="s">
        <v>3982</v>
      </c>
      <c r="J2786" s="6" t="str">
        <f>HYPERLINK("https://www.biovista.com/db/link/%5B%5B%22Disease%7CSpinocerebellar%20Ataxia%20Type%203%22%5D,%20%5B%22Human%20Phenotype%7COphthalmoparesis%22%5D%5D?strength-weight-map=%257B%2522MEDLINE_STRENGTH_AB%2522:1.0,%2522HPO%2522:100.0%257D", "Show Evidence...")</f>
        <v>Show Evidence...</v>
      </c>
    </row>
    <row r="2787" spans="1:10" ht="12.75">
      <c r="A2787" s="2" t="s">
        <v>50</v>
      </c>
      <c r="B2787" s="2" t="s">
        <v>3786</v>
      </c>
      <c r="C2787" s="2" t="s">
        <v>24</v>
      </c>
      <c r="D2787" s="2" t="s">
        <v>3787</v>
      </c>
      <c r="E2787" s="2" t="s">
        <v>431</v>
      </c>
      <c r="F2787" s="11" t="s">
        <v>4125</v>
      </c>
      <c r="G2787" t="s">
        <v>38</v>
      </c>
      <c r="H2787" t="s">
        <v>4126</v>
      </c>
      <c r="I2787" t="s">
        <v>3982</v>
      </c>
      <c r="J2787" s="6" t="str">
        <f>HYPERLINK("https://www.biovista.com/db/link/%5B%5B%22Disease%7CSpinocerebellar%20Ataxia%20Type%203%22%5D,%20%5B%22Human%20Phenotype%7CSpastic%20paraplegia%22%5D%5D?strength-weight-map=%257B%2522MEDLINE_STRENGTH_AB%2522:1.0,%2522HPO%2522:100.0%257D", "Show Evidence...")</f>
        <v>Show Evidence...</v>
      </c>
    </row>
    <row r="2788" spans="1:10" ht="12.75">
      <c r="A2788" s="2" t="s">
        <v>50</v>
      </c>
      <c r="B2788" s="2" t="s">
        <v>3786</v>
      </c>
      <c r="C2788" s="2" t="s">
        <v>24</v>
      </c>
      <c r="D2788" s="2" t="s">
        <v>3787</v>
      </c>
      <c r="E2788" s="2" t="s">
        <v>431</v>
      </c>
      <c r="F2788" s="11" t="s">
        <v>631</v>
      </c>
      <c r="G2788" t="s">
        <v>38</v>
      </c>
      <c r="H2788" t="s">
        <v>632</v>
      </c>
      <c r="I2788" t="s">
        <v>3791</v>
      </c>
      <c r="J2788" s="6" t="str">
        <f>HYPERLINK("https://www.biovista.com/db/link/%5B%5B%22Disease%7CSpinocerebellar%20Ataxia%20Type%203%22%5D,%20%5B%22Human%20Phenotype%7CAsthenia%22%5D%5D?strength-weight-map=%257B%2522MEDLINE_STRENGTH_AB%2522:1.0,%2522HPO%2522:100.0%257D", "Show Evidence...")</f>
        <v>Show Evidence...</v>
      </c>
    </row>
    <row r="2789" spans="1:10" ht="12.75">
      <c r="A2789" s="2" t="s">
        <v>50</v>
      </c>
      <c r="B2789" s="2" t="s">
        <v>3786</v>
      </c>
      <c r="C2789" s="2" t="s">
        <v>24</v>
      </c>
      <c r="D2789" s="2" t="s">
        <v>3787</v>
      </c>
      <c r="E2789" s="2" t="s">
        <v>431</v>
      </c>
      <c r="F2789" s="11" t="s">
        <v>4127</v>
      </c>
      <c r="G2789" t="s">
        <v>38</v>
      </c>
      <c r="H2789" t="s">
        <v>4128</v>
      </c>
      <c r="I2789" t="s">
        <v>3791</v>
      </c>
      <c r="J2789" s="6" t="str">
        <f>HYPERLINK("https://www.biovista.com/db/link/%5B%5B%22Disease%7CSpinocerebellar%20Ataxia%20Type%203%22%5D,%20%5B%22Human%20Phenotype%7CClinical%20relevance%22%5D%5D?strength-weight-map=%257B%2522MEDLINE_STRENGTH_AB%2522:1.0,%2522HPO%2522:100.0%257D", "Show Evidence...")</f>
        <v>Show Evidence...</v>
      </c>
    </row>
    <row r="2790" spans="1:10" ht="12.75">
      <c r="A2790" s="2" t="s">
        <v>50</v>
      </c>
      <c r="B2790" s="2" t="s">
        <v>3786</v>
      </c>
      <c r="C2790" s="2" t="s">
        <v>24</v>
      </c>
      <c r="D2790" s="2" t="s">
        <v>3787</v>
      </c>
      <c r="E2790" s="2" t="s">
        <v>431</v>
      </c>
      <c r="F2790" s="11" t="s">
        <v>1406</v>
      </c>
      <c r="G2790" t="s">
        <v>38</v>
      </c>
      <c r="H2790" t="s">
        <v>1407</v>
      </c>
      <c r="I2790" t="s">
        <v>3791</v>
      </c>
      <c r="J2790" s="6" t="str">
        <f>HYPERLINK("https://www.biovista.com/db/link/%5B%5B%22Disease%7CSpinocerebellar%20Ataxia%20Type%203%22%5D,%20%5B%22Human%20Phenotype%7CDyskinesia%22%5D%5D?strength-weight-map=%257B%2522MEDLINE_STRENGTH_AB%2522:1.0,%2522HPO%2522:100.0%257D", "Show Evidence...")</f>
        <v>Show Evidence...</v>
      </c>
    </row>
    <row r="2791" spans="1:10" ht="12.75">
      <c r="A2791" s="2" t="s">
        <v>50</v>
      </c>
      <c r="B2791" s="2" t="s">
        <v>3786</v>
      </c>
      <c r="C2791" s="2" t="s">
        <v>24</v>
      </c>
      <c r="D2791" s="2" t="s">
        <v>3787</v>
      </c>
      <c r="E2791" s="2" t="s">
        <v>431</v>
      </c>
      <c r="F2791" s="11" t="s">
        <v>1747</v>
      </c>
      <c r="G2791" t="s">
        <v>38</v>
      </c>
      <c r="H2791" t="s">
        <v>1748</v>
      </c>
      <c r="I2791" t="s">
        <v>3791</v>
      </c>
      <c r="J2791" s="6" t="str">
        <f>HYPERLINK("https://www.biovista.com/db/link/%5B%5B%22Disease%7CSpinocerebellar%20Ataxia%20Type%203%22%5D,%20%5B%22Human%20Phenotype%7CEmotional%20hypersensitivity%22%5D%5D?strength-weight-map=%257B%2522MEDLINE_STRENGTH_AB%2522:1.0,%2522HPO%2522:100.0%257D", "Show Evidence...")</f>
        <v>Show Evidence...</v>
      </c>
    </row>
    <row r="2792" spans="1:10" ht="12.75">
      <c r="A2792" s="2" t="s">
        <v>50</v>
      </c>
      <c r="B2792" s="2" t="s">
        <v>3786</v>
      </c>
      <c r="C2792" s="2" t="s">
        <v>24</v>
      </c>
      <c r="D2792" s="2" t="s">
        <v>3787</v>
      </c>
      <c r="E2792" s="2" t="s">
        <v>431</v>
      </c>
      <c r="F2792" s="11" t="s">
        <v>4129</v>
      </c>
      <c r="G2792" t="s">
        <v>38</v>
      </c>
      <c r="H2792" t="s">
        <v>4130</v>
      </c>
      <c r="I2792" t="s">
        <v>3791</v>
      </c>
      <c r="J2792" s="6" t="str">
        <f>HYPERLINK("https://www.biovista.com/db/link/%5B%5B%22Disease%7CSpinocerebellar%20Ataxia%20Type%203%22%5D,%20%5B%22Human%20Phenotype%7CParalysis%22%5D%5D?strength-weight-map=%257B%2522MEDLINE_STRENGTH_AB%2522:1.0,%2522HPO%2522:100.0%257D", "Show Evidence...")</f>
        <v>Show Evidence...</v>
      </c>
    </row>
    <row r="2793" spans="1:10" ht="12.75">
      <c r="A2793" s="2" t="s">
        <v>50</v>
      </c>
      <c r="B2793" s="2" t="s">
        <v>3786</v>
      </c>
      <c r="C2793" s="2" t="s">
        <v>24</v>
      </c>
      <c r="D2793" s="2" t="s">
        <v>3787</v>
      </c>
      <c r="E2793" s="2" t="s">
        <v>431</v>
      </c>
      <c r="F2793" s="11" t="s">
        <v>4131</v>
      </c>
      <c r="G2793" t="s">
        <v>38</v>
      </c>
      <c r="H2793" t="s">
        <v>4132</v>
      </c>
      <c r="I2793" t="s">
        <v>3791</v>
      </c>
      <c r="J2793" s="6" t="str">
        <f>HYPERLINK("https://www.biovista.com/db/link/%5B%5B%22Disease%7CSpinocerebellar%20Ataxia%20Type%203%22%5D,%20%5B%22Human%20Phenotype%7CPeripheral%20demyelination%22%5D%5D?strength-weight-map=%257B%2522MEDLINE_STRENGTH_AB%2522:1.0,%2522HPO%2522:100.0%257D", "Show Evidence...")</f>
        <v>Show Evidence...</v>
      </c>
    </row>
    <row r="2794" spans="1:10" ht="12.75">
      <c r="A2794" s="2" t="s">
        <v>50</v>
      </c>
      <c r="B2794" s="2" t="s">
        <v>3786</v>
      </c>
      <c r="C2794" s="2" t="s">
        <v>24</v>
      </c>
      <c r="D2794" s="2" t="s">
        <v>3787</v>
      </c>
      <c r="E2794" s="2" t="s">
        <v>431</v>
      </c>
      <c r="F2794" s="11" t="s">
        <v>4133</v>
      </c>
      <c r="G2794" t="s">
        <v>38</v>
      </c>
      <c r="H2794" t="s">
        <v>4134</v>
      </c>
      <c r="I2794" t="s">
        <v>3791</v>
      </c>
      <c r="J2794" s="6" t="str">
        <f>HYPERLINK("https://www.biovista.com/db/link/%5B%5B%22Disease%7CSpinocerebellar%20Ataxia%20Type%203%22%5D,%20%5B%22Human%20Phenotype%7CPostural%20tremor%22%5D%5D?strength-weight-map=%257B%2522MEDLINE_STRENGTH_AB%2522:1.0,%2522HPO%2522:100.0%257D", "Show Evidence...")</f>
        <v>Show Evidence...</v>
      </c>
    </row>
    <row r="2795" spans="1:10" ht="12.75">
      <c r="A2795" s="2" t="s">
        <v>50</v>
      </c>
      <c r="B2795" s="2" t="s">
        <v>3786</v>
      </c>
      <c r="C2795" s="2" t="s">
        <v>24</v>
      </c>
      <c r="D2795" s="2" t="s">
        <v>3787</v>
      </c>
      <c r="E2795" s="2" t="s">
        <v>431</v>
      </c>
      <c r="F2795" s="11" t="s">
        <v>640</v>
      </c>
      <c r="G2795" t="s">
        <v>38</v>
      </c>
      <c r="H2795" t="s">
        <v>641</v>
      </c>
      <c r="I2795" t="s">
        <v>3791</v>
      </c>
      <c r="J2795" s="6" t="str">
        <f>HYPERLINK("https://www.biovista.com/db/link/%5B%5B%22Disease%7CSpinocerebellar%20Ataxia%20Type%203%22%5D,%20%5B%22Human%20Phenotype%7CRecurrent%22%5D%5D?strength-weight-map=%257B%2522MEDLINE_STRENGTH_AB%2522:1.0,%2522HPO%2522:100.0%257D", "Show Evidence...")</f>
        <v>Show Evidence...</v>
      </c>
    </row>
    <row r="2796" spans="1:10" ht="12.75">
      <c r="A2796" s="2" t="s">
        <v>50</v>
      </c>
      <c r="B2796" s="2" t="s">
        <v>3786</v>
      </c>
      <c r="C2796" s="2" t="s">
        <v>24</v>
      </c>
      <c r="D2796" s="2" t="s">
        <v>3787</v>
      </c>
      <c r="E2796" s="2" t="s">
        <v>431</v>
      </c>
      <c r="F2796" s="11" t="s">
        <v>4135</v>
      </c>
      <c r="G2796" t="s">
        <v>38</v>
      </c>
      <c r="H2796" t="s">
        <v>4136</v>
      </c>
      <c r="I2796" t="s">
        <v>3791</v>
      </c>
      <c r="J2796" s="6" t="str">
        <f>HYPERLINK("https://www.biovista.com/db/link/%5B%5B%22Disease%7CSpinocerebellar%20Ataxia%20Type%203%22%5D,%20%5B%22Human%20Phenotype%7CSpinocerebellar%20atrophy%22%5D%5D?strength-weight-map=%257B%2522MEDLINE_STRENGTH_AB%2522:1.0,%2522HPO%2522:100.0%257D", "Show Evidence...")</f>
        <v>Show Evidence...</v>
      </c>
    </row>
    <row r="2797" spans="1:10" ht="12.75">
      <c r="A2797" s="2" t="s">
        <v>50</v>
      </c>
      <c r="B2797" s="2" t="s">
        <v>3786</v>
      </c>
      <c r="C2797" s="2" t="s">
        <v>24</v>
      </c>
      <c r="D2797" s="2" t="s">
        <v>3787</v>
      </c>
      <c r="E2797" s="2" t="s">
        <v>431</v>
      </c>
      <c r="F2797" s="11" t="s">
        <v>1415</v>
      </c>
      <c r="G2797" t="s">
        <v>38</v>
      </c>
      <c r="H2797" t="s">
        <v>1416</v>
      </c>
      <c r="I2797" t="s">
        <v>3791</v>
      </c>
      <c r="J2797" s="6" t="str">
        <f>HYPERLINK("https://www.biovista.com/db/link/%5B%5B%22Disease%7CSpinocerebellar%20Ataxia%20Type%203%22%5D,%20%5B%22Human%20Phenotype%7CTriggered%20by%22%5D%5D?strength-weight-map=%257B%2522MEDLINE_STRENGTH_AB%2522:1.0,%2522HPO%2522:100.0%257D", "Show Evidence...")</f>
        <v>Show Evidence...</v>
      </c>
    </row>
    <row r="2798" spans="1:10" ht="12.75">
      <c r="A2798" s="2" t="s">
        <v>50</v>
      </c>
      <c r="B2798" s="2" t="s">
        <v>3786</v>
      </c>
      <c r="C2798" s="2" t="s">
        <v>24</v>
      </c>
      <c r="D2798" s="2" t="s">
        <v>3787</v>
      </c>
      <c r="E2798" s="2" t="s">
        <v>431</v>
      </c>
      <c r="F2798" s="11" t="s">
        <v>4137</v>
      </c>
      <c r="G2798" t="s">
        <v>38</v>
      </c>
      <c r="H2798" t="s">
        <v>4138</v>
      </c>
      <c r="I2798" t="s">
        <v>3791</v>
      </c>
      <c r="J2798" s="6" t="str">
        <f>HYPERLINK("https://www.biovista.com/db/link/%5B%5B%22Disease%7CSpinocerebellar%20Ataxia%20Type%203%22%5D,%20%5B%22Human%20Phenotype%7CVestibular%20hypofunction%22%5D%5D?strength-weight-map=%257B%2522MEDLINE_STRENGTH_AB%2522:1.0,%2522HPO%2522:100.0%257D", "Show Evidence...")</f>
        <v>Show Evidence...</v>
      </c>
    </row>
    <row r="2799" spans="1:10" ht="12.75">
      <c r="A2799" s="2" t="s">
        <v>50</v>
      </c>
      <c r="B2799" s="2" t="s">
        <v>3786</v>
      </c>
      <c r="C2799" s="2" t="s">
        <v>24</v>
      </c>
      <c r="D2799" s="2" t="s">
        <v>3787</v>
      </c>
      <c r="E2799" s="2" t="s">
        <v>431</v>
      </c>
      <c r="F2799" s="11" t="s">
        <v>550</v>
      </c>
      <c r="G2799" t="s">
        <v>38</v>
      </c>
      <c r="H2799" t="s">
        <v>551</v>
      </c>
      <c r="I2799" t="s">
        <v>4139</v>
      </c>
      <c r="J2799" s="6" t="str">
        <f>HYPERLINK("https://www.biovista.com/db/link/%5B%5B%22Disease%7CSpinocerebellar%20Ataxia%20Type%203%22%5D,%20%5B%22Human%20Phenotype%7CDistal%20amyotrophy%22%5D%5D?strength-weight-map=%257B%2522MEDLINE_STRENGTH_AB%2522:1.0,%2522HPO%2522:100.0%257D", "Show Evidence...")</f>
        <v>Show Evidence...</v>
      </c>
    </row>
    <row r="2800" spans="1:10" ht="12.75">
      <c r="A2800" s="2" t="s">
        <v>50</v>
      </c>
      <c r="B2800" s="2" t="s">
        <v>3786</v>
      </c>
      <c r="C2800" s="2" t="s">
        <v>24</v>
      </c>
      <c r="D2800" s="2" t="s">
        <v>3787</v>
      </c>
      <c r="E2800" s="2" t="s">
        <v>431</v>
      </c>
      <c r="F2800" s="11" t="s">
        <v>4140</v>
      </c>
      <c r="G2800" t="s">
        <v>38</v>
      </c>
      <c r="H2800" t="s">
        <v>4141</v>
      </c>
      <c r="I2800" t="s">
        <v>4139</v>
      </c>
      <c r="J2800" s="6" t="str">
        <f>HYPERLINK("https://www.biovista.com/db/link/%5B%5B%22Disease%7CSpinocerebellar%20Ataxia%20Type%203%22%5D,%20%5B%22Human%20Phenotype%7CMuscle%20spasm%22%5D%5D?strength-weight-map=%257B%2522MEDLINE_STRENGTH_AB%2522:1.0,%2522HPO%2522:100.0%257D", "Show Evidence...")</f>
        <v>Show Evidence...</v>
      </c>
    </row>
    <row r="2801" spans="1:10" ht="12.75">
      <c r="A2801" s="2" t="s">
        <v>50</v>
      </c>
      <c r="B2801" s="2" t="s">
        <v>3786</v>
      </c>
      <c r="C2801" s="2" t="s">
        <v>24</v>
      </c>
      <c r="D2801" s="2" t="s">
        <v>3787</v>
      </c>
      <c r="E2801" s="2" t="s">
        <v>704</v>
      </c>
      <c r="F2801" s="11" t="s">
        <v>836</v>
      </c>
      <c r="G2801" t="s">
        <v>37</v>
      </c>
      <c r="H2801" t="s">
        <v>837</v>
      </c>
      <c r="I2801" t="s">
        <v>4142</v>
      </c>
      <c r="J2801" s="6" t="str">
        <f>HYPERLINK("https://www.biovista.com/db/link/%5B%5B%22Disease%7CSpinocerebellar%20Ataxia%20Type%203%22%5D,%20%5B%22Pathway%7Cautophagy%22%5D%5D?strength-weight-map=%257B%2522MEDLINE_STRENGTH_AB%2522:1.0,%2522HPO%2522:100.0%257D", "Show Evidence...")</f>
        <v>Show Evidence...</v>
      </c>
    </row>
    <row r="2802" spans="1:10" ht="12.75">
      <c r="A2802" s="2" t="s">
        <v>50</v>
      </c>
      <c r="B2802" s="2" t="s">
        <v>3786</v>
      </c>
      <c r="C2802" s="2" t="s">
        <v>24</v>
      </c>
      <c r="D2802" s="2" t="s">
        <v>3787</v>
      </c>
      <c r="E2802" s="2" t="s">
        <v>704</v>
      </c>
      <c r="F2802" s="11" t="s">
        <v>750</v>
      </c>
      <c r="G2802" t="s">
        <v>37</v>
      </c>
      <c r="H2802" t="s">
        <v>751</v>
      </c>
      <c r="I2802" t="s">
        <v>4143</v>
      </c>
      <c r="J2802" s="6" t="str">
        <f>HYPERLINK("https://www.biovista.com/db/link/%5B%5B%22Disease%7CSpinocerebellar%20Ataxia%20Type%203%22%5D,%20%5B%22Pathway%7Ccell%20death%22%5D%5D?strength-weight-map=%257B%2522MEDLINE_STRENGTH_AB%2522:1.0,%2522HPO%2522:100.0%257D", "Show Evidence...")</f>
        <v>Show Evidence...</v>
      </c>
    </row>
    <row r="2803" spans="1:10" ht="12.75">
      <c r="A2803" s="2" t="s">
        <v>50</v>
      </c>
      <c r="B2803" s="2" t="s">
        <v>3786</v>
      </c>
      <c r="C2803" s="2" t="s">
        <v>24</v>
      </c>
      <c r="D2803" s="2" t="s">
        <v>3787</v>
      </c>
      <c r="E2803" s="2" t="s">
        <v>704</v>
      </c>
      <c r="F2803" s="11" t="s">
        <v>720</v>
      </c>
      <c r="G2803" t="s">
        <v>37</v>
      </c>
      <c r="H2803" t="s">
        <v>721</v>
      </c>
      <c r="I2803" t="s">
        <v>3927</v>
      </c>
      <c r="J2803" s="6" t="str">
        <f>HYPERLINK("https://www.biovista.com/db/link/%5B%5B%22Disease%7CSpinocerebellar%20Ataxia%20Type%203%22%5D,%20%5B%22Pathway%7Capoptotic%20process%22%5D%5D?strength-weight-map=%257B%2522MEDLINE_STRENGTH_AB%2522:1.0,%2522HPO%2522:100.0%257D", "Show Evidence...")</f>
        <v>Show Evidence...</v>
      </c>
    </row>
    <row r="2804" spans="1:10" ht="12.75">
      <c r="A2804" s="2" t="s">
        <v>50</v>
      </c>
      <c r="B2804" s="2" t="s">
        <v>3786</v>
      </c>
      <c r="C2804" s="2" t="s">
        <v>24</v>
      </c>
      <c r="D2804" s="2" t="s">
        <v>3787</v>
      </c>
      <c r="E2804" s="2" t="s">
        <v>704</v>
      </c>
      <c r="F2804" s="11" t="s">
        <v>827</v>
      </c>
      <c r="G2804" t="s">
        <v>37</v>
      </c>
      <c r="H2804" t="s">
        <v>828</v>
      </c>
      <c r="I2804" t="s">
        <v>4144</v>
      </c>
      <c r="J2804" s="6" t="s">
        <v>4145</v>
      </c>
    </row>
    <row r="2805" spans="1:10" ht="12.75">
      <c r="A2805" s="2" t="s">
        <v>50</v>
      </c>
      <c r="B2805" s="2" t="s">
        <v>3786</v>
      </c>
      <c r="C2805" s="2" t="s">
        <v>24</v>
      </c>
      <c r="D2805" s="2" t="s">
        <v>3787</v>
      </c>
      <c r="E2805" s="2" t="s">
        <v>704</v>
      </c>
      <c r="F2805" s="11" t="s">
        <v>1536</v>
      </c>
      <c r="G2805" t="s">
        <v>37</v>
      </c>
      <c r="H2805" t="s">
        <v>1537</v>
      </c>
      <c r="I2805" t="s">
        <v>4146</v>
      </c>
      <c r="J2805" s="6" t="str">
        <f>HYPERLINK("https://www.biovista.com/db/link/%5B%5B%22Disease%7CSpinocerebellar%20Ataxia%20Type%203%22%5D,%20%5B%22Pathway%7Cprotein%20folding%22%5D%5D?strength-weight-map=%257B%2522MEDLINE_STRENGTH_AB%2522:1.0,%2522HPO%2522:100.0%257D", "Show Evidence...")</f>
        <v>Show Evidence...</v>
      </c>
    </row>
    <row r="2806" spans="1:10" ht="12.75">
      <c r="A2806" s="2" t="s">
        <v>50</v>
      </c>
      <c r="B2806" s="2" t="s">
        <v>3786</v>
      </c>
      <c r="C2806" s="2" t="s">
        <v>24</v>
      </c>
      <c r="D2806" s="2" t="s">
        <v>3787</v>
      </c>
      <c r="E2806" s="2" t="s">
        <v>704</v>
      </c>
      <c r="F2806" s="11" t="s">
        <v>723</v>
      </c>
      <c r="G2806" t="s">
        <v>37</v>
      </c>
      <c r="H2806" t="s">
        <v>724</v>
      </c>
      <c r="I2806" t="s">
        <v>4146</v>
      </c>
      <c r="J2806" s="6" t="str">
        <f>HYPERLINK("https://www.biovista.com/db/link/%5B%5B%22Disease%7CSpinocerebellar%20Ataxia%20Type%203%22%5D,%20%5B%22Pathway%7Ctranslation%22%5D%5D?strength-weight-map=%257B%2522MEDLINE_STRENGTH_AB%2522:1.0,%2522HPO%2522:100.0%257D", "Show Evidence...")</f>
        <v>Show Evidence...</v>
      </c>
    </row>
    <row r="2807" spans="1:10" ht="12.75">
      <c r="A2807" s="2" t="s">
        <v>50</v>
      </c>
      <c r="B2807" s="2" t="s">
        <v>3786</v>
      </c>
      <c r="C2807" s="2" t="s">
        <v>24</v>
      </c>
      <c r="D2807" s="2" t="s">
        <v>3787</v>
      </c>
      <c r="E2807" s="2" t="s">
        <v>704</v>
      </c>
      <c r="F2807" s="11" t="s">
        <v>916</v>
      </c>
      <c r="G2807" t="s">
        <v>37</v>
      </c>
      <c r="H2807" t="s">
        <v>917</v>
      </c>
      <c r="I2807" t="s">
        <v>4147</v>
      </c>
      <c r="J2807" s="6" t="str">
        <f>HYPERLINK("https://www.biovista.com/db/link/%5B%5B%22Disease%7CSpinocerebellar%20Ataxia%20Type%203%22%5D,%20%5B%22Pathway%7Cproteolysis%22%5D%5D?strength-weight-map=%257B%2522MEDLINE_STRENGTH_AB%2522:1.0,%2522HPO%2522:100.0%257D", "Show Evidence...")</f>
        <v>Show Evidence...</v>
      </c>
    </row>
    <row r="2808" spans="1:10" ht="12.75">
      <c r="A2808" s="2" t="s">
        <v>50</v>
      </c>
      <c r="B2808" s="2" t="s">
        <v>3786</v>
      </c>
      <c r="C2808" s="2" t="s">
        <v>24</v>
      </c>
      <c r="D2808" s="2" t="s">
        <v>3787</v>
      </c>
      <c r="E2808" s="2" t="s">
        <v>704</v>
      </c>
      <c r="F2808" s="11" t="s">
        <v>753</v>
      </c>
      <c r="G2808" t="s">
        <v>37</v>
      </c>
      <c r="H2808" t="s">
        <v>754</v>
      </c>
      <c r="I2808" t="s">
        <v>3789</v>
      </c>
      <c r="J2808" s="6" t="str">
        <f>HYPERLINK("https://www.biovista.com/db/link/%5B%5B%22Disease%7CSpinocerebellar%20Ataxia%20Type%203%22%5D,%20%5B%22Pathway%7Ccell%20differentiation%22%5D%5D?strength-weight-map=%257B%2522MEDLINE_STRENGTH_AB%2522:1.0,%2522HPO%2522:100.0%257D", "Show Evidence...")</f>
        <v>Show Evidence...</v>
      </c>
    </row>
    <row r="2809" spans="1:10" ht="12.75">
      <c r="A2809" s="2" t="s">
        <v>50</v>
      </c>
      <c r="B2809" s="2" t="s">
        <v>3786</v>
      </c>
      <c r="C2809" s="2" t="s">
        <v>24</v>
      </c>
      <c r="D2809" s="2" t="s">
        <v>3787</v>
      </c>
      <c r="E2809" s="2" t="s">
        <v>704</v>
      </c>
      <c r="F2809" s="11" t="s">
        <v>760</v>
      </c>
      <c r="G2809" t="s">
        <v>37</v>
      </c>
      <c r="H2809" t="s">
        <v>761</v>
      </c>
      <c r="I2809" t="s">
        <v>4148</v>
      </c>
      <c r="J2809" s="6" t="str">
        <f>HYPERLINK("https://www.biovista.com/db/link/%5B%5B%22Disease%7CSpinocerebellar%20Ataxia%20Type%203%22%5D,%20%5B%22Pathway%7Chomeostatic%20process%22%5D%5D?strength-weight-map=%257B%2522MEDLINE_STRENGTH_AB%2522:1.0,%2522HPO%2522:100.0%257D", "Show Evidence...")</f>
        <v>Show Evidence...</v>
      </c>
    </row>
    <row r="2810" spans="1:10" ht="12.75">
      <c r="A2810" s="2" t="s">
        <v>50</v>
      </c>
      <c r="B2810" s="2" t="s">
        <v>3786</v>
      </c>
      <c r="C2810" s="2" t="s">
        <v>24</v>
      </c>
      <c r="D2810" s="2" t="s">
        <v>3787</v>
      </c>
      <c r="E2810" s="2" t="s">
        <v>717</v>
      </c>
      <c r="F2810" s="11" t="s">
        <v>1510</v>
      </c>
      <c r="G2810" t="s">
        <v>37</v>
      </c>
      <c r="H2810" t="s">
        <v>1511</v>
      </c>
      <c r="I2810" t="s">
        <v>3941</v>
      </c>
      <c r="J2810" s="6" t="str">
        <f>HYPERLINK("https://www.biovista.com/db/link/%5B%5B%22Disease%7CSpinocerebellar%20Ataxia%20Type%203%22%5D,%20%5B%22Pathway%7Cneuroprotection%22%5D%5D?strength-weight-map=%257B%2522MEDLINE_STRENGTH_AB%2522:1.0,%2522HPO%2522:100.0%257D", "Show Evidence...")</f>
        <v>Show Evidence...</v>
      </c>
    </row>
    <row r="2811" spans="1:10" ht="12.75">
      <c r="A2811" s="2" t="s">
        <v>50</v>
      </c>
      <c r="B2811" s="2" t="s">
        <v>3786</v>
      </c>
      <c r="C2811" s="2" t="s">
        <v>24</v>
      </c>
      <c r="D2811" s="2" t="s">
        <v>3787</v>
      </c>
      <c r="E2811" s="2" t="s">
        <v>717</v>
      </c>
      <c r="F2811" s="11" t="s">
        <v>718</v>
      </c>
      <c r="G2811" t="s">
        <v>37</v>
      </c>
      <c r="H2811" t="s">
        <v>719</v>
      </c>
      <c r="I2811" t="s">
        <v>3943</v>
      </c>
      <c r="J2811" s="6" t="str">
        <f>HYPERLINK("https://www.biovista.com/db/link/%5B%5B%22Disease%7CSpinocerebellar%20Ataxia%20Type%203%22%5D,%20%5B%22Pathway%7Caging%22%5D%5D?strength-weight-map=%257B%2522MEDLINE_STRENGTH_AB%2522:1.0,%2522HPO%2522:100.0%257D", "Show Evidence...")</f>
        <v>Show Evidence...</v>
      </c>
    </row>
    <row r="2812" spans="1:10" ht="12.75">
      <c r="A2812" s="2" t="s">
        <v>50</v>
      </c>
      <c r="B2812" s="2" t="s">
        <v>3786</v>
      </c>
      <c r="C2812" s="2" t="s">
        <v>24</v>
      </c>
      <c r="D2812" s="2" t="s">
        <v>3787</v>
      </c>
      <c r="E2812" s="2" t="s">
        <v>704</v>
      </c>
      <c r="F2812" s="11" t="s">
        <v>726</v>
      </c>
      <c r="G2812" t="s">
        <v>37</v>
      </c>
      <c r="H2812" t="s">
        <v>727</v>
      </c>
      <c r="I2812" t="s">
        <v>3945</v>
      </c>
      <c r="J2812" s="6" t="str">
        <f>HYPERLINK("https://www.biovista.com/db/link/%5B%5B%22Disease%7CSpinocerebellar%20Ataxia%20Type%203%22%5D,%20%5B%22Pathway%7Ccognition%22%5D%5D?strength-weight-map=%257B%2522MEDLINE_STRENGTH_AB%2522:1.0,%2522HPO%2522:100.0%257D", "Show Evidence...")</f>
        <v>Show Evidence...</v>
      </c>
    </row>
    <row r="2813" spans="1:10" ht="12.75">
      <c r="A2813" s="2" t="s">
        <v>50</v>
      </c>
      <c r="B2813" s="2" t="s">
        <v>3786</v>
      </c>
      <c r="C2813" s="2" t="s">
        <v>24</v>
      </c>
      <c r="D2813" s="2" t="s">
        <v>3787</v>
      </c>
      <c r="E2813" s="2" t="s">
        <v>704</v>
      </c>
      <c r="F2813" s="11" t="s">
        <v>2876</v>
      </c>
      <c r="G2813" t="s">
        <v>37</v>
      </c>
      <c r="H2813" t="s">
        <v>2877</v>
      </c>
      <c r="I2813" t="s">
        <v>3946</v>
      </c>
      <c r="J2813" s="6" t="str">
        <f>HYPERLINK("https://www.biovista.com/db/link/%5B%5B%22Disease%7CSpinocerebellar%20Ataxia%20Type%203%22%5D,%20%5B%22Pathway%7CDNA%20repair%22%5D%5D?strength-weight-map=%257B%2522MEDLINE_STRENGTH_AB%2522:1.0,%2522HPO%2522:100.0%257D", "Show Evidence...")</f>
        <v>Show Evidence...</v>
      </c>
    </row>
    <row r="2814" spans="1:10" ht="12.75">
      <c r="A2814" s="2" t="s">
        <v>50</v>
      </c>
      <c r="B2814" s="2" t="s">
        <v>3786</v>
      </c>
      <c r="C2814" s="2" t="s">
        <v>24</v>
      </c>
      <c r="D2814" s="2" t="s">
        <v>3787</v>
      </c>
      <c r="E2814" s="2" t="s">
        <v>704</v>
      </c>
      <c r="F2814" s="11" t="s">
        <v>1491</v>
      </c>
      <c r="G2814" t="s">
        <v>37</v>
      </c>
      <c r="H2814" t="s">
        <v>1492</v>
      </c>
      <c r="I2814" t="s">
        <v>3946</v>
      </c>
      <c r="J2814" s="6" t="str">
        <f>HYPERLINK("https://www.biovista.com/db/link/%5B%5B%22Disease%7CSpinocerebellar%20Ataxia%20Type%203%22%5D,%20%5B%22Pathway%7Creactive%20gliosis%22%5D%5D?strength-weight-map=%257B%2522MEDLINE_STRENGTH_AB%2522:1.0,%2522HPO%2522:100.0%257D", "Show Evidence...")</f>
        <v>Show Evidence...</v>
      </c>
    </row>
    <row r="2815" spans="1:10" ht="12.75">
      <c r="A2815" s="2" t="s">
        <v>50</v>
      </c>
      <c r="B2815" s="2" t="s">
        <v>3786</v>
      </c>
      <c r="C2815" s="2" t="s">
        <v>24</v>
      </c>
      <c r="D2815" s="2" t="s">
        <v>3787</v>
      </c>
      <c r="E2815" s="2" t="s">
        <v>704</v>
      </c>
      <c r="F2815" s="11" t="s">
        <v>898</v>
      </c>
      <c r="G2815" t="s">
        <v>37</v>
      </c>
      <c r="H2815" t="s">
        <v>899</v>
      </c>
      <c r="I2815" t="s">
        <v>4079</v>
      </c>
      <c r="J2815" s="6" t="str">
        <f>HYPERLINK("https://www.biovista.com/db/link/%5B%5B%22Disease%7CSpinocerebellar%20Ataxia%20Type%203%22%5D,%20%5B%22Pathway%7Cnegative%20regulation%20of%20gene%20expression%22%5D%5D?strength-weight-map=%257B%2522MEDLINE_STRENGTH_AB%2522:1.0,%2522HPO%2522:100.0%257D", "Show Evidence...")</f>
        <v>Show Evidence...</v>
      </c>
    </row>
    <row r="2816" spans="1:10" ht="12.75">
      <c r="A2816" s="2" t="s">
        <v>50</v>
      </c>
      <c r="B2816" s="2" t="s">
        <v>3786</v>
      </c>
      <c r="C2816" s="2" t="s">
        <v>24</v>
      </c>
      <c r="D2816" s="2" t="s">
        <v>3787</v>
      </c>
      <c r="E2816" s="2" t="s">
        <v>704</v>
      </c>
      <c r="F2816" s="11" t="s">
        <v>2935</v>
      </c>
      <c r="G2816" t="s">
        <v>37</v>
      </c>
      <c r="H2816" t="s">
        <v>2936</v>
      </c>
      <c r="I2816" t="s">
        <v>3947</v>
      </c>
      <c r="J2816" s="6" t="str">
        <f>HYPERLINK("https://www.biovista.com/db/link/%5B%5B%22Disease%7CSpinocerebellar%20Ataxia%20Type%203%22%5D,%20%5B%22Pathway%7Cprotein%20catabolic%20process%22%5D%5D?strength-weight-map=%257B%2522MEDLINE_STRENGTH_AB%2522:1.0,%2522HPO%2522:100.0%257D", "Show Evidence...")</f>
        <v>Show Evidence...</v>
      </c>
    </row>
    <row r="2817" spans="1:10" ht="12.75">
      <c r="A2817" s="2" t="s">
        <v>50</v>
      </c>
      <c r="B2817" s="2" t="s">
        <v>3786</v>
      </c>
      <c r="C2817" s="2" t="s">
        <v>24</v>
      </c>
      <c r="D2817" s="2" t="s">
        <v>3787</v>
      </c>
      <c r="E2817" s="2" t="s">
        <v>704</v>
      </c>
      <c r="F2817" s="11" t="s">
        <v>737</v>
      </c>
      <c r="G2817" t="s">
        <v>37</v>
      </c>
      <c r="H2817" t="s">
        <v>738</v>
      </c>
      <c r="I2817" t="s">
        <v>3955</v>
      </c>
      <c r="J2817" s="6" t="str">
        <f>HYPERLINK("https://www.biovista.com/db/link/%5B%5B%22Disease%7CSpinocerebellar%20Ataxia%20Type%203%22%5D,%20%5B%22Pathway%7CmRNA%20cis%20splicing,%20via%20spliceosome%22%5D%5D?strength-weight-map=%257B%2522MEDLINE_STRENGTH_AB%2522:1.0,%2522HPO%2522:100.0%257D", "Show Evidence...")</f>
        <v>Show Evidence...</v>
      </c>
    </row>
    <row r="2818" spans="1:10" ht="12.75">
      <c r="A2818" s="2" t="s">
        <v>50</v>
      </c>
      <c r="B2818" s="2" t="s">
        <v>3786</v>
      </c>
      <c r="C2818" s="2" t="s">
        <v>24</v>
      </c>
      <c r="D2818" s="2" t="s">
        <v>3787</v>
      </c>
      <c r="E2818" s="2" t="s">
        <v>717</v>
      </c>
      <c r="F2818" s="11" t="s">
        <v>4149</v>
      </c>
      <c r="G2818" t="s">
        <v>37</v>
      </c>
      <c r="H2818" t="s">
        <v>4150</v>
      </c>
      <c r="I2818" t="s">
        <v>3955</v>
      </c>
      <c r="J2818" s="6" t="str">
        <f>HYPERLINK("https://www.biovista.com/db/link/%5B%5B%22Disease%7CSpinocerebellar%20Ataxia%20Type%203%22%5D,%20%5B%22Pathway%7Cneuron%20death%22%5D%5D?strength-weight-map=%257B%2522MEDLINE_STRENGTH_AB%2522:1.0,%2522HPO%2522:100.0%257D", "Show Evidence...")</f>
        <v>Show Evidence...</v>
      </c>
    </row>
    <row r="2819" spans="1:10" ht="12.75">
      <c r="A2819" s="2" t="s">
        <v>50</v>
      </c>
      <c r="B2819" s="2" t="s">
        <v>3786</v>
      </c>
      <c r="C2819" s="2" t="s">
        <v>24</v>
      </c>
      <c r="D2819" s="2" t="s">
        <v>3787</v>
      </c>
      <c r="E2819" s="2" t="s">
        <v>704</v>
      </c>
      <c r="F2819" s="11" t="s">
        <v>1534</v>
      </c>
      <c r="G2819" t="s">
        <v>37</v>
      </c>
      <c r="H2819" t="s">
        <v>1535</v>
      </c>
      <c r="I2819" t="s">
        <v>3958</v>
      </c>
      <c r="J2819" s="6" t="str">
        <f>HYPERLINK("https://www.biovista.com/db/link/%5B%5B%22Disease%7CSpinocerebellar%20Ataxia%20Type%203%22%5D,%20%5B%22Pathway%7Cpost-translational%20protein%20modification%22%5D%5D?strength-weight-map=%257B%2522MEDLINE_STRENGTH_AB%2522:1.0,%2522HPO%2522:100.0%257D", "Show Evidence...")</f>
        <v>Show Evidence...</v>
      </c>
    </row>
    <row r="2820" spans="1:10" ht="12.75">
      <c r="A2820" s="2" t="s">
        <v>50</v>
      </c>
      <c r="B2820" s="2" t="s">
        <v>3786</v>
      </c>
      <c r="C2820" s="2" t="s">
        <v>24</v>
      </c>
      <c r="D2820" s="2" t="s">
        <v>3787</v>
      </c>
      <c r="E2820" s="2" t="s">
        <v>704</v>
      </c>
      <c r="F2820" s="11" t="s">
        <v>4151</v>
      </c>
      <c r="G2820" t="s">
        <v>37</v>
      </c>
      <c r="H2820" t="s">
        <v>4152</v>
      </c>
      <c r="I2820" t="s">
        <v>3958</v>
      </c>
      <c r="J2820" s="6" t="str">
        <f>HYPERLINK("https://www.biovista.com/db/link/%5B%5B%22Disease%7CSpinocerebellar%20Ataxia%20Type%203%22%5D,%20%5B%22Pathway%7Cprotein%20deubiquitination%22%5D%5D?strength-weight-map=%257B%2522MEDLINE_STRENGTH_AB%2522:1.0,%2522HPO%2522:100.0%257D", "Show Evidence...")</f>
        <v>Show Evidence...</v>
      </c>
    </row>
    <row r="2821" spans="1:10" ht="12.75">
      <c r="A2821" s="2" t="s">
        <v>50</v>
      </c>
      <c r="B2821" s="2" t="s">
        <v>3786</v>
      </c>
      <c r="C2821" s="2" t="s">
        <v>24</v>
      </c>
      <c r="D2821" s="2" t="s">
        <v>3787</v>
      </c>
      <c r="E2821" s="2" t="s">
        <v>704</v>
      </c>
      <c r="F2821" s="11" t="s">
        <v>773</v>
      </c>
      <c r="G2821" t="s">
        <v>37</v>
      </c>
      <c r="H2821" t="s">
        <v>774</v>
      </c>
      <c r="I2821" t="s">
        <v>3963</v>
      </c>
      <c r="J2821" s="6" t="str">
        <f>HYPERLINK("https://www.biovista.com/db/link/%5B%5B%22Disease%7CSpinocerebellar%20Ataxia%20Type%203%22%5D,%20%5B%22Pathway%7Cmeiotic%20nuclear%20division%22%5D%5D?strength-weight-map=%257B%2522MEDLINE_STRENGTH_AB%2522:1.0,%2522HPO%2522:100.0%257D", "Show Evidence...")</f>
        <v>Show Evidence...</v>
      </c>
    </row>
    <row r="2822" spans="1:10" ht="12.75">
      <c r="A2822" s="2" t="s">
        <v>50</v>
      </c>
      <c r="B2822" s="2" t="s">
        <v>3786</v>
      </c>
      <c r="C2822" s="2" t="s">
        <v>24</v>
      </c>
      <c r="D2822" s="2" t="s">
        <v>3787</v>
      </c>
      <c r="E2822" s="2" t="s">
        <v>704</v>
      </c>
      <c r="F2822" s="11" t="s">
        <v>711</v>
      </c>
      <c r="G2822" t="s">
        <v>37</v>
      </c>
      <c r="H2822" t="s">
        <v>712</v>
      </c>
      <c r="I2822" t="s">
        <v>3972</v>
      </c>
      <c r="J2822" s="6" t="str">
        <f>HYPERLINK("https://www.biovista.com/db/link/%5B%5B%22Disease%7CSpinocerebellar%20Ataxia%20Type%203%22%5D,%20%5B%22Pathway%7Cinflammatory%20response%22%5D%5D?strength-weight-map=%257B%2522MEDLINE_STRENGTH_AB%2522:1.0,%2522HPO%2522:100.0%257D", "Show Evidence...")</f>
        <v>Show Evidence...</v>
      </c>
    </row>
    <row r="2823" spans="1:10" ht="12.75">
      <c r="A2823" s="2" t="s">
        <v>50</v>
      </c>
      <c r="B2823" s="2" t="s">
        <v>3786</v>
      </c>
      <c r="C2823" s="2" t="s">
        <v>24</v>
      </c>
      <c r="D2823" s="2" t="s">
        <v>3787</v>
      </c>
      <c r="E2823" s="2" t="s">
        <v>704</v>
      </c>
      <c r="F2823" s="11" t="s">
        <v>825</v>
      </c>
      <c r="G2823" t="s">
        <v>37</v>
      </c>
      <c r="H2823" t="s">
        <v>826</v>
      </c>
      <c r="I2823" t="s">
        <v>3975</v>
      </c>
      <c r="J2823" s="6" t="str">
        <f>HYPERLINK("https://www.biovista.com/db/link/%5B%5B%22Disease%7CSpinocerebellar%20Ataxia%20Type%203%22%5D,%20%5B%22Pathway%7Cprotein%20transport%22%5D%5D?strength-weight-map=%257B%2522MEDLINE_STRENGTH_AB%2522:1.0,%2522HPO%2522:100.0%257D", "Show Evidence...")</f>
        <v>Show Evidence...</v>
      </c>
    </row>
    <row r="2824" spans="1:10" ht="12.75">
      <c r="A2824" s="2" t="s">
        <v>50</v>
      </c>
      <c r="B2824" s="2" t="s">
        <v>3786</v>
      </c>
      <c r="C2824" s="2" t="s">
        <v>24</v>
      </c>
      <c r="D2824" s="2" t="s">
        <v>3787</v>
      </c>
      <c r="E2824" s="2" t="s">
        <v>704</v>
      </c>
      <c r="F2824" s="11" t="s">
        <v>755</v>
      </c>
      <c r="G2824" t="s">
        <v>37</v>
      </c>
      <c r="H2824" t="s">
        <v>756</v>
      </c>
      <c r="I2824" t="s">
        <v>3790</v>
      </c>
      <c r="J2824" s="6" t="s">
        <v>4153</v>
      </c>
    </row>
    <row r="2825" spans="1:10" ht="12.75">
      <c r="A2825" s="2" t="s">
        <v>50</v>
      </c>
      <c r="B2825" s="2" t="s">
        <v>3786</v>
      </c>
      <c r="C2825" s="2" t="s">
        <v>24</v>
      </c>
      <c r="D2825" s="2" t="s">
        <v>3787</v>
      </c>
      <c r="E2825" s="2" t="s">
        <v>704</v>
      </c>
      <c r="F2825" s="11" t="s">
        <v>789</v>
      </c>
      <c r="G2825" t="s">
        <v>37</v>
      </c>
      <c r="H2825" t="s">
        <v>790</v>
      </c>
      <c r="I2825" t="s">
        <v>3790</v>
      </c>
      <c r="J2825" s="6" t="str">
        <f>HYPERLINK("https://www.biovista.com/db/link/%5B%5B%22Disease%7CSpinocerebellar%20Ataxia%20Type%203%22%5D,%20%5B%22Pathway%7Clocomotion%22%5D%5D?strength-weight-map=%257B%2522MEDLINE_STRENGTH_AB%2522:1.0,%2522HPO%2522:100.0%257D", "Show Evidence...")</f>
        <v>Show Evidence...</v>
      </c>
    </row>
    <row r="2826" spans="1:10" ht="12.75">
      <c r="A2826" s="2" t="s">
        <v>50</v>
      </c>
      <c r="B2826" s="2" t="s">
        <v>3786</v>
      </c>
      <c r="C2826" s="2" t="s">
        <v>24</v>
      </c>
      <c r="D2826" s="2" t="s">
        <v>3787</v>
      </c>
      <c r="E2826" s="2" t="s">
        <v>704</v>
      </c>
      <c r="F2826" s="11" t="s">
        <v>705</v>
      </c>
      <c r="G2826" t="s">
        <v>37</v>
      </c>
      <c r="H2826" t="s">
        <v>706</v>
      </c>
      <c r="I2826" t="s">
        <v>3790</v>
      </c>
      <c r="J2826" s="6" t="str">
        <f>HYPERLINK("https://www.biovista.com/db/link/%5B%5B%22Disease%7CSpinocerebellar%20Ataxia%20Type%203%22%5D,%20%5B%22Pathway%7Cswimming%22%5D%5D?strength-weight-map=%257B%2522MEDLINE_STRENGTH_AB%2522:1.0,%2522HPO%2522:100.0%257D", "Show Evidence...")</f>
        <v>Show Evidence...</v>
      </c>
    </row>
    <row r="2827" spans="1:10" ht="12.75">
      <c r="A2827" s="2" t="s">
        <v>50</v>
      </c>
      <c r="B2827" s="2" t="s">
        <v>3786</v>
      </c>
      <c r="C2827" s="2" t="s">
        <v>24</v>
      </c>
      <c r="D2827" s="2" t="s">
        <v>3787</v>
      </c>
      <c r="E2827" s="2" t="s">
        <v>704</v>
      </c>
      <c r="F2827" s="11" t="s">
        <v>886</v>
      </c>
      <c r="G2827" t="s">
        <v>37</v>
      </c>
      <c r="H2827" t="s">
        <v>887</v>
      </c>
      <c r="I2827" t="s">
        <v>3982</v>
      </c>
      <c r="J2827" s="6" t="str">
        <f>HYPERLINK("https://www.biovista.com/db/link/%5B%5B%22Disease%7CSpinocerebellar%20Ataxia%20Type%203%22%5D,%20%5B%22Pathway%7Ccalcium-mediated%20signaling%22%5D%5D?strength-weight-map=%257B%2522MEDLINE_STRENGTH_AB%2522:1.0,%2522HPO%2522:100.0%257D", "Show Evidence...")</f>
        <v>Show Evidence...</v>
      </c>
    </row>
    <row r="2828" spans="1:10" ht="12.75">
      <c r="A2828" s="2" t="s">
        <v>50</v>
      </c>
      <c r="B2828" s="2" t="s">
        <v>3786</v>
      </c>
      <c r="C2828" s="2" t="s">
        <v>24</v>
      </c>
      <c r="D2828" s="2" t="s">
        <v>3787</v>
      </c>
      <c r="E2828" s="2" t="s">
        <v>704</v>
      </c>
      <c r="F2828" s="11" t="s">
        <v>708</v>
      </c>
      <c r="G2828" t="s">
        <v>37</v>
      </c>
      <c r="H2828" t="s">
        <v>709</v>
      </c>
      <c r="I2828" t="s">
        <v>3982</v>
      </c>
      <c r="J2828" s="6" t="str">
        <f>HYPERLINK("https://www.biovista.com/db/link/%5B%5B%22Disease%7CSpinocerebellar%20Ataxia%20Type%203%22%5D,%20%5B%22Pathway%7Cchemical%20synaptic%20transmission%22%5D%5D?strength-weight-map=%257B%2522MEDLINE_STRENGTH_AB%2522:1.0,%2522HPO%2522:100.0%257D", "Show Evidence...")</f>
        <v>Show Evidence...</v>
      </c>
    </row>
    <row r="2829" spans="1:10" ht="12.75">
      <c r="A2829" s="2" t="s">
        <v>50</v>
      </c>
      <c r="B2829" s="2" t="s">
        <v>3786</v>
      </c>
      <c r="C2829" s="2" t="s">
        <v>24</v>
      </c>
      <c r="D2829" s="2" t="s">
        <v>3787</v>
      </c>
      <c r="E2829" s="2" t="s">
        <v>704</v>
      </c>
      <c r="F2829" s="11" t="s">
        <v>2352</v>
      </c>
      <c r="G2829" t="s">
        <v>37</v>
      </c>
      <c r="H2829" t="s">
        <v>2353</v>
      </c>
      <c r="I2829" t="s">
        <v>3982</v>
      </c>
      <c r="J2829" s="6" t="str">
        <f>HYPERLINK("https://www.biovista.com/db/link/%5B%5B%22Disease%7CSpinocerebellar%20Ataxia%20Type%203%22%5D,%20%5B%22Pathway%7Cglucose%20metabolic%20process%22%5D%5D?strength-weight-map=%257B%2522MEDLINE_STRENGTH_AB%2522:1.0,%2522HPO%2522:100.0%257D", "Show Evidence...")</f>
        <v>Show Evidence...</v>
      </c>
    </row>
    <row r="2830" spans="1:10" ht="12.75">
      <c r="A2830" s="2" t="s">
        <v>50</v>
      </c>
      <c r="B2830" s="2" t="s">
        <v>3786</v>
      </c>
      <c r="C2830" s="2" t="s">
        <v>24</v>
      </c>
      <c r="D2830" s="2" t="s">
        <v>3787</v>
      </c>
      <c r="E2830" s="2" t="s">
        <v>704</v>
      </c>
      <c r="F2830" s="11" t="s">
        <v>2324</v>
      </c>
      <c r="G2830" t="s">
        <v>37</v>
      </c>
      <c r="H2830" t="s">
        <v>2325</v>
      </c>
      <c r="I2830" t="s">
        <v>3791</v>
      </c>
      <c r="J2830" s="6" t="str">
        <f>HYPERLINK("https://www.biovista.com/db/link/%5B%5B%22Disease%7CSpinocerebellar%20Ataxia%20Type%203%22%5D,%20%5B%22Pathway%7Cprotein%20complex%20oligomerization%22%5D%5D?strength-weight-map=%257B%2522MEDLINE_STRENGTH_AB%2522:1.0,%2522HPO%2522:100.0%257D", "Show Evidence...")</f>
        <v>Show Evidence...</v>
      </c>
    </row>
    <row r="2831" spans="1:10" ht="12.75">
      <c r="A2831" s="2" t="s">
        <v>50</v>
      </c>
      <c r="B2831" s="2" t="s">
        <v>3786</v>
      </c>
      <c r="C2831" s="2" t="s">
        <v>24</v>
      </c>
      <c r="D2831" s="2" t="s">
        <v>3787</v>
      </c>
      <c r="E2831" s="2" t="s">
        <v>704</v>
      </c>
      <c r="F2831" s="11" t="s">
        <v>4154</v>
      </c>
      <c r="G2831" t="s">
        <v>37</v>
      </c>
      <c r="H2831" t="s">
        <v>4155</v>
      </c>
      <c r="I2831" t="s">
        <v>3791</v>
      </c>
      <c r="J2831" s="6" t="str">
        <f>HYPERLINK("https://www.biovista.com/db/link/%5B%5B%22Disease%7CSpinocerebellar%20Ataxia%20Type%203%22%5D,%20%5B%22Pathway%7Cprotein%20denaturation%22%5D%5D?strength-weight-map=%257B%2522MEDLINE_STRENGTH_AB%2522:1.0,%2522HPO%2522:100.0%257D", "Show Evidence...")</f>
        <v>Show Evidence...</v>
      </c>
    </row>
    <row r="2832" spans="1:10" ht="12.75">
      <c r="A2832" s="2" t="s">
        <v>50</v>
      </c>
      <c r="B2832" s="2" t="s">
        <v>3786</v>
      </c>
      <c r="C2832" s="2" t="s">
        <v>24</v>
      </c>
      <c r="D2832" s="2" t="s">
        <v>3787</v>
      </c>
      <c r="E2832" s="2" t="s">
        <v>704</v>
      </c>
      <c r="F2832" s="11" t="s">
        <v>4156</v>
      </c>
      <c r="G2832" t="s">
        <v>37</v>
      </c>
      <c r="H2832" t="s">
        <v>4157</v>
      </c>
      <c r="I2832" t="s">
        <v>3791</v>
      </c>
      <c r="J2832" s="6" t="str">
        <f>HYPERLINK("https://www.biovista.com/db/link/%5B%5B%22Disease%7CSpinocerebellar%20Ataxia%20Type%203%22%5D,%20%5B%22Pathway%7Cprotein%20ubiquitination%22%5D%5D?strength-weight-map=%257B%2522MEDLINE_STRENGTH_AB%2522:1.0,%2522HPO%2522:100.0%257D", "Show Evidence...")</f>
        <v>Show Evidence...</v>
      </c>
    </row>
    <row r="2833" spans="1:10" ht="12.75">
      <c r="A2833" s="2" t="s">
        <v>50</v>
      </c>
      <c r="B2833" s="2" t="s">
        <v>3786</v>
      </c>
      <c r="C2833" s="2" t="s">
        <v>24</v>
      </c>
      <c r="D2833" s="2" t="s">
        <v>3787</v>
      </c>
      <c r="E2833" s="2" t="s">
        <v>704</v>
      </c>
      <c r="F2833" s="11" t="s">
        <v>783</v>
      </c>
      <c r="G2833" t="s">
        <v>37</v>
      </c>
      <c r="H2833" t="s">
        <v>784</v>
      </c>
      <c r="I2833" t="s">
        <v>3791</v>
      </c>
      <c r="J2833" s="6" t="str">
        <f>HYPERLINK("https://www.biovista.com/db/link/%5B%5B%22Disease%7CSpinocerebellar%20Ataxia%20Type%203%22%5D,%20%5B%22Pathway%7Cvisual%20perception%22%5D%5D?strength-weight-map=%257B%2522MEDLINE_STRENGTH_AB%2522:1.0,%2522HPO%2522:100.0%257D", "Show Evidence...")</f>
        <v>Show Evidence...</v>
      </c>
    </row>
    <row r="2834" spans="1:10" ht="12.75">
      <c r="A2834" s="2" t="s">
        <v>50</v>
      </c>
      <c r="B2834" s="2" t="s">
        <v>3786</v>
      </c>
      <c r="C2834" s="2" t="s">
        <v>24</v>
      </c>
      <c r="D2834" s="2" t="s">
        <v>3787</v>
      </c>
      <c r="E2834" s="2" t="s">
        <v>704</v>
      </c>
      <c r="F2834" s="11" t="s">
        <v>733</v>
      </c>
      <c r="G2834" t="s">
        <v>37</v>
      </c>
      <c r="H2834" t="s">
        <v>734</v>
      </c>
      <c r="I2834" t="s">
        <v>3795</v>
      </c>
      <c r="J2834" s="6" t="str">
        <f>HYPERLINK("https://www.biovista.com/db/link/%5B%5B%22Disease%7CSpinocerebellar%20Ataxia%20Type%203%22%5D,%20%5B%22Pathway%7Ccellular%20respiration%22%5D%5D?strength-weight-map=%257B%2522MEDLINE_STRENGTH_AB%2522:1.0,%2522HPO%2522:100.0%257D", "Show Evidence...")</f>
        <v>Show Evidence...</v>
      </c>
    </row>
    <row r="2835" spans="1:10" ht="12.75">
      <c r="A2835" s="2" t="s">
        <v>50</v>
      </c>
      <c r="B2835" s="2" t="s">
        <v>3786</v>
      </c>
      <c r="C2835" s="2" t="s">
        <v>24</v>
      </c>
      <c r="D2835" s="2" t="s">
        <v>3787</v>
      </c>
      <c r="E2835" s="2" t="s">
        <v>704</v>
      </c>
      <c r="F2835" s="11" t="s">
        <v>764</v>
      </c>
      <c r="G2835" t="s">
        <v>37</v>
      </c>
      <c r="H2835" t="s">
        <v>765</v>
      </c>
      <c r="I2835" t="s">
        <v>3795</v>
      </c>
      <c r="J2835" s="6" t="str">
        <f>HYPERLINK("https://www.biovista.com/db/link/%5B%5B%22Disease%7CSpinocerebellar%20Ataxia%20Type%203%22%5D,%20%5B%22Pathway%7Cmethylation%22%5D%5D?strength-weight-map=%257B%2522MEDLINE_STRENGTH_AB%2522:1.0,%2522HPO%2522:100.0%257D", "Show Evidence...")</f>
        <v>Show Evidence...</v>
      </c>
    </row>
    <row r="2836" spans="1:10" ht="12.75">
      <c r="A2836" s="2" t="s">
        <v>50</v>
      </c>
      <c r="B2836" s="2" t="s">
        <v>3786</v>
      </c>
      <c r="C2836" s="2" t="s">
        <v>24</v>
      </c>
      <c r="D2836" s="2" t="s">
        <v>3787</v>
      </c>
      <c r="E2836" s="2" t="s">
        <v>704</v>
      </c>
      <c r="F2836" s="11" t="s">
        <v>4158</v>
      </c>
      <c r="G2836" t="s">
        <v>37</v>
      </c>
      <c r="H2836" t="s">
        <v>4159</v>
      </c>
      <c r="I2836" t="s">
        <v>3795</v>
      </c>
      <c r="J2836" s="6" t="str">
        <f>HYPERLINK("https://www.biovista.com/db/link/%5B%5B%22Disease%7CSpinocerebellar%20Ataxia%20Type%203%22%5D,%20%5B%22Pathway%7Cmotor%20behavior%22%5D%5D?strength-weight-map=%257B%2522MEDLINE_STRENGTH_AB%2522:1.0,%2522HPO%2522:100.0%257D", "Show Evidence...")</f>
        <v>Show Evidence...</v>
      </c>
    </row>
    <row r="2837" spans="1:10" ht="12.75">
      <c r="A2837" s="2" t="s">
        <v>50</v>
      </c>
      <c r="B2837" s="2" t="s">
        <v>3786</v>
      </c>
      <c r="C2837" s="2" t="s">
        <v>24</v>
      </c>
      <c r="D2837" s="2" t="s">
        <v>3787</v>
      </c>
      <c r="E2837" s="2" t="s">
        <v>704</v>
      </c>
      <c r="F2837" s="11" t="s">
        <v>4160</v>
      </c>
      <c r="G2837" t="s">
        <v>37</v>
      </c>
      <c r="H2837" t="s">
        <v>4161</v>
      </c>
      <c r="I2837" t="s">
        <v>3795</v>
      </c>
      <c r="J2837" s="6" t="str">
        <f>HYPERLINK("https://www.biovista.com/db/link/%5B%5B%22Disease%7CSpinocerebellar%20Ataxia%20Type%203%22%5D,%20%5B%22Pathway%7Cprotein%20sumoylation%22%5D%5D?strength-weight-map=%257B%2522MEDLINE_STRENGTH_AB%2522:1.0,%2522HPO%2522:100.0%257D", "Show Evidence...")</f>
        <v>Show Evidence...</v>
      </c>
    </row>
    <row r="2838" spans="1:10" ht="12.75">
      <c r="A2838" s="2" t="s">
        <v>50</v>
      </c>
      <c r="B2838" s="2" t="s">
        <v>3786</v>
      </c>
      <c r="C2838" s="2" t="s">
        <v>24</v>
      </c>
      <c r="D2838" s="2" t="s">
        <v>3787</v>
      </c>
      <c r="E2838" s="2" t="s">
        <v>704</v>
      </c>
      <c r="F2838" s="11" t="s">
        <v>862</v>
      </c>
      <c r="G2838" t="s">
        <v>37</v>
      </c>
      <c r="H2838" t="s">
        <v>863</v>
      </c>
      <c r="I2838" t="s">
        <v>3795</v>
      </c>
      <c r="J2838" s="6" t="str">
        <f>HYPERLINK("https://www.biovista.com/db/link/%5B%5B%22Disease%7CSpinocerebellar%20Ataxia%20Type%203%22%5D,%20%5B%22Pathway%7Creflex%22%5D%5D?strength-weight-map=%257B%2522MEDLINE_STRENGTH_AB%2522:1.0,%2522HPO%2522:100.0%257D", "Show Evidence...")</f>
        <v>Show Evidence...</v>
      </c>
    </row>
    <row r="2839" spans="1:10" ht="12.75">
      <c r="A2839" s="2" t="s">
        <v>50</v>
      </c>
      <c r="B2839" s="2" t="s">
        <v>3786</v>
      </c>
      <c r="C2839" s="2" t="s">
        <v>24</v>
      </c>
      <c r="D2839" s="2" t="s">
        <v>3787</v>
      </c>
      <c r="E2839" s="2" t="s">
        <v>704</v>
      </c>
      <c r="F2839" s="11" t="s">
        <v>918</v>
      </c>
      <c r="G2839" t="s">
        <v>37</v>
      </c>
      <c r="H2839" t="s">
        <v>919</v>
      </c>
      <c r="I2839" t="s">
        <v>3795</v>
      </c>
      <c r="J2839" s="6" t="str">
        <f>HYPERLINK("https://www.biovista.com/db/link/%5B%5B%22Disease%7CSpinocerebellar%20Ataxia%20Type%203%22%5D,%20%5B%22Pathway%7Csegmentation%22%5D%5D?strength-weight-map=%257B%2522MEDLINE_STRENGTH_AB%2522:1.0,%2522HPO%2522:100.0%257D", "Show Evidence...")</f>
        <v>Show Evidence...</v>
      </c>
    </row>
    <row r="2840" spans="1:10" ht="12.75">
      <c r="A2840" s="2" t="s">
        <v>50</v>
      </c>
      <c r="B2840" s="2" t="s">
        <v>3786</v>
      </c>
      <c r="C2840" s="2" t="s">
        <v>24</v>
      </c>
      <c r="D2840" s="2" t="s">
        <v>3787</v>
      </c>
      <c r="E2840" s="2" t="s">
        <v>704</v>
      </c>
      <c r="F2840" s="11" t="s">
        <v>735</v>
      </c>
      <c r="G2840" t="s">
        <v>37</v>
      </c>
      <c r="H2840" t="s">
        <v>736</v>
      </c>
      <c r="I2840" t="s">
        <v>3795</v>
      </c>
      <c r="J2840" s="6" t="str">
        <f>HYPERLINK("https://www.biovista.com/db/link/%5B%5B%22Disease%7CSpinocerebellar%20Ataxia%20Type%203%22%5D,%20%5B%22Pathway%7Csignal%20transduction%22%5D%5D?strength-weight-map=%257B%2522MEDLINE_STRENGTH_AB%2522:1.0,%2522HPO%2522:100.0%257D", "Show Evidence...")</f>
        <v>Show Evidence...</v>
      </c>
    </row>
    <row r="2841" spans="1:10" ht="12.75">
      <c r="A2841" s="2" t="s">
        <v>50</v>
      </c>
      <c r="B2841" s="2" t="s">
        <v>3786</v>
      </c>
      <c r="C2841" s="2" t="s">
        <v>24</v>
      </c>
      <c r="D2841" s="2" t="s">
        <v>3787</v>
      </c>
      <c r="E2841" s="2" t="s">
        <v>704</v>
      </c>
      <c r="F2841" s="11" t="s">
        <v>741</v>
      </c>
      <c r="G2841" t="s">
        <v>37</v>
      </c>
      <c r="H2841" t="s">
        <v>742</v>
      </c>
      <c r="I2841" t="s">
        <v>3802</v>
      </c>
      <c r="J2841" s="6" t="str">
        <f>HYPERLINK("https://www.biovista.com/db/link/%5B%5B%22Disease%7CSpinocerebellar%20Ataxia%20Type%203%22%5D,%20%5B%22Pathway%7Cexploration%20behavior%22%5D%5D?strength-weight-map=%257B%2522MEDLINE_STRENGTH_AB%2522:1.0,%2522HPO%2522:100.0%257D", "Show Evidence...")</f>
        <v>Show Evidence...</v>
      </c>
    </row>
    <row r="2842" spans="1:10" ht="12.75">
      <c r="A2842" s="2" t="s">
        <v>50</v>
      </c>
      <c r="B2842" s="2" t="s">
        <v>3786</v>
      </c>
      <c r="C2842" s="2" t="s">
        <v>24</v>
      </c>
      <c r="D2842" s="2" t="s">
        <v>3787</v>
      </c>
      <c r="E2842" s="2" t="s">
        <v>717</v>
      </c>
      <c r="F2842" s="11" t="s">
        <v>4162</v>
      </c>
      <c r="G2842" t="s">
        <v>37</v>
      </c>
      <c r="H2842" t="s">
        <v>4163</v>
      </c>
      <c r="I2842" t="s">
        <v>3802</v>
      </c>
      <c r="J2842" s="6" t="str">
        <f>HYPERLINK("https://www.biovista.com/db/link/%5B%5B%22Disease%7CSpinocerebellar%20Ataxia%20Type%203%22%5D,%20%5B%22Pathway%7Chistone%20acetylation%22%5D%5D?strength-weight-map=%257B%2522MEDLINE_STRENGTH_AB%2522:1.0,%2522HPO%2522:100.0%257D", "Show Evidence...")</f>
        <v>Show Evidence...</v>
      </c>
    </row>
    <row r="2843" spans="1:10" ht="12.75">
      <c r="A2843" s="2" t="s">
        <v>50</v>
      </c>
      <c r="B2843" s="2" t="s">
        <v>3786</v>
      </c>
      <c r="C2843" s="2" t="s">
        <v>24</v>
      </c>
      <c r="D2843" s="2" t="s">
        <v>3787</v>
      </c>
      <c r="E2843" s="2" t="s">
        <v>704</v>
      </c>
      <c r="F2843" s="11" t="s">
        <v>4164</v>
      </c>
      <c r="G2843" t="s">
        <v>37</v>
      </c>
      <c r="H2843" t="s">
        <v>4165</v>
      </c>
      <c r="I2843" t="s">
        <v>3802</v>
      </c>
      <c r="J2843" s="6" t="str">
        <f>HYPERLINK("https://www.biovista.com/db/link/%5B%5B%22Disease%7CSpinocerebellar%20Ataxia%20Type%203%22%5D,%20%5B%22Pathway%7Cmotor%20learning%22%5D%5D?strength-weight-map=%257B%2522MEDLINE_STRENGTH_AB%2522:1.0,%2522HPO%2522:100.0%257D", "Show Evidence...")</f>
        <v>Show Evidence...</v>
      </c>
    </row>
    <row r="2844" spans="1:10" ht="12.75">
      <c r="A2844" s="2" t="s">
        <v>50</v>
      </c>
      <c r="B2844" s="2" t="s">
        <v>3786</v>
      </c>
      <c r="C2844" s="2" t="s">
        <v>24</v>
      </c>
      <c r="D2844" s="2" t="s">
        <v>3787</v>
      </c>
      <c r="E2844" s="2" t="s">
        <v>704</v>
      </c>
      <c r="F2844" s="11" t="s">
        <v>1556</v>
      </c>
      <c r="G2844" t="s">
        <v>37</v>
      </c>
      <c r="H2844" t="s">
        <v>1557</v>
      </c>
      <c r="I2844" t="s">
        <v>3802</v>
      </c>
      <c r="J2844" s="6" t="str">
        <f>HYPERLINK("https://www.biovista.com/db/link/%5B%5B%22Disease%7CSpinocerebellar%20Ataxia%20Type%203%22%5D,%20%5B%22Pathway%7Cmuscle%20atrophy%22%5D%5D?strength-weight-map=%257B%2522MEDLINE_STRENGTH_AB%2522:1.0,%2522HPO%2522:100.0%257D", "Show Evidence...")</f>
        <v>Show Evidence...</v>
      </c>
    </row>
    <row r="2845" spans="1:10" ht="12.75">
      <c r="A2845" s="2" t="s">
        <v>50</v>
      </c>
      <c r="B2845" s="2" t="s">
        <v>3786</v>
      </c>
      <c r="C2845" s="2" t="s">
        <v>24</v>
      </c>
      <c r="D2845" s="2" t="s">
        <v>3787</v>
      </c>
      <c r="E2845" s="2" t="s">
        <v>704</v>
      </c>
      <c r="F2845" s="11" t="s">
        <v>2919</v>
      </c>
      <c r="G2845" t="s">
        <v>37</v>
      </c>
      <c r="H2845" t="s">
        <v>2920</v>
      </c>
      <c r="I2845" t="s">
        <v>3802</v>
      </c>
      <c r="J2845" s="6" t="str">
        <f>HYPERLINK("https://www.biovista.com/db/link/%5B%5B%22Disease%7CSpinocerebellar%20Ataxia%20Type%203%22%5D,%20%5B%22Pathway%7Cnuclear%20export%22%5D%5D?strength-weight-map=%257B%2522MEDLINE_STRENGTH_AB%2522:1.0,%2522HPO%2522:100.0%257D", "Show Evidence...")</f>
        <v>Show Evidence...</v>
      </c>
    </row>
    <row r="2846" spans="1:10" ht="12.75">
      <c r="A2846" s="2" t="s">
        <v>50</v>
      </c>
      <c r="B2846" s="2" t="s">
        <v>3786</v>
      </c>
      <c r="C2846" s="2" t="s">
        <v>24</v>
      </c>
      <c r="D2846" s="2" t="s">
        <v>3787</v>
      </c>
      <c r="E2846" s="2" t="s">
        <v>704</v>
      </c>
      <c r="F2846" s="11" t="s">
        <v>908</v>
      </c>
      <c r="G2846" t="s">
        <v>37</v>
      </c>
      <c r="H2846" t="s">
        <v>909</v>
      </c>
      <c r="I2846" t="s">
        <v>3805</v>
      </c>
      <c r="J2846" s="6" t="str">
        <f>HYPERLINK("https://www.biovista.com/db/link/%5B%5B%22Disease%7CSpinocerebellar%20Ataxia%20Type%203%22%5D,%20%5B%22Pathway%7Ccell%20growth%22%5D%5D?strength-weight-map=%257B%2522MEDLINE_STRENGTH_AB%2522:1.0,%2522HPO%2522:100.0%257D", "Show Evidence...")</f>
        <v>Show Evidence...</v>
      </c>
    </row>
    <row r="2847" spans="1:10" ht="12.75">
      <c r="A2847" s="2" t="s">
        <v>50</v>
      </c>
      <c r="B2847" s="2" t="s">
        <v>3786</v>
      </c>
      <c r="C2847" s="2" t="s">
        <v>24</v>
      </c>
      <c r="D2847" s="2" t="s">
        <v>3787</v>
      </c>
      <c r="E2847" s="2" t="s">
        <v>704</v>
      </c>
      <c r="F2847" s="11" t="s">
        <v>2907</v>
      </c>
      <c r="G2847" t="s">
        <v>37</v>
      </c>
      <c r="H2847" t="s">
        <v>2908</v>
      </c>
      <c r="I2847" t="s">
        <v>3805</v>
      </c>
      <c r="J2847" s="6" t="str">
        <f>HYPERLINK("https://www.biovista.com/db/link/%5B%5B%22Disease%7CSpinocerebellar%20Ataxia%20Type%203%22%5D,%20%5B%22Pathway%7Ccellular%20localization%22%5D%5D?strength-weight-map=%257B%2522MEDLINE_STRENGTH_AB%2522:1.0,%2522HPO%2522:100.0%257D", "Show Evidence...")</f>
        <v>Show Evidence...</v>
      </c>
    </row>
    <row r="2848" spans="1:10" ht="12.75">
      <c r="A2848" s="2" t="s">
        <v>50</v>
      </c>
      <c r="B2848" s="2" t="s">
        <v>3786</v>
      </c>
      <c r="C2848" s="2" t="s">
        <v>24</v>
      </c>
      <c r="D2848" s="2" t="s">
        <v>3787</v>
      </c>
      <c r="E2848" s="2" t="s">
        <v>704</v>
      </c>
      <c r="F2848" s="11" t="s">
        <v>823</v>
      </c>
      <c r="G2848" t="s">
        <v>37</v>
      </c>
      <c r="H2848" t="s">
        <v>824</v>
      </c>
      <c r="I2848" t="s">
        <v>3805</v>
      </c>
      <c r="J2848" s="6" t="str">
        <f>HYPERLINK("https://www.biovista.com/db/link/%5B%5B%22Disease%7CSpinocerebellar%20Ataxia%20Type%203%22%5D,%20%5B%22Pathway%7Cglycolytic%20process%22%5D%5D?strength-weight-map=%257B%2522MEDLINE_STRENGTH_AB%2522:1.0,%2522HPO%2522:100.0%257D", "Show Evidence...")</f>
        <v>Show Evidence...</v>
      </c>
    </row>
    <row r="2849" spans="1:10" ht="12.75">
      <c r="A2849" s="2" t="s">
        <v>50</v>
      </c>
      <c r="B2849" s="2" t="s">
        <v>3786</v>
      </c>
      <c r="C2849" s="2" t="s">
        <v>24</v>
      </c>
      <c r="D2849" s="2" t="s">
        <v>3787</v>
      </c>
      <c r="E2849" s="2" t="s">
        <v>704</v>
      </c>
      <c r="F2849" s="11" t="s">
        <v>1472</v>
      </c>
      <c r="G2849" t="s">
        <v>37</v>
      </c>
      <c r="H2849" t="s">
        <v>1473</v>
      </c>
      <c r="I2849" t="s">
        <v>3805</v>
      </c>
      <c r="J2849" s="6" t="str">
        <f>HYPERLINK("https://www.biovista.com/db/link/%5B%5B%22Disease%7CSpinocerebellar%20Ataxia%20Type%203%22%5D,%20%5B%22Pathway%7Cmyelination%22%5D%5D?strength-weight-map=%257B%2522MEDLINE_STRENGTH_AB%2522:1.0,%2522HPO%2522:100.0%257D", "Show Evidence...")</f>
        <v>Show Evidence...</v>
      </c>
    </row>
    <row r="2850" spans="1:10" ht="12.75">
      <c r="A2850" s="2" t="s">
        <v>50</v>
      </c>
      <c r="B2850" s="2" t="s">
        <v>3786</v>
      </c>
      <c r="C2850" s="2" t="s">
        <v>24</v>
      </c>
      <c r="D2850" s="2" t="s">
        <v>3787</v>
      </c>
      <c r="E2850" s="2" t="s">
        <v>704</v>
      </c>
      <c r="F2850" s="11" t="s">
        <v>2953</v>
      </c>
      <c r="G2850" t="s">
        <v>37</v>
      </c>
      <c r="H2850" t="s">
        <v>2954</v>
      </c>
      <c r="I2850" t="s">
        <v>3805</v>
      </c>
      <c r="J2850" s="6" t="str">
        <f>HYPERLINK("https://www.biovista.com/db/link/%5B%5B%22Disease%7CSpinocerebellar%20Ataxia%20Type%203%22%5D,%20%5B%22Pathway%7Cneuron%20projection%20development%22%5D%5D?strength-weight-map=%257B%2522MEDLINE_STRENGTH_AB%2522:1.0,%2522HPO%2522:100.0%257D", "Show Evidence...")</f>
        <v>Show Evidence...</v>
      </c>
    </row>
    <row r="2851" spans="1:10" ht="12.75">
      <c r="A2851" s="2" t="s">
        <v>50</v>
      </c>
      <c r="B2851" s="2" t="s">
        <v>3786</v>
      </c>
      <c r="C2851" s="2" t="s">
        <v>24</v>
      </c>
      <c r="D2851" s="2" t="s">
        <v>3787</v>
      </c>
      <c r="E2851" s="2" t="s">
        <v>704</v>
      </c>
      <c r="F2851" s="11" t="s">
        <v>4166</v>
      </c>
      <c r="G2851" t="s">
        <v>37</v>
      </c>
      <c r="H2851" t="s">
        <v>4167</v>
      </c>
      <c r="I2851" t="s">
        <v>3805</v>
      </c>
      <c r="J2851" s="6" t="s">
        <v>4168</v>
      </c>
    </row>
    <row r="2852" spans="1:10" ht="12.75">
      <c r="A2852" s="2" t="s">
        <v>50</v>
      </c>
      <c r="B2852" s="2" t="s">
        <v>3786</v>
      </c>
      <c r="C2852" s="2" t="s">
        <v>24</v>
      </c>
      <c r="D2852" s="2" t="s">
        <v>3787</v>
      </c>
      <c r="E2852" s="2" t="s">
        <v>704</v>
      </c>
      <c r="F2852" s="11" t="s">
        <v>4169</v>
      </c>
      <c r="G2852" t="s">
        <v>37</v>
      </c>
      <c r="H2852" t="s">
        <v>4170</v>
      </c>
      <c r="I2852" t="s">
        <v>3810</v>
      </c>
      <c r="J2852" s="6" t="str">
        <f>HYPERLINK("https://www.biovista.com/db/link/%5B%5B%22Disease%7CSpinocerebellar%20Ataxia%20Type%203%22%5D,%20%5B%22Pathway%7Caxonal%20transport%22%5D%5D?strength-weight-map=%257B%2522MEDLINE_STRENGTH_AB%2522:1.0,%2522HPO%2522:100.0%257D", "Show Evidence...")</f>
        <v>Show Evidence...</v>
      </c>
    </row>
    <row r="2853" spans="1:10" ht="12.75">
      <c r="A2853" s="2" t="s">
        <v>50</v>
      </c>
      <c r="B2853" s="2" t="s">
        <v>3786</v>
      </c>
      <c r="C2853" s="2" t="s">
        <v>24</v>
      </c>
      <c r="D2853" s="2" t="s">
        <v>3787</v>
      </c>
      <c r="E2853" s="2" t="s">
        <v>704</v>
      </c>
      <c r="F2853" s="11" t="s">
        <v>2328</v>
      </c>
      <c r="G2853" t="s">
        <v>37</v>
      </c>
      <c r="H2853" t="s">
        <v>2329</v>
      </c>
      <c r="I2853" t="s">
        <v>3810</v>
      </c>
      <c r="J2853" s="6" t="str">
        <f>HYPERLINK("https://www.biovista.com/db/link/%5B%5B%22Disease%7CSpinocerebellar%20Ataxia%20Type%203%22%5D,%20%5B%22Pathway%7Ccellular%20homeostasis%22%5D%5D?strength-weight-map=%257B%2522MEDLINE_STRENGTH_AB%2522:1.0,%2522HPO%2522:100.0%257D", "Show Evidence...")</f>
        <v>Show Evidence...</v>
      </c>
    </row>
    <row r="2854" spans="1:10" ht="12.75">
      <c r="A2854" s="2" t="s">
        <v>50</v>
      </c>
      <c r="B2854" s="2" t="s">
        <v>3786</v>
      </c>
      <c r="C2854" s="2" t="s">
        <v>24</v>
      </c>
      <c r="D2854" s="2" t="s">
        <v>3787</v>
      </c>
      <c r="E2854" s="2" t="s">
        <v>704</v>
      </c>
      <c r="F2854" s="11" t="s">
        <v>4171</v>
      </c>
      <c r="G2854" t="s">
        <v>37</v>
      </c>
      <c r="H2854" t="s">
        <v>4172</v>
      </c>
      <c r="I2854" t="s">
        <v>3810</v>
      </c>
      <c r="J2854" s="6" t="str">
        <f>HYPERLINK("https://www.biovista.com/db/link/%5B%5B%22Disease%7CSpinocerebellar%20Ataxia%20Type%203%22%5D,%20%5B%22Pathway%7Cchromosome%20segregation%22%5D%5D?strength-weight-map=%257B%2522MEDLINE_STRENGTH_AB%2522:1.0,%2522HPO%2522:100.0%257D", "Show Evidence...")</f>
        <v>Show Evidence...</v>
      </c>
    </row>
    <row r="2855" spans="1:10" ht="12.75">
      <c r="A2855" s="2" t="s">
        <v>50</v>
      </c>
      <c r="B2855" s="2" t="s">
        <v>3786</v>
      </c>
      <c r="C2855" s="2" t="s">
        <v>24</v>
      </c>
      <c r="D2855" s="2" t="s">
        <v>3787</v>
      </c>
      <c r="E2855" s="2" t="s">
        <v>704</v>
      </c>
      <c r="F2855" s="11" t="s">
        <v>805</v>
      </c>
      <c r="G2855" t="s">
        <v>37</v>
      </c>
      <c r="H2855" t="s">
        <v>806</v>
      </c>
      <c r="I2855" t="s">
        <v>3810</v>
      </c>
      <c r="J2855" s="6" t="str">
        <f>HYPERLINK("https://www.biovista.com/db/link/%5B%5B%22Disease%7CSpinocerebellar%20Ataxia%20Type%203%22%5D,%20%5B%22Pathway%7Chomologous%20recombination%22%5D%5D?strength-weight-map=%257B%2522MEDLINE_STRENGTH_AB%2522:1.0,%2522HPO%2522:100.0%257D", "Show Evidence...")</f>
        <v>Show Evidence...</v>
      </c>
    </row>
    <row r="2856" spans="1:10" ht="12.75">
      <c r="A2856" s="2" t="s">
        <v>50</v>
      </c>
      <c r="B2856" s="2" t="s">
        <v>3786</v>
      </c>
      <c r="C2856" s="2" t="s">
        <v>24</v>
      </c>
      <c r="D2856" s="2" t="s">
        <v>3787</v>
      </c>
      <c r="E2856" s="2" t="s">
        <v>704</v>
      </c>
      <c r="F2856" s="11" t="s">
        <v>4173</v>
      </c>
      <c r="G2856" t="s">
        <v>37</v>
      </c>
      <c r="H2856" t="s">
        <v>4174</v>
      </c>
      <c r="I2856" t="s">
        <v>3810</v>
      </c>
      <c r="J2856" s="6" t="str">
        <f>HYPERLINK("https://www.biovista.com/db/link/%5B%5B%22Disease%7CSpinocerebellar%20Ataxia%20Type%203%22%5D,%20%5B%22Pathway%7Cimport%20into%20nucleus%22%5D%5D?strength-weight-map=%257B%2522MEDLINE_STRENGTH_AB%2522:1.0,%2522HPO%2522:100.0%257D", "Show Evidence...")</f>
        <v>Show Evidence...</v>
      </c>
    </row>
    <row r="2857" spans="1:10" ht="12.75">
      <c r="A2857" s="2" t="s">
        <v>50</v>
      </c>
      <c r="B2857" s="2" t="s">
        <v>3786</v>
      </c>
      <c r="C2857" s="2" t="s">
        <v>24</v>
      </c>
      <c r="D2857" s="2" t="s">
        <v>3787</v>
      </c>
      <c r="E2857" s="2" t="s">
        <v>704</v>
      </c>
      <c r="F2857" s="11" t="s">
        <v>3355</v>
      </c>
      <c r="G2857" t="s">
        <v>37</v>
      </c>
      <c r="H2857" t="s">
        <v>3356</v>
      </c>
      <c r="I2857" t="s">
        <v>3810</v>
      </c>
      <c r="J2857" s="6" t="str">
        <f>HYPERLINK("https://www.biovista.com/db/link/%5B%5B%22Disease%7CSpinocerebellar%20Ataxia%20Type%203%22%5D,%20%5B%22Pathway%7Cinnate%20immune%20response%22%5D%5D?strength-weight-map=%257B%2522MEDLINE_STRENGTH_AB%2522:1.0,%2522HPO%2522:100.0%257D", "Show Evidence...")</f>
        <v>Show Evidence...</v>
      </c>
    </row>
    <row r="2858" spans="1:10" ht="12.75">
      <c r="A2858" s="2" t="s">
        <v>50</v>
      </c>
      <c r="B2858" s="2" t="s">
        <v>3786</v>
      </c>
      <c r="C2858" s="2" t="s">
        <v>24</v>
      </c>
      <c r="D2858" s="2" t="s">
        <v>3787</v>
      </c>
      <c r="E2858" s="2" t="s">
        <v>704</v>
      </c>
      <c r="F2858" s="11" t="s">
        <v>2338</v>
      </c>
      <c r="G2858" t="s">
        <v>37</v>
      </c>
      <c r="H2858" t="s">
        <v>2339</v>
      </c>
      <c r="I2858" t="s">
        <v>3810</v>
      </c>
      <c r="J2858" s="6" t="str">
        <f>HYPERLINK("https://www.biovista.com/db/link/%5B%5B%22Disease%7CSpinocerebellar%20Ataxia%20Type%203%22%5D,%20%5B%22Pathway%7Cmitophagy%22%5D%5D?strength-weight-map=%257B%2522MEDLINE_STRENGTH_AB%2522:1.0,%2522HPO%2522:100.0%257D", "Show Evidence...")</f>
        <v>Show Evidence...</v>
      </c>
    </row>
    <row r="2859" spans="1:10" ht="12.75">
      <c r="A2859" s="2" t="s">
        <v>50</v>
      </c>
      <c r="B2859" s="2" t="s">
        <v>3786</v>
      </c>
      <c r="C2859" s="2" t="s">
        <v>24</v>
      </c>
      <c r="D2859" s="2" t="s">
        <v>3787</v>
      </c>
      <c r="E2859" s="2" t="s">
        <v>704</v>
      </c>
      <c r="F2859" s="11" t="s">
        <v>4175</v>
      </c>
      <c r="G2859" t="s">
        <v>37</v>
      </c>
      <c r="H2859" t="s">
        <v>4176</v>
      </c>
      <c r="I2859" t="s">
        <v>3810</v>
      </c>
      <c r="J2859" s="6" t="str">
        <f>HYPERLINK("https://www.biovista.com/db/link/%5B%5B%22Disease%7CSpinocerebellar%20Ataxia%20Type%203%22%5D,%20%5B%22Pathway%7Cnuclear%20transport%22%5D%5D?strength-weight-map=%257B%2522MEDLINE_STRENGTH_AB%2522:1.0,%2522HPO%2522:100.0%257D", "Show Evidence...")</f>
        <v>Show Evidence...</v>
      </c>
    </row>
    <row r="2860" spans="1:10" ht="12.75">
      <c r="A2860" s="2" t="s">
        <v>50</v>
      </c>
      <c r="B2860" s="2" t="s">
        <v>3786</v>
      </c>
      <c r="C2860" s="2" t="s">
        <v>24</v>
      </c>
      <c r="D2860" s="2" t="s">
        <v>3787</v>
      </c>
      <c r="E2860" s="2" t="s">
        <v>704</v>
      </c>
      <c r="F2860" s="11" t="s">
        <v>3383</v>
      </c>
      <c r="G2860" t="s">
        <v>37</v>
      </c>
      <c r="H2860" t="s">
        <v>3384</v>
      </c>
      <c r="I2860" t="s">
        <v>3810</v>
      </c>
      <c r="J2860" s="6" t="str">
        <f>HYPERLINK("https://www.biovista.com/db/link/%5B%5B%22Disease%7CSpinocerebellar%20Ataxia%20Type%203%22%5D,%20%5B%22Pathway%7Cpigmentation%22%5D%5D?strength-weight-map=%257B%2522MEDLINE_STRENGTH_AB%2522:1.0,%2522HPO%2522:100.0%257D", "Show Evidence...")</f>
        <v>Show Evidence...</v>
      </c>
    </row>
    <row r="2861" spans="1:10" ht="12.75">
      <c r="A2861" s="2" t="s">
        <v>50</v>
      </c>
      <c r="B2861" s="2" t="s">
        <v>3786</v>
      </c>
      <c r="C2861" s="2" t="s">
        <v>24</v>
      </c>
      <c r="D2861" s="2" t="s">
        <v>3787</v>
      </c>
      <c r="E2861" s="2" t="s">
        <v>704</v>
      </c>
      <c r="F2861" s="11" t="s">
        <v>4177</v>
      </c>
      <c r="G2861" t="s">
        <v>37</v>
      </c>
      <c r="H2861" t="s">
        <v>4178</v>
      </c>
      <c r="I2861" t="s">
        <v>3810</v>
      </c>
      <c r="J2861" s="6" t="str">
        <f>HYPERLINK("https://www.biovista.com/db/link/%5B%5B%22Disease%7CSpinocerebellar%20Ataxia%20Type%203%22%5D,%20%5B%22Pathway%7Cproprioception%22%5D%5D?strength-weight-map=%257B%2522MEDLINE_STRENGTH_AB%2522:1.0,%2522HPO%2522:100.0%257D", "Show Evidence...")</f>
        <v>Show Evidence...</v>
      </c>
    </row>
    <row r="2862" spans="1:10" ht="12.75">
      <c r="A2862" s="2" t="s">
        <v>50</v>
      </c>
      <c r="B2862" s="2" t="s">
        <v>3786</v>
      </c>
      <c r="C2862" s="2" t="s">
        <v>24</v>
      </c>
      <c r="D2862" s="2" t="s">
        <v>3787</v>
      </c>
      <c r="E2862" s="2" t="s">
        <v>704</v>
      </c>
      <c r="F2862" s="11" t="s">
        <v>882</v>
      </c>
      <c r="G2862" t="s">
        <v>37</v>
      </c>
      <c r="H2862" t="s">
        <v>883</v>
      </c>
      <c r="I2862" t="s">
        <v>3810</v>
      </c>
      <c r="J2862" s="6" t="str">
        <f>HYPERLINK("https://www.biovista.com/db/link/%5B%5B%22Disease%7CSpinocerebellar%20Ataxia%20Type%203%22%5D,%20%5B%22Pathway%7Cregulation%20of%20gene%20expression%22%5D%5D?strength-weight-map=%257B%2522MEDLINE_STRENGTH_AB%2522:1.0,%2522HPO%2522:100.0%257D", "Show Evidence...")</f>
        <v>Show Evidence...</v>
      </c>
    </row>
    <row r="2863" spans="1:10" ht="12.75">
      <c r="A2863" s="2" t="s">
        <v>50</v>
      </c>
      <c r="B2863" s="2" t="s">
        <v>3786</v>
      </c>
      <c r="C2863" s="2" t="s">
        <v>24</v>
      </c>
      <c r="D2863" s="2" t="s">
        <v>3787</v>
      </c>
      <c r="E2863" s="2" t="s">
        <v>704</v>
      </c>
      <c r="F2863" s="11" t="s">
        <v>803</v>
      </c>
      <c r="G2863" t="s">
        <v>37</v>
      </c>
      <c r="H2863" t="s">
        <v>804</v>
      </c>
      <c r="I2863" t="s">
        <v>3821</v>
      </c>
      <c r="J2863" s="6" t="str">
        <f>HYPERLINK("https://www.biovista.com/db/link/%5B%5B%22Disease%7CSpinocerebellar%20Ataxia%20Type%203%22%5D,%20%5B%22Pathway%7Ccell%20cycle%22%5D%5D?strength-weight-map=%257B%2522MEDLINE_STRENGTH_AB%2522:1.0,%2522HPO%2522:100.0%257D", "Show Evidence...")</f>
        <v>Show Evidence...</v>
      </c>
    </row>
    <row r="2864" spans="1:10" ht="12.75">
      <c r="A2864" s="2" t="s">
        <v>50</v>
      </c>
      <c r="B2864" s="2" t="s">
        <v>3786</v>
      </c>
      <c r="C2864" s="2" t="s">
        <v>24</v>
      </c>
      <c r="D2864" s="2" t="s">
        <v>3787</v>
      </c>
      <c r="E2864" s="2" t="s">
        <v>704</v>
      </c>
      <c r="F2864" s="11" t="s">
        <v>4179</v>
      </c>
      <c r="G2864" t="s">
        <v>37</v>
      </c>
      <c r="H2864" t="s">
        <v>4180</v>
      </c>
      <c r="I2864" t="s">
        <v>3821</v>
      </c>
      <c r="J2864" s="6" t="str">
        <f>HYPERLINK("https://www.biovista.com/db/link/%5B%5B%22Disease%7CSpinocerebellar%20Ataxia%20Type%203%22%5D,%20%5B%22Pathway%7Cdouble-strand%20break%20repair%22%5D%5D?strength-weight-map=%257B%2522MEDLINE_STRENGTH_AB%2522:1.0,%2522HPO%2522:100.0%257D", "Show Evidence...")</f>
        <v>Show Evidence...</v>
      </c>
    </row>
    <row r="2865" spans="1:10" ht="12.75">
      <c r="A2865" s="2" t="s">
        <v>50</v>
      </c>
      <c r="B2865" s="2" t="s">
        <v>3786</v>
      </c>
      <c r="C2865" s="2" t="s">
        <v>24</v>
      </c>
      <c r="D2865" s="2" t="s">
        <v>3787</v>
      </c>
      <c r="E2865" s="2" t="s">
        <v>704</v>
      </c>
      <c r="F2865" s="11" t="s">
        <v>3345</v>
      </c>
      <c r="G2865" t="s">
        <v>37</v>
      </c>
      <c r="H2865" t="s">
        <v>3346</v>
      </c>
      <c r="I2865" t="s">
        <v>3821</v>
      </c>
      <c r="J2865" s="6" t="str">
        <f>HYPERLINK("https://www.biovista.com/db/link/%5B%5B%22Disease%7CSpinocerebellar%20Ataxia%20Type%203%22%5D,%20%5B%22Pathway%7CERAD%20pathway%22%5D%5D?strength-weight-map=%257B%2522MEDLINE_STRENGTH_AB%2522:1.0,%2522HPO%2522:100.0%257D", "Show Evidence...")</f>
        <v>Show Evidence...</v>
      </c>
    </row>
    <row r="2866" spans="1:10" ht="12.75">
      <c r="A2866" s="2" t="s">
        <v>50</v>
      </c>
      <c r="B2866" s="2" t="s">
        <v>3786</v>
      </c>
      <c r="C2866" s="2" t="s">
        <v>24</v>
      </c>
      <c r="D2866" s="2" t="s">
        <v>3787</v>
      </c>
      <c r="E2866" s="2" t="s">
        <v>704</v>
      </c>
      <c r="F2866" s="11" t="s">
        <v>1818</v>
      </c>
      <c r="G2866" t="s">
        <v>37</v>
      </c>
      <c r="H2866" t="s">
        <v>1819</v>
      </c>
      <c r="I2866" t="s">
        <v>3821</v>
      </c>
      <c r="J2866" s="6" t="str">
        <f>HYPERLINK("https://www.biovista.com/db/link/%5B%5B%22Disease%7CSpinocerebellar%20Ataxia%20Type%203%22%5D,%20%5B%22Pathway%7Clocalization%22%5D%5D?strength-weight-map=%257B%2522MEDLINE_STRENGTH_AB%2522:1.0,%2522HPO%2522:100.0%257D", "Show Evidence...")</f>
        <v>Show Evidence...</v>
      </c>
    </row>
    <row r="2867" spans="1:10" ht="12.75">
      <c r="A2867" s="2" t="s">
        <v>50</v>
      </c>
      <c r="B2867" s="2" t="s">
        <v>3786</v>
      </c>
      <c r="C2867" s="2" t="s">
        <v>24</v>
      </c>
      <c r="D2867" s="2" t="s">
        <v>3787</v>
      </c>
      <c r="E2867" s="2" t="s">
        <v>704</v>
      </c>
      <c r="F2867" s="11" t="s">
        <v>4181</v>
      </c>
      <c r="G2867" t="s">
        <v>37</v>
      </c>
      <c r="H2867" t="s">
        <v>4182</v>
      </c>
      <c r="I2867" t="s">
        <v>3821</v>
      </c>
      <c r="J2867" s="6" t="str">
        <f>HYPERLINK("https://www.biovista.com/db/link/%5B%5B%22Disease%7CSpinocerebellar%20Ataxia%20Type%203%22%5D,%20%5B%22Pathway%7Cmacroautophagy%22%5D%5D?strength-weight-map=%257B%2522MEDLINE_STRENGTH_AB%2522:1.0,%2522HPO%2522:100.0%257D", "Show Evidence...")</f>
        <v>Show Evidence...</v>
      </c>
    </row>
    <row r="2868" spans="1:10" ht="12.75">
      <c r="A2868" s="2" t="s">
        <v>50</v>
      </c>
      <c r="B2868" s="2" t="s">
        <v>3786</v>
      </c>
      <c r="C2868" s="2" t="s">
        <v>24</v>
      </c>
      <c r="D2868" s="2" t="s">
        <v>3787</v>
      </c>
      <c r="E2868" s="2" t="s">
        <v>704</v>
      </c>
      <c r="F2868" s="11" t="s">
        <v>4183</v>
      </c>
      <c r="G2868" t="s">
        <v>37</v>
      </c>
      <c r="H2868" t="s">
        <v>4184</v>
      </c>
      <c r="I2868" t="s">
        <v>3821</v>
      </c>
      <c r="J2868" s="6" t="str">
        <f>HYPERLINK("https://www.biovista.com/db/link/%5B%5B%22Disease%7CSpinocerebellar%20Ataxia%20Type%203%22%5D,%20%5B%22Pathway%7CmiRNA%20metabolic%20process%22%5D%5D?strength-weight-map=%257B%2522MEDLINE_STRENGTH_AB%2522:1.0,%2522HPO%2522:100.0%257D", "Show Evidence...")</f>
        <v>Show Evidence...</v>
      </c>
    </row>
    <row r="2869" spans="1:10" ht="12.75">
      <c r="A2869" s="2" t="s">
        <v>50</v>
      </c>
      <c r="B2869" s="2" t="s">
        <v>3786</v>
      </c>
      <c r="C2869" s="2" t="s">
        <v>24</v>
      </c>
      <c r="D2869" s="2" t="s">
        <v>3787</v>
      </c>
      <c r="E2869" s="2" t="s">
        <v>704</v>
      </c>
      <c r="F2869" s="11" t="s">
        <v>2312</v>
      </c>
      <c r="G2869" t="s">
        <v>37</v>
      </c>
      <c r="H2869" t="s">
        <v>2313</v>
      </c>
      <c r="I2869" t="s">
        <v>3821</v>
      </c>
      <c r="J2869" s="6" t="str">
        <f>HYPERLINK("https://www.biovista.com/db/link/%5B%5B%22Disease%7CSpinocerebellar%20Ataxia%20Type%203%22%5D,%20%5B%22Pathway%7Cmitochondrial%20fission%22%5D%5D?strength-weight-map=%257B%2522MEDLINE_STRENGTH_AB%2522:1.0,%2522HPO%2522:100.0%257D", "Show Evidence...")</f>
        <v>Show Evidence...</v>
      </c>
    </row>
    <row r="2870" spans="1:10" ht="12.75">
      <c r="A2870" s="2" t="s">
        <v>50</v>
      </c>
      <c r="B2870" s="2" t="s">
        <v>3786</v>
      </c>
      <c r="C2870" s="2" t="s">
        <v>24</v>
      </c>
      <c r="D2870" s="2" t="s">
        <v>3787</v>
      </c>
      <c r="E2870" s="2" t="s">
        <v>704</v>
      </c>
      <c r="F2870" s="11" t="s">
        <v>731</v>
      </c>
      <c r="G2870" t="s">
        <v>37</v>
      </c>
      <c r="H2870" t="s">
        <v>732</v>
      </c>
      <c r="I2870" t="s">
        <v>3821</v>
      </c>
      <c r="J2870" s="6" t="str">
        <f>HYPERLINK("https://www.biovista.com/db/link/%5B%5B%22Disease%7CSpinocerebellar%20Ataxia%20Type%203%22%5D,%20%5B%22Pathway%7Cneurogenesis%22%5D%5D?strength-weight-map=%257B%2522MEDLINE_STRENGTH_AB%2522:1.0,%2522HPO%2522:100.0%257D", "Show Evidence...")</f>
        <v>Show Evidence...</v>
      </c>
    </row>
    <row r="2871" spans="1:10" ht="12.75">
      <c r="A2871" s="2" t="s">
        <v>50</v>
      </c>
      <c r="B2871" s="2" t="s">
        <v>3786</v>
      </c>
      <c r="C2871" s="2" t="s">
        <v>24</v>
      </c>
      <c r="D2871" s="2" t="s">
        <v>3787</v>
      </c>
      <c r="E2871" s="2" t="s">
        <v>704</v>
      </c>
      <c r="F2871" s="11" t="s">
        <v>4185</v>
      </c>
      <c r="G2871" t="s">
        <v>37</v>
      </c>
      <c r="H2871" t="s">
        <v>4186</v>
      </c>
      <c r="I2871" t="s">
        <v>3821</v>
      </c>
      <c r="J2871" s="6" t="str">
        <f>HYPERLINK("https://www.biovista.com/db/link/%5B%5B%22Disease%7CSpinocerebellar%20Ataxia%20Type%203%22%5D,%20%5B%22Pathway%7Cnucleocytoplasmic%20transport%22%5D%5D?strength-weight-map=%257B%2522MEDLINE_STRENGTH_AB%2522:1.0,%2522HPO%2522:100.0%257D", "Show Evidence...")</f>
        <v>Show Evidence...</v>
      </c>
    </row>
    <row r="2872" spans="1:10" ht="12.75">
      <c r="A2872" s="2" t="s">
        <v>50</v>
      </c>
      <c r="B2872" s="2" t="s">
        <v>3786</v>
      </c>
      <c r="C2872" s="2" t="s">
        <v>24</v>
      </c>
      <c r="D2872" s="2" t="s">
        <v>3787</v>
      </c>
      <c r="E2872" s="2" t="s">
        <v>704</v>
      </c>
      <c r="F2872" s="11" t="s">
        <v>2360</v>
      </c>
      <c r="G2872" t="s">
        <v>37</v>
      </c>
      <c r="H2872" t="s">
        <v>2361</v>
      </c>
      <c r="I2872" t="s">
        <v>3821</v>
      </c>
      <c r="J2872" s="6" t="str">
        <f>HYPERLINK("https://www.biovista.com/db/link/%5B%5B%22Disease%7CSpinocerebellar%20Ataxia%20Type%203%22%5D,%20%5B%22Pathway%7Cphagocytosis%22%5D%5D?strength-weight-map=%257B%2522MEDLINE_STRENGTH_AB%2522:1.0,%2522HPO%2522:100.0%257D", "Show Evidence...")</f>
        <v>Show Evidence...</v>
      </c>
    </row>
    <row r="2873" spans="1:10" ht="12.75">
      <c r="A2873" s="2" t="s">
        <v>50</v>
      </c>
      <c r="B2873" s="2" t="s">
        <v>3786</v>
      </c>
      <c r="C2873" s="2" t="s">
        <v>24</v>
      </c>
      <c r="D2873" s="2" t="s">
        <v>3787</v>
      </c>
      <c r="E2873" s="2" t="s">
        <v>704</v>
      </c>
      <c r="F2873" s="11" t="s">
        <v>845</v>
      </c>
      <c r="G2873" t="s">
        <v>37</v>
      </c>
      <c r="H2873" t="s">
        <v>846</v>
      </c>
      <c r="I2873" t="s">
        <v>3821</v>
      </c>
      <c r="J2873" s="6" t="s">
        <v>4187</v>
      </c>
    </row>
    <row r="2874" spans="1:10" ht="12.75">
      <c r="A2874" s="2" t="s">
        <v>50</v>
      </c>
      <c r="B2874" s="2" t="s">
        <v>3786</v>
      </c>
      <c r="C2874" s="2" t="s">
        <v>24</v>
      </c>
      <c r="D2874" s="2" t="s">
        <v>3787</v>
      </c>
      <c r="E2874" s="2" t="s">
        <v>704</v>
      </c>
      <c r="F2874" s="11" t="s">
        <v>832</v>
      </c>
      <c r="G2874" t="s">
        <v>37</v>
      </c>
      <c r="H2874" t="s">
        <v>833</v>
      </c>
      <c r="I2874" t="s">
        <v>3821</v>
      </c>
      <c r="J2874" s="6" t="str">
        <f>HYPERLINK("https://www.biovista.com/db/link/%5B%5B%22Disease%7CSpinocerebellar%20Ataxia%20Type%203%22%5D,%20%5B%22Pathway%7Cplasma%20membrane%20invagination%22%5D%5D?strength-weight-map=%257B%2522MEDLINE_STRENGTH_AB%2522:1.0,%2522HPO%2522:100.0%257D", "Show Evidence...")</f>
        <v>Show Evidence...</v>
      </c>
    </row>
    <row r="2875" spans="1:10" ht="12.75">
      <c r="A2875" s="2" t="s">
        <v>50</v>
      </c>
      <c r="B2875" s="2" t="s">
        <v>3786</v>
      </c>
      <c r="C2875" s="2" t="s">
        <v>24</v>
      </c>
      <c r="D2875" s="2" t="s">
        <v>3787</v>
      </c>
      <c r="E2875" s="2" t="s">
        <v>704</v>
      </c>
      <c r="F2875" s="11" t="s">
        <v>768</v>
      </c>
      <c r="G2875" t="s">
        <v>37</v>
      </c>
      <c r="H2875" t="s">
        <v>769</v>
      </c>
      <c r="I2875" t="s">
        <v>3821</v>
      </c>
      <c r="J2875" s="6" t="str">
        <f>HYPERLINK("https://www.biovista.com/db/link/%5B%5B%22Disease%7CSpinocerebellar%20Ataxia%20Type%203%22%5D,%20%5B%22Pathway%7Cregeneration%22%5D%5D?strength-weight-map=%257B%2522MEDLINE_STRENGTH_AB%2522:1.0,%2522HPO%2522:100.0%257D", "Show Evidence...")</f>
        <v>Show Evidence...</v>
      </c>
    </row>
    <row r="2876" spans="1:10" ht="12.75">
      <c r="A2876" s="2" t="s">
        <v>50</v>
      </c>
      <c r="B2876" s="2" t="s">
        <v>3786</v>
      </c>
      <c r="C2876" s="2" t="s">
        <v>24</v>
      </c>
      <c r="D2876" s="2" t="s">
        <v>3787</v>
      </c>
      <c r="E2876" s="2" t="s">
        <v>704</v>
      </c>
      <c r="F2876" s="11" t="s">
        <v>2364</v>
      </c>
      <c r="G2876" t="s">
        <v>37</v>
      </c>
      <c r="H2876" t="s">
        <v>2365</v>
      </c>
      <c r="I2876" t="s">
        <v>3821</v>
      </c>
      <c r="J2876" s="6" t="str">
        <f>HYPERLINK("https://www.biovista.com/db/link/%5B%5B%22Disease%7CSpinocerebellar%20Ataxia%20Type%203%22%5D,%20%5B%22Pathway%7CRNA%20metabolic%20process%22%5D%5D?strength-weight-map=%257B%2522MEDLINE_STRENGTH_AB%2522:1.0,%2522HPO%2522:100.0%257D", "Show Evidence...")</f>
        <v>Show Evidence...</v>
      </c>
    </row>
    <row r="2877" spans="1:10" ht="12.75">
      <c r="A2877" s="2" t="s">
        <v>50</v>
      </c>
      <c r="B2877" s="2" t="s">
        <v>3786</v>
      </c>
      <c r="C2877" s="2" t="s">
        <v>24</v>
      </c>
      <c r="D2877" s="2" t="s">
        <v>3787</v>
      </c>
      <c r="E2877" s="2" t="s">
        <v>704</v>
      </c>
      <c r="F2877" s="11" t="s">
        <v>801</v>
      </c>
      <c r="G2877" t="s">
        <v>37</v>
      </c>
      <c r="H2877" t="s">
        <v>802</v>
      </c>
      <c r="I2877" t="s">
        <v>3821</v>
      </c>
      <c r="J2877" s="6" t="str">
        <f>HYPERLINK("https://www.biovista.com/db/link/%5B%5B%22Disease%7CSpinocerebellar%20Ataxia%20Type%203%22%5D,%20%5B%22Pathway%7Csecretion%22%5D%5D?strength-weight-map=%257B%2522MEDLINE_STRENGTH_AB%2522:1.0,%2522HPO%2522:100.0%257D", "Show Evidence...")</f>
        <v>Show Evidence...</v>
      </c>
    </row>
    <row r="2878" spans="1:10" ht="12.75">
      <c r="A2878" s="2" t="s">
        <v>50</v>
      </c>
      <c r="B2878" s="2" t="s">
        <v>3786</v>
      </c>
      <c r="C2878" s="2" t="s">
        <v>24</v>
      </c>
      <c r="D2878" s="2" t="s">
        <v>3787</v>
      </c>
      <c r="E2878" s="2" t="s">
        <v>704</v>
      </c>
      <c r="F2878" s="11" t="s">
        <v>4188</v>
      </c>
      <c r="G2878" t="s">
        <v>37</v>
      </c>
      <c r="H2878" t="s">
        <v>4189</v>
      </c>
      <c r="I2878" t="s">
        <v>3821</v>
      </c>
      <c r="J2878" s="6" t="str">
        <f>HYPERLINK("https://www.biovista.com/db/link/%5B%5B%22Disease%7CSpinocerebellar%20Ataxia%20Type%203%22%5D,%20%5B%22Pathway%7Csensory%20perception%20of%20smell%22%5D%5D?strength-weight-map=%257B%2522MEDLINE_STRENGTH_AB%2522:1.0,%2522HPO%2522:100.0%257D", "Show Evidence...")</f>
        <v>Show Evidence...</v>
      </c>
    </row>
    <row r="2879" spans="1:10" ht="12.75">
      <c r="A2879" s="2" t="s">
        <v>50</v>
      </c>
      <c r="B2879" s="2" t="s">
        <v>3786</v>
      </c>
      <c r="C2879" s="2" t="s">
        <v>24</v>
      </c>
      <c r="D2879" s="2" t="s">
        <v>3787</v>
      </c>
      <c r="E2879" s="2" t="s">
        <v>704</v>
      </c>
      <c r="F2879" s="11" t="s">
        <v>743</v>
      </c>
      <c r="G2879" t="s">
        <v>37</v>
      </c>
      <c r="H2879" t="s">
        <v>744</v>
      </c>
      <c r="I2879" t="s">
        <v>3821</v>
      </c>
      <c r="J2879" s="6" t="str">
        <f>HYPERLINK("https://www.biovista.com/db/link/%5B%5B%22Disease%7CSpinocerebellar%20Ataxia%20Type%203%22%5D,%20%5B%22Pathway%7Csocial%20behavior%22%5D%5D?strength-weight-map=%257B%2522MEDLINE_STRENGTH_AB%2522:1.0,%2522HPO%2522:100.0%257D", "Show Evidence...")</f>
        <v>Show Evidence...</v>
      </c>
    </row>
    <row r="2880" spans="1:10" ht="12.75">
      <c r="A2880" s="2" t="s">
        <v>50</v>
      </c>
      <c r="B2880" s="2" t="s">
        <v>3786</v>
      </c>
      <c r="C2880" s="2" t="s">
        <v>24</v>
      </c>
      <c r="D2880" s="2" t="s">
        <v>3787</v>
      </c>
      <c r="E2880" s="2" t="s">
        <v>704</v>
      </c>
      <c r="F2880" s="11" t="s">
        <v>2342</v>
      </c>
      <c r="G2880" t="s">
        <v>37</v>
      </c>
      <c r="H2880" t="s">
        <v>2343</v>
      </c>
      <c r="I2880" t="s">
        <v>3821</v>
      </c>
      <c r="J2880" s="6" t="str">
        <f>HYPERLINK("https://www.biovista.com/db/link/%5B%5B%22Disease%7CSpinocerebellar%20Ataxia%20Type%203%22%5D,%20%5B%22Pathway%7Ctranslational%20initiation%22%5D%5D?strength-weight-map=%257B%2522MEDLINE_STRENGTH_AB%2522:1.0,%2522HPO%2522:100.0%257D", "Show Evidence...")</f>
        <v>Show Evidence...</v>
      </c>
    </row>
    <row r="2881" spans="1:10" ht="12.75">
      <c r="A2881" s="2" t="s">
        <v>50</v>
      </c>
      <c r="B2881" s="2" t="s">
        <v>3786</v>
      </c>
      <c r="C2881" s="2" t="s">
        <v>24</v>
      </c>
      <c r="D2881" s="2" t="s">
        <v>3787</v>
      </c>
      <c r="E2881" s="2" t="s">
        <v>704</v>
      </c>
      <c r="F2881" s="11" t="s">
        <v>4190</v>
      </c>
      <c r="G2881" t="s">
        <v>37</v>
      </c>
      <c r="H2881" t="s">
        <v>4191</v>
      </c>
      <c r="I2881" t="s">
        <v>3821</v>
      </c>
      <c r="J2881" s="6" t="str">
        <f>HYPERLINK("https://www.biovista.com/db/link/%5B%5B%22Disease%7CSpinocerebellar%20Ataxia%20Type%203%22%5D,%20%5B%22Pathway%7Cvesicle-mediated%20transport%22%5D%5D?strength-weight-map=%257B%2522MEDLINE_STRENGTH_AB%2522:1.0,%2522HPO%2522:100.0%257D", "Show Evidence...")</f>
        <v>Show Evidence...</v>
      </c>
    </row>
    <row r="2882" spans="1:10" ht="12.75">
      <c r="A2882" s="2" t="s">
        <v>50</v>
      </c>
      <c r="B2882" s="2" t="s">
        <v>3786</v>
      </c>
      <c r="C2882" s="2" t="s">
        <v>24</v>
      </c>
      <c r="D2882" s="2" t="s">
        <v>3787</v>
      </c>
      <c r="E2882" s="2" t="s">
        <v>704</v>
      </c>
      <c r="F2882" s="11" t="s">
        <v>4192</v>
      </c>
      <c r="G2882" t="s">
        <v>37</v>
      </c>
      <c r="H2882" t="s">
        <v>4193</v>
      </c>
      <c r="I2882" t="s">
        <v>3821</v>
      </c>
      <c r="J2882" s="6" t="str">
        <f>HYPERLINK("https://www.biovista.com/db/link/%5B%5B%22Disease%7CSpinocerebellar%20Ataxia%20Type%203%22%5D,%20%5B%22Pathway%7Cvisual%20learning%22%5D%5D?strength-weight-map=%257B%2522MEDLINE_STRENGTH_AB%2522:1.0,%2522HPO%2522:100.0%257D", "Show Evidence...")</f>
        <v>Show Evidence...</v>
      </c>
    </row>
    <row r="2883" spans="1:10" ht="12.75">
      <c r="A2883" s="2" t="s">
        <v>50</v>
      </c>
      <c r="B2883" s="2" t="s">
        <v>3786</v>
      </c>
      <c r="C2883" s="2" t="s">
        <v>24</v>
      </c>
      <c r="D2883" s="2" t="s">
        <v>3787</v>
      </c>
      <c r="E2883" s="2" t="s">
        <v>704</v>
      </c>
      <c r="F2883" s="11" t="s">
        <v>876</v>
      </c>
      <c r="G2883" t="s">
        <v>37</v>
      </c>
      <c r="H2883" t="s">
        <v>877</v>
      </c>
      <c r="I2883" t="s">
        <v>3835</v>
      </c>
      <c r="J2883" s="6" t="str">
        <f>HYPERLINK("https://www.biovista.com/db/link/%5B%5B%22Disease%7CSpinocerebellar%20Ataxia%20Type%203%22%5D,%20%5B%22Pathway%7Caction%20potential%22%5D%5D?strength-weight-map=%257B%2522MEDLINE_STRENGTH_AB%2522:1.0,%2522HPO%2522:100.0%257D", "Show Evidence...")</f>
        <v>Show Evidence...</v>
      </c>
    </row>
    <row r="2884" spans="1:10" ht="12.75">
      <c r="A2884" s="2" t="s">
        <v>50</v>
      </c>
      <c r="B2884" s="2" t="s">
        <v>3786</v>
      </c>
      <c r="C2884" s="2" t="s">
        <v>24</v>
      </c>
      <c r="D2884" s="2" t="s">
        <v>3787</v>
      </c>
      <c r="E2884" s="2" t="s">
        <v>704</v>
      </c>
      <c r="F2884" s="11" t="s">
        <v>4194</v>
      </c>
      <c r="G2884" t="s">
        <v>37</v>
      </c>
      <c r="H2884" t="s">
        <v>4195</v>
      </c>
      <c r="I2884" t="s">
        <v>3835</v>
      </c>
      <c r="J2884" s="6" t="str">
        <f>HYPERLINK("https://www.biovista.com/db/link/%5B%5B%22Disease%7CSpinocerebellar%20Ataxia%20Type%203%22%5D,%20%5B%22Pathway%7Caxon%20guidance%22%5D%5D?strength-weight-map=%257B%2522MEDLINE_STRENGTH_AB%2522:1.0,%2522HPO%2522:100.0%257D", "Show Evidence...")</f>
        <v>Show Evidence...</v>
      </c>
    </row>
    <row r="2885" spans="1:10" ht="12.75">
      <c r="A2885" s="2" t="s">
        <v>50</v>
      </c>
      <c r="B2885" s="2" t="s">
        <v>3786</v>
      </c>
      <c r="C2885" s="2" t="s">
        <v>24</v>
      </c>
      <c r="D2885" s="2" t="s">
        <v>3787</v>
      </c>
      <c r="E2885" s="2" t="s">
        <v>704</v>
      </c>
      <c r="F2885" s="11" t="s">
        <v>4196</v>
      </c>
      <c r="G2885" t="s">
        <v>37</v>
      </c>
      <c r="H2885" t="s">
        <v>4197</v>
      </c>
      <c r="I2885" t="s">
        <v>3835</v>
      </c>
      <c r="J2885" s="6" t="str">
        <f>HYPERLINK("https://www.biovista.com/db/link/%5B%5B%22Disease%7CSpinocerebellar%20Ataxia%20Type%203%22%5D,%20%5B%22Pathway%7Cchaperone-mediated%20protein%20complex%20assembly%22%5D%5D?strength-weight-map=%257B%2522MEDLINE_STRENGTH_AB%2522:1.0,%2522HPO%2522:100.0%257D", "Show Evidence...")</f>
        <v>Show Evidence...</v>
      </c>
    </row>
    <row r="2886" spans="1:10" ht="12.75">
      <c r="A2886" s="2" t="s">
        <v>50</v>
      </c>
      <c r="B2886" s="2" t="s">
        <v>3786</v>
      </c>
      <c r="C2886" s="2" t="s">
        <v>24</v>
      </c>
      <c r="D2886" s="2" t="s">
        <v>3787</v>
      </c>
      <c r="E2886" s="2" t="s">
        <v>704</v>
      </c>
      <c r="F2886" s="11" t="s">
        <v>4198</v>
      </c>
      <c r="G2886" t="s">
        <v>37</v>
      </c>
      <c r="H2886" t="s">
        <v>4199</v>
      </c>
      <c r="I2886" t="s">
        <v>3835</v>
      </c>
      <c r="J2886" s="6" t="str">
        <f>HYPERLINK("https://www.biovista.com/db/link/%5B%5B%22Disease%7CSpinocerebellar%20Ataxia%20Type%203%22%5D,%20%5B%22Pathway%7Cchromatin%20organization%22%5D%5D?strength-weight-map=%257B%2522MEDLINE_STRENGTH_AB%2522:1.0,%2522HPO%2522:100.0%257D", "Show Evidence...")</f>
        <v>Show Evidence...</v>
      </c>
    </row>
    <row r="2887" spans="1:10" ht="12.75">
      <c r="A2887" s="2" t="s">
        <v>50</v>
      </c>
      <c r="B2887" s="2" t="s">
        <v>3786</v>
      </c>
      <c r="C2887" s="2" t="s">
        <v>24</v>
      </c>
      <c r="D2887" s="2" t="s">
        <v>3787</v>
      </c>
      <c r="E2887" s="2" t="s">
        <v>704</v>
      </c>
      <c r="F2887" s="11" t="s">
        <v>4200</v>
      </c>
      <c r="G2887" t="s">
        <v>37</v>
      </c>
      <c r="H2887" t="s">
        <v>4201</v>
      </c>
      <c r="I2887" t="s">
        <v>3835</v>
      </c>
      <c r="J2887" s="6" t="str">
        <f>HYPERLINK("https://www.biovista.com/db/link/%5B%5B%22Disease%7CSpinocerebellar%20Ataxia%20Type%203%22%5D,%20%5B%22Pathway%7Ccilium%20assembly%22%5D%5D?strength-weight-map=%257B%2522MEDLINE_STRENGTH_AB%2522:1.0,%2522HPO%2522:100.0%257D", "Show Evidence...")</f>
        <v>Show Evidence...</v>
      </c>
    </row>
    <row r="2888" spans="1:10" ht="12.75">
      <c r="A2888" s="2" t="s">
        <v>50</v>
      </c>
      <c r="B2888" s="2" t="s">
        <v>3786</v>
      </c>
      <c r="C2888" s="2" t="s">
        <v>24</v>
      </c>
      <c r="D2888" s="2" t="s">
        <v>3787</v>
      </c>
      <c r="E2888" s="2" t="s">
        <v>717</v>
      </c>
      <c r="F2888" s="11" t="s">
        <v>4202</v>
      </c>
      <c r="G2888" t="s">
        <v>37</v>
      </c>
      <c r="H2888" t="s">
        <v>4203</v>
      </c>
      <c r="I2888" t="s">
        <v>3835</v>
      </c>
      <c r="J2888" s="6" t="str">
        <f>HYPERLINK("https://www.biovista.com/db/link/%5B%5B%22Disease%7CSpinocerebellar%20Ataxia%20Type%203%22%5D,%20%5B%22Pathway%7Chistone%20deacetylation%22%5D%5D?strength-weight-map=%257B%2522MEDLINE_STRENGTH_AB%2522:1.0,%2522HPO%2522:100.0%257D", "Show Evidence...")</f>
        <v>Show Evidence...</v>
      </c>
    </row>
    <row r="2889" spans="1:10" ht="12.75">
      <c r="A2889" s="2" t="s">
        <v>50</v>
      </c>
      <c r="B2889" s="2" t="s">
        <v>3786</v>
      </c>
      <c r="C2889" s="2" t="s">
        <v>24</v>
      </c>
      <c r="D2889" s="2" t="s">
        <v>3787</v>
      </c>
      <c r="E2889" s="2" t="s">
        <v>704</v>
      </c>
      <c r="F2889" s="11" t="s">
        <v>2923</v>
      </c>
      <c r="G2889" t="s">
        <v>37</v>
      </c>
      <c r="H2889" t="s">
        <v>2924</v>
      </c>
      <c r="I2889" t="s">
        <v>3835</v>
      </c>
      <c r="J2889" s="6" t="str">
        <f>HYPERLINK("https://www.biovista.com/db/link/%5B%5B%22Disease%7CSpinocerebellar%20Ataxia%20Type%203%22%5D,%20%5B%22Pathway%7Chypersensitivity%22%5D%5D?strength-weight-map=%257B%2522MEDLINE_STRENGTH_AB%2522:1.0,%2522HPO%2522:100.0%257D", "Show Evidence...")</f>
        <v>Show Evidence...</v>
      </c>
    </row>
    <row r="2890" spans="1:10" ht="12.75">
      <c r="A2890" s="2" t="s">
        <v>50</v>
      </c>
      <c r="B2890" s="2" t="s">
        <v>3786</v>
      </c>
      <c r="C2890" s="2" t="s">
        <v>24</v>
      </c>
      <c r="D2890" s="2" t="s">
        <v>3787</v>
      </c>
      <c r="E2890" s="2" t="s">
        <v>704</v>
      </c>
      <c r="F2890" s="11" t="s">
        <v>799</v>
      </c>
      <c r="G2890" t="s">
        <v>37</v>
      </c>
      <c r="H2890" t="s">
        <v>800</v>
      </c>
      <c r="I2890" t="s">
        <v>3835</v>
      </c>
      <c r="J2890" s="6" t="str">
        <f>HYPERLINK("https://www.biovista.com/db/link/%5B%5B%22Disease%7CSpinocerebellar%20Ataxia%20Type%203%22%5D,%20%5B%22Pathway%7Clipid%20metabolic%20process%22%5D%5D?strength-weight-map=%257B%2522MEDLINE_STRENGTH_AB%2522:1.0,%2522HPO%2522:100.0%257D", "Show Evidence...")</f>
        <v>Show Evidence...</v>
      </c>
    </row>
    <row r="2891" spans="1:10" ht="12.75">
      <c r="A2891" s="2" t="s">
        <v>50</v>
      </c>
      <c r="B2891" s="2" t="s">
        <v>3786</v>
      </c>
      <c r="C2891" s="2" t="s">
        <v>24</v>
      </c>
      <c r="D2891" s="2" t="s">
        <v>3787</v>
      </c>
      <c r="E2891" s="2" t="s">
        <v>704</v>
      </c>
      <c r="F2891" s="11" t="s">
        <v>4204</v>
      </c>
      <c r="G2891" t="s">
        <v>37</v>
      </c>
      <c r="H2891" t="s">
        <v>4205</v>
      </c>
      <c r="I2891" t="s">
        <v>3835</v>
      </c>
      <c r="J2891" s="6" t="str">
        <f>HYPERLINK("https://www.biovista.com/db/link/%5B%5B%22Disease%7CSpinocerebellar%20Ataxia%20Type%203%22%5D,%20%5B%22Pathway%7Cmale%20meiotic%20nuclear%20division%22%5D%5D?strength-weight-map=%257B%2522MEDLINE_STRENGTH_AB%2522:1.0,%2522HPO%2522:100.0%257D", "Show Evidence...")</f>
        <v>Show Evidence...</v>
      </c>
    </row>
    <row r="2892" spans="1:10" ht="12.75">
      <c r="A2892" s="2" t="s">
        <v>50</v>
      </c>
      <c r="B2892" s="2" t="s">
        <v>3786</v>
      </c>
      <c r="C2892" s="2" t="s">
        <v>24</v>
      </c>
      <c r="D2892" s="2" t="s">
        <v>3787</v>
      </c>
      <c r="E2892" s="2" t="s">
        <v>704</v>
      </c>
      <c r="F2892" s="11" t="s">
        <v>2927</v>
      </c>
      <c r="G2892" t="s">
        <v>37</v>
      </c>
      <c r="H2892" t="s">
        <v>2928</v>
      </c>
      <c r="I2892" t="s">
        <v>3835</v>
      </c>
      <c r="J2892" s="6" t="str">
        <f>HYPERLINK("https://www.biovista.com/db/link/%5B%5B%22Disease%7CSpinocerebellar%20Ataxia%20Type%203%22%5D,%20%5B%22Pathway%7Cmeiotic%20drive%22%5D%5D?strength-weight-map=%257B%2522MEDLINE_STRENGTH_AB%2522:1.0,%2522HPO%2522:100.0%257D", "Show Evidence...")</f>
        <v>Show Evidence...</v>
      </c>
    </row>
    <row r="2893" spans="1:10" ht="12.75">
      <c r="A2893" s="2" t="s">
        <v>50</v>
      </c>
      <c r="B2893" s="2" t="s">
        <v>3786</v>
      </c>
      <c r="C2893" s="2" t="s">
        <v>24</v>
      </c>
      <c r="D2893" s="2" t="s">
        <v>3787</v>
      </c>
      <c r="E2893" s="2" t="s">
        <v>704</v>
      </c>
      <c r="F2893" s="11" t="s">
        <v>2901</v>
      </c>
      <c r="G2893" t="s">
        <v>37</v>
      </c>
      <c r="H2893" t="s">
        <v>2902</v>
      </c>
      <c r="I2893" t="s">
        <v>3835</v>
      </c>
      <c r="J2893" s="6" t="str">
        <f>HYPERLINK("https://www.biovista.com/db/link/%5B%5B%22Disease%7CSpinocerebellar%20Ataxia%20Type%203%22%5D,%20%5B%22Pathway%7Cmitotic%20nuclear%20division%22%5D%5D?strength-weight-map=%257B%2522MEDLINE_STRENGTH_AB%2522:1.0,%2522HPO%2522:100.0%257D", "Show Evidence...")</f>
        <v>Show Evidence...</v>
      </c>
    </row>
    <row r="2894" spans="1:10" ht="12.75">
      <c r="A2894" s="2" t="s">
        <v>50</v>
      </c>
      <c r="B2894" s="2" t="s">
        <v>3786</v>
      </c>
      <c r="C2894" s="2" t="s">
        <v>24</v>
      </c>
      <c r="D2894" s="2" t="s">
        <v>3787</v>
      </c>
      <c r="E2894" s="2" t="s">
        <v>704</v>
      </c>
      <c r="F2894" s="11" t="s">
        <v>3771</v>
      </c>
      <c r="G2894" t="s">
        <v>37</v>
      </c>
      <c r="H2894" t="s">
        <v>3772</v>
      </c>
      <c r="I2894" t="s">
        <v>3835</v>
      </c>
      <c r="J2894" s="6" t="str">
        <f>HYPERLINK("https://www.biovista.com/db/link/%5B%5B%22Disease%7CSpinocerebellar%20Ataxia%20Type%203%22%5D,%20%5B%22Pathway%7Cparturition%22%5D%5D?strength-weight-map=%257B%2522MEDLINE_STRENGTH_AB%2522:1.0,%2522HPO%2522:100.0%257D", "Show Evidence...")</f>
        <v>Show Evidence...</v>
      </c>
    </row>
    <row r="2895" spans="1:10" ht="12.75">
      <c r="A2895" s="2" t="s">
        <v>50</v>
      </c>
      <c r="B2895" s="2" t="s">
        <v>3786</v>
      </c>
      <c r="C2895" s="2" t="s">
        <v>24</v>
      </c>
      <c r="D2895" s="2" t="s">
        <v>3787</v>
      </c>
      <c r="E2895" s="2" t="s">
        <v>704</v>
      </c>
      <c r="F2895" s="11" t="s">
        <v>4206</v>
      </c>
      <c r="G2895" t="s">
        <v>37</v>
      </c>
      <c r="H2895" t="s">
        <v>4207</v>
      </c>
      <c r="I2895" t="s">
        <v>3835</v>
      </c>
      <c r="J2895" s="6" t="s">
        <v>4208</v>
      </c>
    </row>
    <row r="2896" spans="1:10" ht="12.75">
      <c r="A2896" s="2" t="s">
        <v>50</v>
      </c>
      <c r="B2896" s="2" t="s">
        <v>3786</v>
      </c>
      <c r="C2896" s="2" t="s">
        <v>24</v>
      </c>
      <c r="D2896" s="2" t="s">
        <v>3787</v>
      </c>
      <c r="E2896" s="2" t="s">
        <v>704</v>
      </c>
      <c r="F2896" s="11" t="s">
        <v>4209</v>
      </c>
      <c r="G2896" t="s">
        <v>37</v>
      </c>
      <c r="H2896" t="s">
        <v>4210</v>
      </c>
      <c r="I2896" t="s">
        <v>3835</v>
      </c>
      <c r="J2896" s="6" t="str">
        <f>HYPERLINK("https://www.biovista.com/db/link/%5B%5B%22Disease%7CSpinocerebellar%20Ataxia%20Type%203%22%5D,%20%5B%22Pathway%7Cprotein%20phosphorylation%22%5D%5D?strength-weight-map=%257B%2522MEDLINE_STRENGTH_AB%2522:1.0,%2522HPO%2522:100.0%257D", "Show Evidence...")</f>
        <v>Show Evidence...</v>
      </c>
    </row>
    <row r="2897" spans="1:10" ht="12.75">
      <c r="A2897" s="2" t="s">
        <v>50</v>
      </c>
      <c r="B2897" s="2" t="s">
        <v>3786</v>
      </c>
      <c r="C2897" s="2" t="s">
        <v>24</v>
      </c>
      <c r="D2897" s="2" t="s">
        <v>3787</v>
      </c>
      <c r="E2897" s="2" t="s">
        <v>704</v>
      </c>
      <c r="F2897" s="11" t="s">
        <v>4211</v>
      </c>
      <c r="G2897" t="s">
        <v>37</v>
      </c>
      <c r="H2897" t="s">
        <v>4212</v>
      </c>
      <c r="I2897" t="s">
        <v>3835</v>
      </c>
      <c r="J2897" s="6" t="str">
        <f>HYPERLINK("https://www.biovista.com/db/link/%5B%5B%22Disease%7CSpinocerebellar%20Ataxia%20Type%203%22%5D,%20%5B%22Pathway%7Cprotein%20processing%22%5D%5D?strength-weight-map=%257B%2522MEDLINE_STRENGTH_AB%2522:1.0,%2522HPO%2522:100.0%257D", "Show Evidence...")</f>
        <v>Show Evidence...</v>
      </c>
    </row>
    <row r="2898" spans="1:10" ht="12.75">
      <c r="A2898" s="2" t="s">
        <v>50</v>
      </c>
      <c r="B2898" s="2" t="s">
        <v>3786</v>
      </c>
      <c r="C2898" s="2" t="s">
        <v>24</v>
      </c>
      <c r="D2898" s="2" t="s">
        <v>3787</v>
      </c>
      <c r="E2898" s="2" t="s">
        <v>704</v>
      </c>
      <c r="F2898" s="11" t="s">
        <v>4213</v>
      </c>
      <c r="G2898" t="s">
        <v>37</v>
      </c>
      <c r="H2898" t="s">
        <v>4214</v>
      </c>
      <c r="I2898" t="s">
        <v>3835</v>
      </c>
      <c r="J2898" s="6" t="s">
        <v>4215</v>
      </c>
    </row>
    <row r="2899" spans="1:10" ht="12.75">
      <c r="A2899" s="2" t="s">
        <v>50</v>
      </c>
      <c r="B2899" s="2" t="s">
        <v>3786</v>
      </c>
      <c r="C2899" s="2" t="s">
        <v>24</v>
      </c>
      <c r="D2899" s="2" t="s">
        <v>3787</v>
      </c>
      <c r="E2899" s="2" t="s">
        <v>704</v>
      </c>
      <c r="F2899" s="11" t="s">
        <v>830</v>
      </c>
      <c r="G2899" t="s">
        <v>37</v>
      </c>
      <c r="H2899" t="s">
        <v>831</v>
      </c>
      <c r="I2899" t="s">
        <v>3835</v>
      </c>
      <c r="J2899" s="6" t="str">
        <f>HYPERLINK("https://www.biovista.com/db/link/%5B%5B%22Disease%7CSpinocerebellar%20Ataxia%20Type%203%22%5D,%20%5B%22Pathway%7Cresponse%20to%20xenobiotic%20stimulus%22%5D%5D?strength-weight-map=%257B%2522MEDLINE_STRENGTH_AB%2522:1.0,%2522HPO%2522:100.0%257D", "Show Evidence...")</f>
        <v>Show Evidence...</v>
      </c>
    </row>
    <row r="2900" spans="1:10" ht="12.75">
      <c r="A2900" s="2" t="s">
        <v>50</v>
      </c>
      <c r="B2900" s="2" t="s">
        <v>3786</v>
      </c>
      <c r="C2900" s="2" t="s">
        <v>24</v>
      </c>
      <c r="D2900" s="2" t="s">
        <v>3787</v>
      </c>
      <c r="E2900" s="2" t="s">
        <v>704</v>
      </c>
      <c r="F2900" s="11" t="s">
        <v>2879</v>
      </c>
      <c r="G2900" t="s">
        <v>37</v>
      </c>
      <c r="H2900" t="s">
        <v>2880</v>
      </c>
      <c r="I2900" t="s">
        <v>3835</v>
      </c>
      <c r="J2900" s="6" t="str">
        <f>HYPERLINK("https://www.biovista.com/db/link/%5B%5B%22Disease%7CSpinocerebellar%20Ataxia%20Type%203%22%5D,%20%5B%22Pathway%7Cskeletal%20muscle%20tissue%20development%22%5D%5D?strength-weight-map=%257B%2522MEDLINE_STRENGTH_AB%2522:1.0,%2522HPO%2522:100.0%257D", "Show Evidence...")</f>
        <v>Show Evidence...</v>
      </c>
    </row>
    <row r="2901" spans="1:10" ht="12.75">
      <c r="A2901" s="2" t="s">
        <v>50</v>
      </c>
      <c r="B2901" s="2" t="s">
        <v>4216</v>
      </c>
      <c r="C2901" s="2" t="s">
        <v>24</v>
      </c>
      <c r="D2901" s="2" t="s">
        <v>4217</v>
      </c>
      <c r="E2901" s="2" t="s">
        <v>53</v>
      </c>
      <c r="F2901" s="11" t="s">
        <v>99</v>
      </c>
      <c r="G2901" t="s">
        <v>39</v>
      </c>
      <c r="H2901" t="s">
        <v>100</v>
      </c>
      <c r="I2901" t="s">
        <v>4218</v>
      </c>
      <c r="J2901" s="6" t="str">
        <f>HYPERLINK("https://www.biovista.com/db/link/%5B%5B%22Disease%7CSSADH%20Deficiency%22%5D,%20%5B%22Drug%7Cgamma-Aminobutyric%20Acid%22%5D%5D?strength-weight-map=%257B%2522MEDLINE_STRENGTH_AB%2522:1.0,%2522HPO%2522:100.0%257D", "Show Evidence...")</f>
        <v>Show Evidence...</v>
      </c>
    </row>
    <row r="2902" spans="1:10" ht="12.75">
      <c r="A2902" s="2" t="s">
        <v>50</v>
      </c>
      <c r="B2902" s="2" t="s">
        <v>4216</v>
      </c>
      <c r="C2902" s="2" t="s">
        <v>24</v>
      </c>
      <c r="D2902" s="2" t="s">
        <v>4217</v>
      </c>
      <c r="E2902" s="2" t="s">
        <v>53</v>
      </c>
      <c r="F2902" s="11" t="s">
        <v>3468</v>
      </c>
      <c r="G2902" t="s">
        <v>39</v>
      </c>
      <c r="H2902" t="s">
        <v>3469</v>
      </c>
      <c r="I2902" t="s">
        <v>4219</v>
      </c>
      <c r="J2902" s="6" t="str">
        <f>HYPERLINK("https://www.biovista.com/db/link/%5B%5B%22Disease%7CSSADH%20Deficiency%22%5D,%20%5B%22Drug%7CSodium%20Oxybate%22%5D%5D?strength-weight-map=%257B%2522MEDLINE_STRENGTH_AB%2522:1.0,%2522HPO%2522:100.0%257D", "Show Evidence...")</f>
        <v>Show Evidence...</v>
      </c>
    </row>
    <row r="2903" spans="1:10" ht="12.75">
      <c r="A2903" s="2" t="s">
        <v>50</v>
      </c>
      <c r="B2903" s="2" t="s">
        <v>4216</v>
      </c>
      <c r="C2903" s="2" t="s">
        <v>24</v>
      </c>
      <c r="D2903" s="2" t="s">
        <v>4217</v>
      </c>
      <c r="E2903" s="2" t="s">
        <v>53</v>
      </c>
      <c r="F2903" s="11" t="s">
        <v>974</v>
      </c>
      <c r="G2903" t="s">
        <v>39</v>
      </c>
      <c r="H2903" t="s">
        <v>975</v>
      </c>
      <c r="I2903" t="s">
        <v>4220</v>
      </c>
      <c r="J2903" s="6" t="str">
        <f>HYPERLINK("https://www.biovista.com/db/link/%5B%5B%22Disease%7CSSADH%20Deficiency%22%5D,%20%5B%22Drug%7CVigabatrin%22%5D%5D?strength-weight-map=%257B%2522MEDLINE_STRENGTH_AB%2522:1.0,%2522HPO%2522:100.0%257D", "Show Evidence...")</f>
        <v>Show Evidence...</v>
      </c>
    </row>
    <row r="2904" spans="1:10" ht="12.75">
      <c r="A2904" s="2" t="s">
        <v>50</v>
      </c>
      <c r="B2904" s="2" t="s">
        <v>4216</v>
      </c>
      <c r="C2904" s="2" t="s">
        <v>24</v>
      </c>
      <c r="D2904" s="2" t="s">
        <v>4217</v>
      </c>
      <c r="E2904" s="2" t="s">
        <v>53</v>
      </c>
      <c r="F2904" s="11" t="s">
        <v>81</v>
      </c>
      <c r="G2904" t="s">
        <v>39</v>
      </c>
      <c r="H2904" t="s">
        <v>82</v>
      </c>
      <c r="I2904" t="s">
        <v>4221</v>
      </c>
      <c r="J2904" s="6" t="str">
        <f>HYPERLINK("https://www.biovista.com/db/link/%5B%5B%22Disease%7CSSADH%20Deficiency%22%5D,%20%5B%22Drug%7CDopamine%22%5D%5D?strength-weight-map=%257B%2522MEDLINE_STRENGTH_AB%2522:1.0,%2522HPO%2522:100.0%257D", "Show Evidence...")</f>
        <v>Show Evidence...</v>
      </c>
    </row>
    <row r="2905" spans="1:10" ht="12.75">
      <c r="A2905" s="2" t="s">
        <v>50</v>
      </c>
      <c r="B2905" s="2" t="s">
        <v>4216</v>
      </c>
      <c r="C2905" s="2" t="s">
        <v>24</v>
      </c>
      <c r="D2905" s="2" t="s">
        <v>4217</v>
      </c>
      <c r="E2905" s="2" t="s">
        <v>53</v>
      </c>
      <c r="F2905" s="11" t="s">
        <v>4222</v>
      </c>
      <c r="G2905" t="s">
        <v>39</v>
      </c>
      <c r="H2905" t="s">
        <v>4223</v>
      </c>
      <c r="I2905" t="s">
        <v>4221</v>
      </c>
      <c r="J2905" s="6" t="str">
        <f>HYPERLINK("https://www.biovista.com/db/link/%5B%5B%22Disease%7CSSADH%20Deficiency%22%5D,%20%5B%22Drug%7CNCS%20382%22%5D%5D?strength-weight-map=%257B%2522MEDLINE_STRENGTH_AB%2522:1.0,%2522HPO%2522:100.0%257D", "Show Evidence...")</f>
        <v>Show Evidence...</v>
      </c>
    </row>
    <row r="2906" spans="1:10" ht="12.75">
      <c r="A2906" s="2" t="s">
        <v>50</v>
      </c>
      <c r="B2906" s="2" t="s">
        <v>4216</v>
      </c>
      <c r="C2906" s="2" t="s">
        <v>24</v>
      </c>
      <c r="D2906" s="2" t="s">
        <v>4217</v>
      </c>
      <c r="E2906" s="2" t="s">
        <v>53</v>
      </c>
      <c r="F2906" s="11" t="s">
        <v>1007</v>
      </c>
      <c r="G2906" t="s">
        <v>39</v>
      </c>
      <c r="H2906" t="s">
        <v>1008</v>
      </c>
      <c r="I2906" t="s">
        <v>4221</v>
      </c>
      <c r="J2906" s="6" t="str">
        <f>HYPERLINK("https://www.biovista.com/db/link/%5B%5B%22Disease%7CSSADH%20Deficiency%22%5D,%20%5B%22Drug%7CValproic%20Acid%22%5D%5D?strength-weight-map=%257B%2522MEDLINE_STRENGTH_AB%2522:1.0,%2522HPO%2522:100.0%257D", "Show Evidence...")</f>
        <v>Show Evidence...</v>
      </c>
    </row>
    <row r="2907" spans="1:10" ht="12.75">
      <c r="A2907" s="2" t="s">
        <v>50</v>
      </c>
      <c r="B2907" s="2" t="s">
        <v>4216</v>
      </c>
      <c r="C2907" s="2" t="s">
        <v>24</v>
      </c>
      <c r="D2907" s="2" t="s">
        <v>4217</v>
      </c>
      <c r="E2907" s="2" t="s">
        <v>53</v>
      </c>
      <c r="F2907" s="11" t="s">
        <v>1003</v>
      </c>
      <c r="G2907" t="s">
        <v>39</v>
      </c>
      <c r="H2907" t="s">
        <v>1004</v>
      </c>
      <c r="I2907" t="s">
        <v>4224</v>
      </c>
      <c r="J2907" s="6" t="str">
        <f>HYPERLINK("https://www.biovista.com/db/link/%5B%5B%22Disease%7CSSADH%20Deficiency%22%5D,%20%5B%22Drug%7CPyridoxine%22%5D%5D?strength-weight-map=%257B%2522MEDLINE_STRENGTH_AB%2522:1.0,%2522HPO%2522:100.0%257D", "Show Evidence...")</f>
        <v>Show Evidence...</v>
      </c>
    </row>
    <row r="2908" spans="1:10" ht="12.75">
      <c r="A2908" s="2" t="s">
        <v>50</v>
      </c>
      <c r="B2908" s="2" t="s">
        <v>4216</v>
      </c>
      <c r="C2908" s="2" t="s">
        <v>24</v>
      </c>
      <c r="D2908" s="2" t="s">
        <v>4217</v>
      </c>
      <c r="E2908" s="2" t="s">
        <v>53</v>
      </c>
      <c r="F2908" s="11" t="s">
        <v>4225</v>
      </c>
      <c r="G2908" t="s">
        <v>39</v>
      </c>
      <c r="H2908" t="s">
        <v>4226</v>
      </c>
      <c r="I2908" t="s">
        <v>4227</v>
      </c>
      <c r="J2908" s="6" t="str">
        <f>HYPERLINK("https://www.biovista.com/db/link/%5B%5B%22Disease%7CSSADH%20Deficiency%22%5D,%20%5B%22Drug%7C(3-aminopropyl)(n-butyl)phosphinic%20acid%22%5D%5D?strength-weight-map=%257B%2522MEDLINE_STRENGTH_AB%2522:1.0,%2522HPO%2522:100.0%257D", "Show Evidence...")</f>
        <v>Show Evidence...</v>
      </c>
    </row>
    <row r="2909" spans="1:10" ht="12.75">
      <c r="A2909" s="2" t="s">
        <v>50</v>
      </c>
      <c r="B2909" s="2" t="s">
        <v>4216</v>
      </c>
      <c r="C2909" s="2" t="s">
        <v>24</v>
      </c>
      <c r="D2909" s="2" t="s">
        <v>4217</v>
      </c>
      <c r="E2909" s="2" t="s">
        <v>53</v>
      </c>
      <c r="F2909" s="11" t="s">
        <v>2514</v>
      </c>
      <c r="G2909" t="s">
        <v>39</v>
      </c>
      <c r="H2909" t="s">
        <v>2515</v>
      </c>
      <c r="I2909" t="s">
        <v>4227</v>
      </c>
      <c r="J2909" s="6" t="str">
        <f>HYPERLINK("https://www.biovista.com/db/link/%5B%5B%22Disease%7CSSADH%20Deficiency%22%5D,%20%5B%22Drug%7CFlumazenil%22%5D%5D?strength-weight-map=%257B%2522MEDLINE_STRENGTH_AB%2522:1.0,%2522HPO%2522:100.0%257D", "Show Evidence...")</f>
        <v>Show Evidence...</v>
      </c>
    </row>
    <row r="2910" spans="1:10" ht="12.75">
      <c r="A2910" s="2" t="s">
        <v>50</v>
      </c>
      <c r="B2910" s="2" t="s">
        <v>4216</v>
      </c>
      <c r="C2910" s="2" t="s">
        <v>24</v>
      </c>
      <c r="D2910" s="2" t="s">
        <v>4217</v>
      </c>
      <c r="E2910" s="2" t="s">
        <v>53</v>
      </c>
      <c r="F2910" s="11" t="s">
        <v>90</v>
      </c>
      <c r="G2910" t="s">
        <v>39</v>
      </c>
      <c r="H2910" t="s">
        <v>91</v>
      </c>
      <c r="I2910" t="s">
        <v>4227</v>
      </c>
      <c r="J2910" s="6" t="str">
        <f>HYPERLINK("https://www.biovista.com/db/link/%5B%5B%22Disease%7CSSADH%20Deficiency%22%5D,%20%5B%22Drug%7CSuperoxide%20Dismutase%22%5D%5D?strength-weight-map=%257B%2522MEDLINE_STRENGTH_AB%2522:1.0,%2522HPO%2522:100.0%257D", "Show Evidence...")</f>
        <v>Show Evidence...</v>
      </c>
    </row>
    <row r="2911" spans="1:10" ht="12.75">
      <c r="A2911" s="2" t="s">
        <v>50</v>
      </c>
      <c r="B2911" s="2" t="s">
        <v>4216</v>
      </c>
      <c r="C2911" s="2" t="s">
        <v>24</v>
      </c>
      <c r="D2911" s="2" t="s">
        <v>4217</v>
      </c>
      <c r="E2911" s="2" t="s">
        <v>53</v>
      </c>
      <c r="F2911" s="11" t="s">
        <v>4228</v>
      </c>
      <c r="G2911" t="s">
        <v>39</v>
      </c>
      <c r="H2911" t="s">
        <v>4229</v>
      </c>
      <c r="I2911" t="s">
        <v>4230</v>
      </c>
      <c r="J2911" s="6" t="str">
        <f>HYPERLINK("https://www.biovista.com/db/link/%5B%5B%22Disease%7CSSADH%20Deficiency%22%5D,%20%5B%22Drug%7C4-hydroxy-2-nonenal%22%5D%5D?strength-weight-map=%257B%2522MEDLINE_STRENGTH_AB%2522:1.0,%2522HPO%2522:100.0%257D", "Show Evidence...")</f>
        <v>Show Evidence...</v>
      </c>
    </row>
    <row r="2912" spans="1:10" ht="12.75">
      <c r="A2912" s="2" t="s">
        <v>50</v>
      </c>
      <c r="B2912" s="2" t="s">
        <v>4216</v>
      </c>
      <c r="C2912" s="2" t="s">
        <v>24</v>
      </c>
      <c r="D2912" s="2" t="s">
        <v>4217</v>
      </c>
      <c r="E2912" s="2" t="s">
        <v>53</v>
      </c>
      <c r="F2912" s="11" t="s">
        <v>4231</v>
      </c>
      <c r="G2912" t="s">
        <v>39</v>
      </c>
      <c r="H2912" t="s">
        <v>4232</v>
      </c>
      <c r="I2912" t="s">
        <v>4230</v>
      </c>
      <c r="J2912" s="6" t="str">
        <f>HYPERLINK("https://www.biovista.com/db/link/%5B%5B%22Disease%7CSSADH%20Deficiency%22%5D,%20%5B%22Drug%7CCGP%2035348%22%5D%5D?strength-weight-map=%257B%2522MEDLINE_STRENGTH_AB%2522:1.0,%2522HPO%2522:100.0%257D", "Show Evidence...")</f>
        <v>Show Evidence...</v>
      </c>
    </row>
    <row r="2913" spans="1:10" ht="12.75">
      <c r="A2913" s="2" t="s">
        <v>50</v>
      </c>
      <c r="B2913" s="2" t="s">
        <v>4216</v>
      </c>
      <c r="C2913" s="2" t="s">
        <v>24</v>
      </c>
      <c r="D2913" s="2" t="s">
        <v>4217</v>
      </c>
      <c r="E2913" s="2" t="s">
        <v>53</v>
      </c>
      <c r="F2913" s="11" t="s">
        <v>138</v>
      </c>
      <c r="G2913" t="s">
        <v>39</v>
      </c>
      <c r="H2913" t="s">
        <v>139</v>
      </c>
      <c r="I2913" t="s">
        <v>4230</v>
      </c>
      <c r="J2913" s="6" t="str">
        <f>HYPERLINK("https://www.biovista.com/db/link/%5B%5B%22Disease%7CSSADH%20Deficiency%22%5D,%20%5B%22Drug%7CLactic%20Acid%22%5D%5D?strength-weight-map=%257B%2522MEDLINE_STRENGTH_AB%2522:1.0,%2522HPO%2522:100.0%257D", "Show Evidence...")</f>
        <v>Show Evidence...</v>
      </c>
    </row>
    <row r="2914" spans="1:10" ht="12.75">
      <c r="A2914" s="2" t="s">
        <v>50</v>
      </c>
      <c r="B2914" s="2" t="s">
        <v>4216</v>
      </c>
      <c r="C2914" s="2" t="s">
        <v>24</v>
      </c>
      <c r="D2914" s="2" t="s">
        <v>4217</v>
      </c>
      <c r="E2914" s="2" t="s">
        <v>53</v>
      </c>
      <c r="F2914" s="11" t="s">
        <v>72</v>
      </c>
      <c r="G2914" t="s">
        <v>39</v>
      </c>
      <c r="H2914" t="s">
        <v>73</v>
      </c>
      <c r="I2914" t="s">
        <v>4230</v>
      </c>
      <c r="J2914" s="6" t="str">
        <f>HYPERLINK("https://www.biovista.com/db/link/%5B%5B%22Disease%7CSSADH%20Deficiency%22%5D,%20%5B%22Drug%7CSerotonin%22%5D%5D?strength-weight-map=%257B%2522MEDLINE_STRENGTH_AB%2522:1.0,%2522HPO%2522:100.0%257D", "Show Evidence...")</f>
        <v>Show Evidence...</v>
      </c>
    </row>
    <row r="2915" spans="1:10" ht="12.75">
      <c r="A2915" s="2" t="s">
        <v>50</v>
      </c>
      <c r="B2915" s="2" t="s">
        <v>4216</v>
      </c>
      <c r="C2915" s="2" t="s">
        <v>24</v>
      </c>
      <c r="D2915" s="2" t="s">
        <v>4217</v>
      </c>
      <c r="E2915" s="2" t="s">
        <v>53</v>
      </c>
      <c r="F2915" s="11" t="s">
        <v>261</v>
      </c>
      <c r="G2915" t="s">
        <v>39</v>
      </c>
      <c r="H2915" t="s">
        <v>262</v>
      </c>
      <c r="I2915" t="s">
        <v>4230</v>
      </c>
      <c r="J2915" s="6" t="str">
        <f>HYPERLINK("https://www.biovista.com/db/link/%5B%5B%22Disease%7CSSADH%20Deficiency%22%5D,%20%5B%22Drug%7CSirolimus%22%5D%5D?strength-weight-map=%257B%2522MEDLINE_STRENGTH_AB%2522:1.0,%2522HPO%2522:100.0%257D", "Show Evidence...")</f>
        <v>Show Evidence...</v>
      </c>
    </row>
    <row r="2916" spans="1:10" ht="12.75">
      <c r="A2916" s="2" t="s">
        <v>50</v>
      </c>
      <c r="B2916" s="2" t="s">
        <v>4216</v>
      </c>
      <c r="C2916" s="2" t="s">
        <v>24</v>
      </c>
      <c r="D2916" s="2" t="s">
        <v>4217</v>
      </c>
      <c r="E2916" s="2" t="s">
        <v>53</v>
      </c>
      <c r="F2916" s="11" t="s">
        <v>922</v>
      </c>
      <c r="G2916" t="s">
        <v>39</v>
      </c>
      <c r="H2916" t="s">
        <v>923</v>
      </c>
      <c r="I2916" t="s">
        <v>4233</v>
      </c>
      <c r="J2916" s="6" t="str">
        <f>HYPERLINK("https://www.biovista.com/db/link/%5B%5B%22Disease%7CSSADH%20Deficiency%22%5D,%20%5B%22Drug%7CCarnitine%22%5D%5D?strength-weight-map=%257B%2522MEDLINE_STRENGTH_AB%2522:1.0,%2522HPO%2522:100.0%257D", "Show Evidence...")</f>
        <v>Show Evidence...</v>
      </c>
    </row>
    <row r="2917" spans="1:10" ht="12.75">
      <c r="A2917" s="2" t="s">
        <v>50</v>
      </c>
      <c r="B2917" s="2" t="s">
        <v>4216</v>
      </c>
      <c r="C2917" s="2" t="s">
        <v>24</v>
      </c>
      <c r="D2917" s="2" t="s">
        <v>4217</v>
      </c>
      <c r="E2917" s="2" t="s">
        <v>53</v>
      </c>
      <c r="F2917" s="11" t="s">
        <v>4234</v>
      </c>
      <c r="G2917" t="s">
        <v>39</v>
      </c>
      <c r="H2917" t="s">
        <v>4235</v>
      </c>
      <c r="I2917" t="s">
        <v>4233</v>
      </c>
      <c r="J2917" s="6" t="str">
        <f>HYPERLINK("https://www.biovista.com/db/link/%5B%5B%22Disease%7CSSADH%20Deficiency%22%5D,%20%5B%22Drug%7CDextromethorphan%22%5D%5D?strength-weight-map=%257B%2522MEDLINE_STRENGTH_AB%2522:1.0,%2522HPO%2522:100.0%257D", "Show Evidence...")</f>
        <v>Show Evidence...</v>
      </c>
    </row>
    <row r="2918" spans="1:10" ht="12.75">
      <c r="A2918" s="2" t="s">
        <v>50</v>
      </c>
      <c r="B2918" s="2" t="s">
        <v>4216</v>
      </c>
      <c r="C2918" s="2" t="s">
        <v>24</v>
      </c>
      <c r="D2918" s="2" t="s">
        <v>4217</v>
      </c>
      <c r="E2918" s="2" t="s">
        <v>53</v>
      </c>
      <c r="F2918" s="11" t="s">
        <v>1095</v>
      </c>
      <c r="G2918" t="s">
        <v>39</v>
      </c>
      <c r="H2918" t="s">
        <v>1096</v>
      </c>
      <c r="I2918" t="s">
        <v>4233</v>
      </c>
      <c r="J2918" s="6" t="str">
        <f>HYPERLINK("https://www.biovista.com/db/link/%5B%5B%22Disease%7CSSADH%20Deficiency%22%5D,%20%5B%22Drug%7CLevodopa%22%5D%5D?strength-weight-map=%257B%2522MEDLINE_STRENGTH_AB%2522:1.0,%2522HPO%2522:100.0%257D", "Show Evidence...")</f>
        <v>Show Evidence...</v>
      </c>
    </row>
    <row r="2919" spans="1:10" ht="12.75">
      <c r="A2919" s="2" t="s">
        <v>50</v>
      </c>
      <c r="B2919" s="2" t="s">
        <v>4216</v>
      </c>
      <c r="C2919" s="2" t="s">
        <v>24</v>
      </c>
      <c r="D2919" s="2" t="s">
        <v>4217</v>
      </c>
      <c r="E2919" s="2" t="s">
        <v>53</v>
      </c>
      <c r="F2919" s="11" t="s">
        <v>96</v>
      </c>
      <c r="G2919" t="s">
        <v>39</v>
      </c>
      <c r="H2919" t="s">
        <v>97</v>
      </c>
      <c r="I2919" t="s">
        <v>4233</v>
      </c>
      <c r="J2919" s="6" t="str">
        <f>HYPERLINK("https://www.biovista.com/db/link/%5B%5B%22Disease%7CSSADH%20Deficiency%22%5D,%20%5B%22Drug%7CNorepinephrine%22%5D%5D?strength-weight-map=%257B%2522MEDLINE_STRENGTH_AB%2522:1.0,%2522HPO%2522:100.0%257D", "Show Evidence...")</f>
        <v>Show Evidence...</v>
      </c>
    </row>
    <row r="2920" spans="1:10" ht="12.75">
      <c r="A2920" s="2" t="s">
        <v>50</v>
      </c>
      <c r="B2920" s="2" t="s">
        <v>4216</v>
      </c>
      <c r="C2920" s="2" t="s">
        <v>24</v>
      </c>
      <c r="D2920" s="2" t="s">
        <v>4217</v>
      </c>
      <c r="E2920" s="2" t="s">
        <v>53</v>
      </c>
      <c r="F2920" s="11" t="s">
        <v>1931</v>
      </c>
      <c r="G2920" t="s">
        <v>39</v>
      </c>
      <c r="H2920" t="s">
        <v>1932</v>
      </c>
      <c r="I2920" t="s">
        <v>4233</v>
      </c>
      <c r="J2920" s="6" t="str">
        <f>HYPERLINK("https://www.biovista.com/db/link/%5B%5B%22Disease%7CSSADH%20Deficiency%22%5D,%20%5B%22Drug%7CPhenobarbital%22%5D%5D?strength-weight-map=%257B%2522MEDLINE_STRENGTH_AB%2522:1.0,%2522HPO%2522:100.0%257D", "Show Evidence...")</f>
        <v>Show Evidence...</v>
      </c>
    </row>
    <row r="2921" spans="1:10" ht="12.75">
      <c r="A2921" s="2" t="s">
        <v>50</v>
      </c>
      <c r="B2921" s="2" t="s">
        <v>4216</v>
      </c>
      <c r="C2921" s="2" t="s">
        <v>24</v>
      </c>
      <c r="D2921" s="2" t="s">
        <v>4217</v>
      </c>
      <c r="E2921" s="2" t="s">
        <v>53</v>
      </c>
      <c r="F2921" s="11" t="s">
        <v>1103</v>
      </c>
      <c r="G2921" t="s">
        <v>39</v>
      </c>
      <c r="H2921" t="s">
        <v>1104</v>
      </c>
      <c r="I2921" t="s">
        <v>4233</v>
      </c>
      <c r="J2921" s="6" t="str">
        <f>HYPERLINK("https://www.biovista.com/db/link/%5B%5B%22Disease%7CSSADH%20Deficiency%22%5D,%20%5B%22Drug%7CPyridoxal%20Phosphate%22%5D%5D?strength-weight-map=%257B%2522MEDLINE_STRENGTH_AB%2522:1.0,%2522HPO%2522:100.0%257D", "Show Evidence...")</f>
        <v>Show Evidence...</v>
      </c>
    </row>
    <row r="2922" spans="1:10" ht="12.75">
      <c r="A2922" s="2" t="s">
        <v>50</v>
      </c>
      <c r="B2922" s="2" t="s">
        <v>4216</v>
      </c>
      <c r="C2922" s="2" t="s">
        <v>24</v>
      </c>
      <c r="D2922" s="2" t="s">
        <v>4217</v>
      </c>
      <c r="E2922" s="2" t="s">
        <v>53</v>
      </c>
      <c r="F2922" s="11" t="s">
        <v>4236</v>
      </c>
      <c r="G2922" t="s">
        <v>39</v>
      </c>
      <c r="H2922" t="s">
        <v>4237</v>
      </c>
      <c r="I2922" t="s">
        <v>4233</v>
      </c>
      <c r="J2922" s="6" t="str">
        <f>HYPERLINK("https://www.biovista.com/db/link/%5B%5B%22Disease%7CSSADH%20Deficiency%22%5D,%20%5B%22Drug%7CRisperidone%22%5D%5D?strength-weight-map=%257B%2522MEDLINE_STRENGTH_AB%2522:1.0,%2522HPO%2522:100.0%257D", "Show Evidence...")</f>
        <v>Show Evidence...</v>
      </c>
    </row>
    <row r="2923" spans="1:10" ht="12.75">
      <c r="A2923" s="2" t="s">
        <v>50</v>
      </c>
      <c r="B2923" s="2" t="s">
        <v>4216</v>
      </c>
      <c r="C2923" s="2" t="s">
        <v>24</v>
      </c>
      <c r="D2923" s="2" t="s">
        <v>4217</v>
      </c>
      <c r="E2923" s="2" t="s">
        <v>53</v>
      </c>
      <c r="F2923" s="11" t="s">
        <v>4238</v>
      </c>
      <c r="G2923" t="s">
        <v>39</v>
      </c>
      <c r="H2923" t="s">
        <v>4239</v>
      </c>
      <c r="I2923" t="s">
        <v>4233</v>
      </c>
      <c r="J2923" s="6" t="str">
        <f>HYPERLINK("https://www.biovista.com/db/link/%5B%5B%22Disease%7CSSADH%20Deficiency%22%5D,%20%5B%22Drug%7Ctert-butylbicyclophosphorothionate%22%5D%5D?strength-weight-map=%257B%2522MEDLINE_STRENGTH_AB%2522:1.0,%2522HPO%2522:100.0%257D", "Show Evidence...")</f>
        <v>Show Evidence...</v>
      </c>
    </row>
    <row r="2924" spans="1:10" ht="12.75">
      <c r="A2924" s="2" t="s">
        <v>50</v>
      </c>
      <c r="B2924" s="2" t="s">
        <v>4216</v>
      </c>
      <c r="C2924" s="2" t="s">
        <v>24</v>
      </c>
      <c r="D2924" s="2" t="s">
        <v>4217</v>
      </c>
      <c r="E2924" s="2" t="s">
        <v>53</v>
      </c>
      <c r="F2924" s="11" t="s">
        <v>4240</v>
      </c>
      <c r="G2924" t="s">
        <v>39</v>
      </c>
      <c r="H2924" t="s">
        <v>4241</v>
      </c>
      <c r="I2924" t="s">
        <v>4242</v>
      </c>
      <c r="J2924" s="6" t="str">
        <f>HYPERLINK("https://www.biovista.com/db/link/%5B%5B%22Disease%7CSSADH%20Deficiency%22%5D,%20%5B%22Drug%7CAcamprosate%22%5D%5D?strength-weight-map=%257B%2522MEDLINE_STRENGTH_AB%2522:1.0,%2522HPO%2522:100.0%257D", "Show Evidence...")</f>
        <v>Show Evidence...</v>
      </c>
    </row>
    <row r="2925" spans="1:10" ht="12.75">
      <c r="A2925" s="2" t="s">
        <v>50</v>
      </c>
      <c r="B2925" s="2" t="s">
        <v>4216</v>
      </c>
      <c r="C2925" s="2" t="s">
        <v>24</v>
      </c>
      <c r="D2925" s="2" t="s">
        <v>4217</v>
      </c>
      <c r="E2925" s="2" t="s">
        <v>53</v>
      </c>
      <c r="F2925" s="11" t="s">
        <v>983</v>
      </c>
      <c r="G2925" t="s">
        <v>39</v>
      </c>
      <c r="H2925" t="s">
        <v>984</v>
      </c>
      <c r="I2925" t="s">
        <v>4242</v>
      </c>
      <c r="J2925" s="6" t="str">
        <f>HYPERLINK("https://www.biovista.com/db/link/%5B%5B%22Disease%7CSSADH%20Deficiency%22%5D,%20%5B%22Drug%7Camino-acid,%20glucose,%20and%20electrolyte%20solution%22%5D%5D?strength-weight-map=%257B%2522MEDLINE_STRENGTH_AB%2522:1.0,%2522HPO%2522:100.0%257D", "Show Evidence...")</f>
        <v>Show Evidence...</v>
      </c>
    </row>
    <row r="2926" spans="1:10" ht="12.75">
      <c r="A2926" s="2" t="s">
        <v>50</v>
      </c>
      <c r="B2926" s="2" t="s">
        <v>4216</v>
      </c>
      <c r="C2926" s="2" t="s">
        <v>24</v>
      </c>
      <c r="D2926" s="2" t="s">
        <v>4217</v>
      </c>
      <c r="E2926" s="2" t="s">
        <v>53</v>
      </c>
      <c r="F2926" s="11" t="s">
        <v>3437</v>
      </c>
      <c r="G2926" t="s">
        <v>39</v>
      </c>
      <c r="H2926" t="s">
        <v>3438</v>
      </c>
      <c r="I2926" t="s">
        <v>4242</v>
      </c>
      <c r="J2926" s="6" t="str">
        <f>HYPERLINK("https://www.biovista.com/db/link/%5B%5B%22Disease%7CSSADH%20Deficiency%22%5D,%20%5B%22Drug%7CBetaine%22%5D%5D?strength-weight-map=%257B%2522MEDLINE_STRENGTH_AB%2522:1.0,%2522HPO%2522:100.0%257D", "Show Evidence...")</f>
        <v>Show Evidence...</v>
      </c>
    </row>
    <row r="2927" spans="1:10" ht="12.75">
      <c r="A2927" s="2" t="s">
        <v>50</v>
      </c>
      <c r="B2927" s="2" t="s">
        <v>4216</v>
      </c>
      <c r="C2927" s="2" t="s">
        <v>24</v>
      </c>
      <c r="D2927" s="2" t="s">
        <v>4217</v>
      </c>
      <c r="E2927" s="2" t="s">
        <v>53</v>
      </c>
      <c r="F2927" s="11" t="s">
        <v>3439</v>
      </c>
      <c r="G2927" t="s">
        <v>39</v>
      </c>
      <c r="H2927" t="s">
        <v>3440</v>
      </c>
      <c r="I2927" t="s">
        <v>4242</v>
      </c>
      <c r="J2927" s="6" t="str">
        <f>HYPERLINK("https://www.biovista.com/db/link/%5B%5B%22Disease%7CSSADH%20Deficiency%22%5D,%20%5B%22Drug%7CButyric%20Acid%22%5D%5D?strength-weight-map=%257B%2522MEDLINE_STRENGTH_AB%2522:1.0,%2522HPO%2522:100.0%257D", "Show Evidence...")</f>
        <v>Show Evidence...</v>
      </c>
    </row>
    <row r="2928" spans="1:10" ht="12.75">
      <c r="A2928" s="2" t="s">
        <v>50</v>
      </c>
      <c r="B2928" s="2" t="s">
        <v>4216</v>
      </c>
      <c r="C2928" s="2" t="s">
        <v>24</v>
      </c>
      <c r="D2928" s="2" t="s">
        <v>4217</v>
      </c>
      <c r="E2928" s="2" t="s">
        <v>53</v>
      </c>
      <c r="F2928" s="11" t="s">
        <v>4243</v>
      </c>
      <c r="G2928" t="s">
        <v>39</v>
      </c>
      <c r="H2928" t="s">
        <v>4244</v>
      </c>
      <c r="I2928" t="s">
        <v>4242</v>
      </c>
      <c r="J2928" s="6" t="str">
        <f>HYPERLINK("https://www.biovista.com/db/link/%5B%5B%22Disease%7CSSADH%20Deficiency%22%5D,%20%5B%22Drug%7CCGP%2055845A%22%5D%5D?strength-weight-map=%257B%2522MEDLINE_STRENGTH_AB%2522:1.0,%2522HPO%2522:100.0%257D", "Show Evidence...")</f>
        <v>Show Evidence...</v>
      </c>
    </row>
    <row r="2929" spans="1:10" ht="12.75">
      <c r="A2929" s="2" t="s">
        <v>50</v>
      </c>
      <c r="B2929" s="2" t="s">
        <v>4216</v>
      </c>
      <c r="C2929" s="2" t="s">
        <v>24</v>
      </c>
      <c r="D2929" s="2" t="s">
        <v>4217</v>
      </c>
      <c r="E2929" s="2" t="s">
        <v>53</v>
      </c>
      <c r="F2929" s="11" t="s">
        <v>4245</v>
      </c>
      <c r="G2929" t="s">
        <v>39</v>
      </c>
      <c r="H2929" t="s">
        <v>4246</v>
      </c>
      <c r="I2929" t="s">
        <v>4242</v>
      </c>
      <c r="J2929" s="6" t="str">
        <f>HYPERLINK("https://www.biovista.com/db/link/%5B%5B%22Disease%7CSSADH%20Deficiency%22%5D,%20%5B%22Drug%7CDiclofenac%22%5D%5D?strength-weight-map=%257B%2522MEDLINE_STRENGTH_AB%2522:1.0,%2522HPO%2522:100.0%257D", "Show Evidence...")</f>
        <v>Show Evidence...</v>
      </c>
    </row>
    <row r="2930" spans="1:10" ht="12.75">
      <c r="A2930" s="2" t="s">
        <v>50</v>
      </c>
      <c r="B2930" s="2" t="s">
        <v>4216</v>
      </c>
      <c r="C2930" s="2" t="s">
        <v>24</v>
      </c>
      <c r="D2930" s="2" t="s">
        <v>4217</v>
      </c>
      <c r="E2930" s="2" t="s">
        <v>53</v>
      </c>
      <c r="F2930" s="11" t="s">
        <v>178</v>
      </c>
      <c r="G2930" t="s">
        <v>39</v>
      </c>
      <c r="H2930" t="s">
        <v>179</v>
      </c>
      <c r="I2930" t="s">
        <v>4242</v>
      </c>
      <c r="J2930" s="6" t="str">
        <f>HYPERLINK("https://www.biovista.com/db/link/%5B%5B%22Disease%7CSSADH%20Deficiency%22%5D,%20%5B%22Drug%7CEpinephrine%22%5D%5D?strength-weight-map=%257B%2522MEDLINE_STRENGTH_AB%2522:1.0,%2522HPO%2522:100.0%257D", "Show Evidence...")</f>
        <v>Show Evidence...</v>
      </c>
    </row>
    <row r="2931" spans="1:10" ht="12.75">
      <c r="A2931" s="2" t="s">
        <v>50</v>
      </c>
      <c r="B2931" s="2" t="s">
        <v>4216</v>
      </c>
      <c r="C2931" s="2" t="s">
        <v>24</v>
      </c>
      <c r="D2931" s="2" t="s">
        <v>4217</v>
      </c>
      <c r="E2931" s="2" t="s">
        <v>53</v>
      </c>
      <c r="F2931" s="11" t="s">
        <v>131</v>
      </c>
      <c r="G2931" t="s">
        <v>39</v>
      </c>
      <c r="H2931" t="s">
        <v>132</v>
      </c>
      <c r="I2931" t="s">
        <v>4242</v>
      </c>
      <c r="J2931" s="6" t="str">
        <f>HYPERLINK("https://www.biovista.com/db/link/%5B%5B%22Disease%7CSSADH%20Deficiency%22%5D,%20%5B%22Drug%7CEscitalopram%22%5D%5D?strength-weight-map=%257B%2522MEDLINE_STRENGTH_AB%2522:1.0,%2522HPO%2522:100.0%257D", "Show Evidence...")</f>
        <v>Show Evidence...</v>
      </c>
    </row>
    <row r="2932" spans="1:10" ht="12.75">
      <c r="A2932" s="2" t="s">
        <v>50</v>
      </c>
      <c r="B2932" s="2" t="s">
        <v>4216</v>
      </c>
      <c r="C2932" s="2" t="s">
        <v>24</v>
      </c>
      <c r="D2932" s="2" t="s">
        <v>4217</v>
      </c>
      <c r="E2932" s="2" t="s">
        <v>53</v>
      </c>
      <c r="F2932" s="11" t="s">
        <v>4247</v>
      </c>
      <c r="G2932" t="s">
        <v>39</v>
      </c>
      <c r="H2932" t="s">
        <v>4248</v>
      </c>
      <c r="I2932" t="s">
        <v>4242</v>
      </c>
      <c r="J2932" s="6" t="str">
        <f>HYPERLINK("https://www.biovista.com/db/link/%5B%5B%22Disease%7CSSADH%20Deficiency%22%5D,%20%5B%22Drug%7CEthosuximide%22%5D%5D?strength-weight-map=%257B%2522MEDLINE_STRENGTH_AB%2522:1.0,%2522HPO%2522:100.0%257D", "Show Evidence...")</f>
        <v>Show Evidence...</v>
      </c>
    </row>
    <row r="2933" spans="1:10" ht="12.75">
      <c r="A2933" s="2" t="s">
        <v>50</v>
      </c>
      <c r="B2933" s="2" t="s">
        <v>4216</v>
      </c>
      <c r="C2933" s="2" t="s">
        <v>24</v>
      </c>
      <c r="D2933" s="2" t="s">
        <v>4217</v>
      </c>
      <c r="E2933" s="2" t="s">
        <v>53</v>
      </c>
      <c r="F2933" s="11" t="s">
        <v>226</v>
      </c>
      <c r="G2933" t="s">
        <v>39</v>
      </c>
      <c r="H2933" t="s">
        <v>227</v>
      </c>
      <c r="I2933" t="s">
        <v>4242</v>
      </c>
      <c r="J2933" s="6" t="str">
        <f>HYPERLINK("https://www.biovista.com/db/link/%5B%5B%22Disease%7CSSADH%20Deficiency%22%5D,%20%5B%22Drug%7CFluorodeoxyglucose%20F18%22%5D%5D?strength-weight-map=%257B%2522MEDLINE_STRENGTH_AB%2522:1.0,%2522HPO%2522:100.0%257D", "Show Evidence...")</f>
        <v>Show Evidence...</v>
      </c>
    </row>
    <row r="2934" spans="1:10" ht="12.75">
      <c r="A2934" s="2" t="s">
        <v>50</v>
      </c>
      <c r="B2934" s="2" t="s">
        <v>4216</v>
      </c>
      <c r="C2934" s="2" t="s">
        <v>24</v>
      </c>
      <c r="D2934" s="2" t="s">
        <v>4217</v>
      </c>
      <c r="E2934" s="2" t="s">
        <v>53</v>
      </c>
      <c r="F2934" s="11" t="s">
        <v>4249</v>
      </c>
      <c r="G2934" t="s">
        <v>39</v>
      </c>
      <c r="H2934" t="s">
        <v>4250</v>
      </c>
      <c r="I2934" t="s">
        <v>4242</v>
      </c>
      <c r="J2934" s="6" t="str">
        <f>HYPERLINK("https://www.biovista.com/db/link/%5B%5B%22Disease%7CSSADH%20Deficiency%22%5D,%20%5B%22Drug%7Cgabazine%22%5D%5D?strength-weight-map=%257B%2522MEDLINE_STRENGTH_AB%2522:1.0,%2522HPO%2522:100.0%257D", "Show Evidence...")</f>
        <v>Show Evidence...</v>
      </c>
    </row>
    <row r="2935" spans="1:10" ht="12.75">
      <c r="A2935" s="2" t="s">
        <v>50</v>
      </c>
      <c r="B2935" s="2" t="s">
        <v>4216</v>
      </c>
      <c r="C2935" s="2" t="s">
        <v>24</v>
      </c>
      <c r="D2935" s="2" t="s">
        <v>4217</v>
      </c>
      <c r="E2935" s="2" t="s">
        <v>53</v>
      </c>
      <c r="F2935" s="11" t="s">
        <v>4251</v>
      </c>
      <c r="G2935" t="s">
        <v>39</v>
      </c>
      <c r="H2935" t="s">
        <v>4252</v>
      </c>
      <c r="I2935" t="s">
        <v>4242</v>
      </c>
      <c r="J2935" s="6" t="str">
        <f>HYPERLINK("https://www.biovista.com/db/link/%5B%5B%22Disease%7CSSADH%20Deficiency%22%5D,%20%5B%22Drug%7Cglycolic%20acid%22%5D%5D?strength-weight-map=%257B%2522MEDLINE_STRENGTH_AB%2522:1.0,%2522HPO%2522:100.0%257D", "Show Evidence...")</f>
        <v>Show Evidence...</v>
      </c>
    </row>
    <row r="2936" spans="1:10" ht="12.75">
      <c r="A2936" s="2" t="s">
        <v>50</v>
      </c>
      <c r="B2936" s="2" t="s">
        <v>4216</v>
      </c>
      <c r="C2936" s="2" t="s">
        <v>24</v>
      </c>
      <c r="D2936" s="2" t="s">
        <v>4217</v>
      </c>
      <c r="E2936" s="2" t="s">
        <v>53</v>
      </c>
      <c r="F2936" s="11" t="s">
        <v>4253</v>
      </c>
      <c r="G2936" t="s">
        <v>39</v>
      </c>
      <c r="H2936" t="s">
        <v>4254</v>
      </c>
      <c r="I2936" t="s">
        <v>4242</v>
      </c>
      <c r="J2936" s="6" t="str">
        <f>HYPERLINK("https://www.biovista.com/db/link/%5B%5B%22Disease%7CSSADH%20Deficiency%22%5D,%20%5B%22Drug%7CHaloperidol%22%5D%5D?strength-weight-map=%257B%2522MEDLINE_STRENGTH_AB%2522:1.0,%2522HPO%2522:100.0%257D", "Show Evidence...")</f>
        <v>Show Evidence...</v>
      </c>
    </row>
    <row r="2937" spans="1:10" ht="12.75">
      <c r="A2937" s="2" t="s">
        <v>50</v>
      </c>
      <c r="B2937" s="2" t="s">
        <v>4216</v>
      </c>
      <c r="C2937" s="2" t="s">
        <v>24</v>
      </c>
      <c r="D2937" s="2" t="s">
        <v>4217</v>
      </c>
      <c r="E2937" s="2" t="s">
        <v>3826</v>
      </c>
      <c r="F2937" s="11" t="s">
        <v>3827</v>
      </c>
      <c r="G2937" t="s">
        <v>39</v>
      </c>
      <c r="H2937" t="s">
        <v>3828</v>
      </c>
      <c r="I2937" t="s">
        <v>4242</v>
      </c>
      <c r="J2937" s="6" t="str">
        <f>HYPERLINK("https://www.biovista.com/db/link/%5B%5B%22Disease%7CSSADH%20Deficiency%22%5D,%20%5B%22Drug%7CIOFLUPANE%20I-123%22%5D%5D?strength-weight-map=%257B%2522MEDLINE_STRENGTH_AB%2522:1.0,%2522HPO%2522:100.0%257D", "Show Evidence...")</f>
        <v>Show Evidence...</v>
      </c>
    </row>
    <row r="2938" spans="1:10" ht="12.75">
      <c r="A2938" s="2" t="s">
        <v>50</v>
      </c>
      <c r="B2938" s="2" t="s">
        <v>4216</v>
      </c>
      <c r="C2938" s="2" t="s">
        <v>24</v>
      </c>
      <c r="D2938" s="2" t="s">
        <v>4217</v>
      </c>
      <c r="E2938" s="2" t="s">
        <v>53</v>
      </c>
      <c r="F2938" s="11" t="s">
        <v>123</v>
      </c>
      <c r="G2938" t="s">
        <v>39</v>
      </c>
      <c r="H2938" t="s">
        <v>124</v>
      </c>
      <c r="I2938" t="s">
        <v>4242</v>
      </c>
      <c r="J2938" s="6" t="str">
        <f>HYPERLINK("https://www.biovista.com/db/link/%5B%5B%22Disease%7CSSADH%20Deficiency%22%5D,%20%5B%22Drug%7CKetamine%22%5D%5D?strength-weight-map=%257B%2522MEDLINE_STRENGTH_AB%2522:1.0,%2522HPO%2522:100.0%257D", "Show Evidence...")</f>
        <v>Show Evidence...</v>
      </c>
    </row>
    <row r="2939" spans="1:10" ht="12.75">
      <c r="A2939" s="2" t="s">
        <v>50</v>
      </c>
      <c r="B2939" s="2" t="s">
        <v>4216</v>
      </c>
      <c r="C2939" s="2" t="s">
        <v>24</v>
      </c>
      <c r="D2939" s="2" t="s">
        <v>4217</v>
      </c>
      <c r="E2939" s="2" t="s">
        <v>53</v>
      </c>
      <c r="F2939" s="11" t="s">
        <v>4255</v>
      </c>
      <c r="G2939" t="s">
        <v>39</v>
      </c>
      <c r="H2939" t="s">
        <v>4256</v>
      </c>
      <c r="I2939" t="s">
        <v>4242</v>
      </c>
      <c r="J2939" s="6" t="str">
        <f>HYPERLINK("https://www.biovista.com/db/link/%5B%5B%22Disease%7CSSADH%20Deficiency%22%5D,%20%5B%22Drug%7CKu%200063794%22%5D%5D?strength-weight-map=%257B%2522MEDLINE_STRENGTH_AB%2522:1.0,%2522HPO%2522:100.0%257D", "Show Evidence...")</f>
        <v>Show Evidence...</v>
      </c>
    </row>
    <row r="2940" spans="1:10" ht="12.75">
      <c r="A2940" s="2" t="s">
        <v>50</v>
      </c>
      <c r="B2940" s="2" t="s">
        <v>4216</v>
      </c>
      <c r="C2940" s="2" t="s">
        <v>24</v>
      </c>
      <c r="D2940" s="2" t="s">
        <v>4217</v>
      </c>
      <c r="E2940" s="2" t="s">
        <v>53</v>
      </c>
      <c r="F2940" s="11" t="s">
        <v>1091</v>
      </c>
      <c r="G2940" t="s">
        <v>39</v>
      </c>
      <c r="H2940" t="s">
        <v>1092</v>
      </c>
      <c r="I2940" t="s">
        <v>4242</v>
      </c>
      <c r="J2940" s="6" t="str">
        <f>HYPERLINK("https://www.biovista.com/db/link/%5B%5B%22Disease%7CSSADH%20Deficiency%22%5D,%20%5B%22Drug%7CLamotrigine%22%5D%5D?strength-weight-map=%257B%2522MEDLINE_STRENGTH_AB%2522:1.0,%2522HPO%2522:100.0%257D", "Show Evidence...")</f>
        <v>Show Evidence...</v>
      </c>
    </row>
    <row r="2941" spans="1:10" ht="12.75">
      <c r="A2941" s="2" t="s">
        <v>50</v>
      </c>
      <c r="B2941" s="2" t="s">
        <v>4216</v>
      </c>
      <c r="C2941" s="2" t="s">
        <v>24</v>
      </c>
      <c r="D2941" s="2" t="s">
        <v>4217</v>
      </c>
      <c r="E2941" s="2" t="s">
        <v>53</v>
      </c>
      <c r="F2941" s="11" t="s">
        <v>4257</v>
      </c>
      <c r="G2941" t="s">
        <v>39</v>
      </c>
      <c r="H2941" t="s">
        <v>4258</v>
      </c>
      <c r="I2941" t="s">
        <v>4242</v>
      </c>
      <c r="J2941" s="6" t="str">
        <f>HYPERLINK("https://www.biovista.com/db/link/%5B%5B%22Disease%7CSSADH%20Deficiency%22%5D,%20%5B%22Drug%7CLiver%20Extracts%22%5D%5D?strength-weight-map=%257B%2522MEDLINE_STRENGTH_AB%2522:1.0,%2522HPO%2522:100.0%257D", "Show Evidence...")</f>
        <v>Show Evidence...</v>
      </c>
    </row>
    <row r="2942" spans="1:10" ht="12.75">
      <c r="A2942" s="2" t="s">
        <v>50</v>
      </c>
      <c r="B2942" s="2" t="s">
        <v>4216</v>
      </c>
      <c r="C2942" s="2" t="s">
        <v>24</v>
      </c>
      <c r="D2942" s="2" t="s">
        <v>4217</v>
      </c>
      <c r="E2942" s="2" t="s">
        <v>53</v>
      </c>
      <c r="F2942" s="11" t="s">
        <v>198</v>
      </c>
      <c r="G2942" t="s">
        <v>39</v>
      </c>
      <c r="H2942" t="s">
        <v>199</v>
      </c>
      <c r="I2942" t="s">
        <v>4242</v>
      </c>
      <c r="J2942" s="6" t="str">
        <f>HYPERLINK("https://www.biovista.com/db/link/%5B%5B%22Disease%7CSSADH%20Deficiency%22%5D,%20%5B%22Drug%7CMelatonin%22%5D%5D?strength-weight-map=%257B%2522MEDLINE_STRENGTH_AB%2522:1.0,%2522HPO%2522:100.0%257D", "Show Evidence...")</f>
        <v>Show Evidence...</v>
      </c>
    </row>
    <row r="2943" spans="1:10" ht="12.75">
      <c r="A2943" s="2" t="s">
        <v>50</v>
      </c>
      <c r="B2943" s="2" t="s">
        <v>4216</v>
      </c>
      <c r="C2943" s="2" t="s">
        <v>24</v>
      </c>
      <c r="D2943" s="2" t="s">
        <v>4217</v>
      </c>
      <c r="E2943" s="2" t="s">
        <v>53</v>
      </c>
      <c r="F2943" s="11" t="s">
        <v>2433</v>
      </c>
      <c r="G2943" t="s">
        <v>39</v>
      </c>
      <c r="H2943" t="s">
        <v>2434</v>
      </c>
      <c r="I2943" t="s">
        <v>4242</v>
      </c>
      <c r="J2943" s="6" t="str">
        <f>HYPERLINK("https://www.biovista.com/db/link/%5B%5B%22Disease%7CSSADH%20Deficiency%22%5D,%20%5B%22Drug%7CMethylphenidate%22%5D%5D?strength-weight-map=%257B%2522MEDLINE_STRENGTH_AB%2522:1.0,%2522HPO%2522:100.0%257D", "Show Evidence...")</f>
        <v>Show Evidence...</v>
      </c>
    </row>
    <row r="2944" spans="1:10" ht="12.75">
      <c r="A2944" s="2" t="s">
        <v>50</v>
      </c>
      <c r="B2944" s="2" t="s">
        <v>4216</v>
      </c>
      <c r="C2944" s="2" t="s">
        <v>24</v>
      </c>
      <c r="D2944" s="2" t="s">
        <v>4217</v>
      </c>
      <c r="E2944" s="2" t="s">
        <v>53</v>
      </c>
      <c r="F2944" s="11" t="s">
        <v>4259</v>
      </c>
      <c r="G2944" t="s">
        <v>39</v>
      </c>
      <c r="H2944" t="s">
        <v>4260</v>
      </c>
      <c r="I2944" t="s">
        <v>4242</v>
      </c>
      <c r="J2944" s="6" t="str">
        <f>HYPERLINK("https://www.biovista.com/db/link/%5B%5B%22Disease%7CSSADH%20Deficiency%22%5D,%20%5B%22Drug%7CMirtazapine%22%5D%5D?strength-weight-map=%257B%2522MEDLINE_STRENGTH_AB%2522:1.0,%2522HPO%2522:100.0%257D", "Show Evidence...")</f>
        <v>Show Evidence...</v>
      </c>
    </row>
    <row r="2945" spans="1:10" ht="12.75">
      <c r="A2945" s="2" t="s">
        <v>50</v>
      </c>
      <c r="B2945" s="2" t="s">
        <v>4216</v>
      </c>
      <c r="C2945" s="2" t="s">
        <v>24</v>
      </c>
      <c r="D2945" s="2" t="s">
        <v>4217</v>
      </c>
      <c r="E2945" s="2" t="s">
        <v>53</v>
      </c>
      <c r="F2945" s="11" t="s">
        <v>1929</v>
      </c>
      <c r="G2945" t="s">
        <v>39</v>
      </c>
      <c r="H2945" t="s">
        <v>1930</v>
      </c>
      <c r="I2945" t="s">
        <v>4242</v>
      </c>
      <c r="J2945" s="6" t="str">
        <f>HYPERLINK("https://www.biovista.com/db/link/%5B%5B%22Disease%7CSSADH%20Deficiency%22%5D,%20%5B%22Drug%7CNiacinamide%22%5D%5D?strength-weight-map=%257B%2522MEDLINE_STRENGTH_AB%2522:1.0,%2522HPO%2522:100.0%257D", "Show Evidence...")</f>
        <v>Show Evidence...</v>
      </c>
    </row>
    <row r="2946" spans="1:10" ht="12.75">
      <c r="A2946" s="2" t="s">
        <v>50</v>
      </c>
      <c r="B2946" s="2" t="s">
        <v>4216</v>
      </c>
      <c r="C2946" s="2" t="s">
        <v>24</v>
      </c>
      <c r="D2946" s="2" t="s">
        <v>4217</v>
      </c>
      <c r="E2946" s="2" t="s">
        <v>53</v>
      </c>
      <c r="F2946" s="11" t="s">
        <v>4261</v>
      </c>
      <c r="G2946" t="s">
        <v>39</v>
      </c>
      <c r="H2946" t="s">
        <v>4262</v>
      </c>
      <c r="I2946" t="s">
        <v>4242</v>
      </c>
      <c r="J2946" s="6" t="str">
        <f>HYPERLINK("https://www.biovista.com/db/link/%5B%5B%22Disease%7CSSADH%20Deficiency%22%5D,%20%5B%22Drug%7CNinhydrin%22%5D%5D?strength-weight-map=%257B%2522MEDLINE_STRENGTH_AB%2522:1.0,%2522HPO%2522:100.0%257D", "Show Evidence...")</f>
        <v>Show Evidence...</v>
      </c>
    </row>
    <row r="2947" spans="1:10" ht="12.75">
      <c r="A2947" s="2" t="s">
        <v>50</v>
      </c>
      <c r="B2947" s="2" t="s">
        <v>4216</v>
      </c>
      <c r="C2947" s="2" t="s">
        <v>24</v>
      </c>
      <c r="D2947" s="2" t="s">
        <v>4217</v>
      </c>
      <c r="E2947" s="2" t="s">
        <v>53</v>
      </c>
      <c r="F2947" s="11" t="s">
        <v>4263</v>
      </c>
      <c r="G2947" t="s">
        <v>39</v>
      </c>
      <c r="H2947" t="s">
        <v>4264</v>
      </c>
      <c r="I2947" t="s">
        <v>4242</v>
      </c>
      <c r="J2947" s="6" t="str">
        <f>HYPERLINK("https://www.biovista.com/db/link/%5B%5B%22Disease%7CSSADH%20Deficiency%22%5D,%20%5B%22Drug%7CPantothenic%20Acid%22%5D%5D?strength-weight-map=%257B%2522MEDLINE_STRENGTH_AB%2522:1.0,%2522HPO%2522:100.0%257D", "Show Evidence...")</f>
        <v>Show Evidence...</v>
      </c>
    </row>
    <row r="2948" spans="1:10" ht="12.75">
      <c r="A2948" s="2" t="s">
        <v>50</v>
      </c>
      <c r="B2948" s="2" t="s">
        <v>4216</v>
      </c>
      <c r="C2948" s="2" t="s">
        <v>24</v>
      </c>
      <c r="D2948" s="2" t="s">
        <v>4217</v>
      </c>
      <c r="E2948" s="2" t="s">
        <v>53</v>
      </c>
      <c r="F2948" s="11" t="s">
        <v>2387</v>
      </c>
      <c r="G2948" t="s">
        <v>39</v>
      </c>
      <c r="H2948" t="s">
        <v>2388</v>
      </c>
      <c r="I2948" t="s">
        <v>4242</v>
      </c>
      <c r="J2948" s="6" t="str">
        <f>HYPERLINK("https://www.biovista.com/db/link/%5B%5B%22Disease%7CSSADH%20Deficiency%22%5D,%20%5B%22Drug%7CPhenytoin%22%5D%5D?strength-weight-map=%257B%2522MEDLINE_STRENGTH_AB%2522:1.0,%2522HPO%2522:100.0%257D", "Show Evidence...")</f>
        <v>Show Evidence...</v>
      </c>
    </row>
    <row r="2949" spans="1:10" ht="12.75">
      <c r="A2949" s="2" t="s">
        <v>50</v>
      </c>
      <c r="B2949" s="2" t="s">
        <v>4216</v>
      </c>
      <c r="C2949" s="2" t="s">
        <v>24</v>
      </c>
      <c r="D2949" s="2" t="s">
        <v>4217</v>
      </c>
      <c r="E2949" s="2" t="s">
        <v>53</v>
      </c>
      <c r="F2949" s="11" t="s">
        <v>4265</v>
      </c>
      <c r="G2949" t="s">
        <v>39</v>
      </c>
      <c r="H2949" t="s">
        <v>4266</v>
      </c>
      <c r="I2949" t="s">
        <v>4242</v>
      </c>
      <c r="J2949" s="6" t="str">
        <f>HYPERLINK("https://www.biovista.com/db/link/%5B%5B%22Disease%7CSSADH%20Deficiency%22%5D,%20%5B%22Drug%7CPramipexole%22%5D%5D?strength-weight-map=%257B%2522MEDLINE_STRENGTH_AB%2522:1.0,%2522HPO%2522:100.0%257D", "Show Evidence...")</f>
        <v>Show Evidence...</v>
      </c>
    </row>
    <row r="2950" spans="1:10" ht="12.75">
      <c r="A2950" s="2" t="s">
        <v>50</v>
      </c>
      <c r="B2950" s="2" t="s">
        <v>4216</v>
      </c>
      <c r="C2950" s="2" t="s">
        <v>24</v>
      </c>
      <c r="D2950" s="2" t="s">
        <v>4217</v>
      </c>
      <c r="E2950" s="2" t="s">
        <v>53</v>
      </c>
      <c r="F2950" s="11" t="s">
        <v>1580</v>
      </c>
      <c r="G2950" t="s">
        <v>39</v>
      </c>
      <c r="H2950" t="s">
        <v>1581</v>
      </c>
      <c r="I2950" t="s">
        <v>4242</v>
      </c>
      <c r="J2950" s="6" t="str">
        <f>HYPERLINK("https://www.biovista.com/db/link/%5B%5B%22Disease%7CSSADH%20Deficiency%22%5D,%20%5B%22Drug%7Csapropterin%22%5D%5D?strength-weight-map=%257B%2522MEDLINE_STRENGTH_AB%2522:1.0,%2522HPO%2522:100.0%257D", "Show Evidence...")</f>
        <v>Show Evidence...</v>
      </c>
    </row>
    <row r="2951" spans="1:10" ht="12.75">
      <c r="A2951" s="2" t="s">
        <v>50</v>
      </c>
      <c r="B2951" s="2" t="s">
        <v>4216</v>
      </c>
      <c r="C2951" s="2" t="s">
        <v>24</v>
      </c>
      <c r="D2951" s="2" t="s">
        <v>4217</v>
      </c>
      <c r="E2951" s="2" t="s">
        <v>53</v>
      </c>
      <c r="F2951" s="11" t="s">
        <v>4267</v>
      </c>
      <c r="G2951" t="s">
        <v>39</v>
      </c>
      <c r="H2951" t="s">
        <v>4268</v>
      </c>
      <c r="I2951" t="s">
        <v>4242</v>
      </c>
      <c r="J2951" s="6" t="str">
        <f>HYPERLINK("https://www.biovista.com/db/link/%5B%5B%22Disease%7CSSADH%20Deficiency%22%5D,%20%5B%22Drug%7Csuccinylacetone%22%5D%5D?strength-weight-map=%257B%2522MEDLINE_STRENGTH_AB%2522:1.0,%2522HPO%2522:100.0%257D", "Show Evidence...")</f>
        <v>Show Evidence...</v>
      </c>
    </row>
    <row r="2952" spans="1:10" ht="12.75">
      <c r="A2952" s="2" t="s">
        <v>50</v>
      </c>
      <c r="B2952" s="2" t="s">
        <v>4216</v>
      </c>
      <c r="C2952" s="2" t="s">
        <v>24</v>
      </c>
      <c r="D2952" s="2" t="s">
        <v>4217</v>
      </c>
      <c r="E2952" s="2" t="s">
        <v>53</v>
      </c>
      <c r="F2952" s="11" t="s">
        <v>276</v>
      </c>
      <c r="G2952" t="s">
        <v>39</v>
      </c>
      <c r="H2952" t="s">
        <v>277</v>
      </c>
      <c r="I2952" t="s">
        <v>4242</v>
      </c>
      <c r="J2952" s="6" t="str">
        <f>HYPERLINK("https://www.biovista.com/db/link/%5B%5B%22Disease%7CSSADH%20Deficiency%22%5D,%20%5B%22Drug%7CTacrolimus%22%5D%5D?strength-weight-map=%257B%2522MEDLINE_STRENGTH_AB%2522:1.0,%2522HPO%2522:100.0%257D", "Show Evidence...")</f>
        <v>Show Evidence...</v>
      </c>
    </row>
    <row r="2953" spans="1:10" ht="12.75">
      <c r="A2953" s="2" t="s">
        <v>50</v>
      </c>
      <c r="B2953" s="2" t="s">
        <v>4216</v>
      </c>
      <c r="C2953" s="2" t="s">
        <v>24</v>
      </c>
      <c r="D2953" s="2" t="s">
        <v>4217</v>
      </c>
      <c r="E2953" s="2" t="s">
        <v>53</v>
      </c>
      <c r="F2953" s="11" t="s">
        <v>3817</v>
      </c>
      <c r="G2953" t="s">
        <v>39</v>
      </c>
      <c r="H2953" t="s">
        <v>3818</v>
      </c>
      <c r="I2953" t="s">
        <v>4242</v>
      </c>
      <c r="J2953" s="6" t="str">
        <f>HYPERLINK("https://www.biovista.com/db/link/%5B%5B%22Disease%7CSSADH%20Deficiency%22%5D,%20%5B%22Drug%7Ctemsirolimus%22%5D%5D?strength-weight-map=%257B%2522MEDLINE_STRENGTH_AB%2522:1.0,%2522HPO%2522:100.0%257D", "Show Evidence...")</f>
        <v>Show Evidence...</v>
      </c>
    </row>
    <row r="2954" spans="1:10" ht="12.75">
      <c r="A2954" s="2" t="s">
        <v>50</v>
      </c>
      <c r="B2954" s="2" t="s">
        <v>4216</v>
      </c>
      <c r="C2954" s="2" t="s">
        <v>24</v>
      </c>
      <c r="D2954" s="2" t="s">
        <v>4217</v>
      </c>
      <c r="E2954" s="2" t="s">
        <v>53</v>
      </c>
      <c r="F2954" s="11" t="s">
        <v>1829</v>
      </c>
      <c r="G2954" t="s">
        <v>39</v>
      </c>
      <c r="H2954" t="s">
        <v>1830</v>
      </c>
      <c r="I2954" t="s">
        <v>4242</v>
      </c>
      <c r="J2954" s="6" t="str">
        <f>HYPERLINK("https://www.biovista.com/db/link/%5B%5B%22Disease%7CSSADH%20Deficiency%22%5D,%20%5B%22Drug%7CThiamine%22%5D%5D?strength-weight-map=%257B%2522MEDLINE_STRENGTH_AB%2522:1.0,%2522HPO%2522:100.0%257D", "Show Evidence...")</f>
        <v>Show Evidence...</v>
      </c>
    </row>
    <row r="2955" spans="1:10" ht="12.75">
      <c r="A2955" s="2" t="s">
        <v>50</v>
      </c>
      <c r="B2955" s="2" t="s">
        <v>4216</v>
      </c>
      <c r="C2955" s="2" t="s">
        <v>24</v>
      </c>
      <c r="D2955" s="2" t="s">
        <v>4217</v>
      </c>
      <c r="E2955" s="2" t="s">
        <v>53</v>
      </c>
      <c r="F2955" s="11" t="s">
        <v>3474</v>
      </c>
      <c r="G2955" t="s">
        <v>39</v>
      </c>
      <c r="H2955" t="s">
        <v>3475</v>
      </c>
      <c r="I2955" t="s">
        <v>4242</v>
      </c>
      <c r="J2955" s="6" t="str">
        <f>HYPERLINK("https://www.biovista.com/db/link/%5B%5B%22Disease%7CSSADH%20Deficiency%22%5D,%20%5B%22Drug%7CTretinoin%22%5D%5D?strength-weight-map=%257B%2522MEDLINE_STRENGTH_AB%2522:1.0,%2522HPO%2522:100.0%257D", "Show Evidence...")</f>
        <v>Show Evidence...</v>
      </c>
    </row>
    <row r="2956" spans="1:10" ht="12.75">
      <c r="A2956" s="2" t="s">
        <v>50</v>
      </c>
      <c r="B2956" s="2" t="s">
        <v>4216</v>
      </c>
      <c r="C2956" s="2" t="s">
        <v>24</v>
      </c>
      <c r="D2956" s="2" t="s">
        <v>4217</v>
      </c>
      <c r="E2956" s="2" t="s">
        <v>293</v>
      </c>
      <c r="F2956" s="11">
        <v>7915</v>
      </c>
      <c r="G2956" t="s">
        <v>36</v>
      </c>
      <c r="H2956" t="s">
        <v>3516</v>
      </c>
      <c r="I2956" t="s">
        <v>4269</v>
      </c>
      <c r="J2956" s="6" t="str">
        <f>HYPERLINK("https://www.biovista.com/db/link/%5B%5B%22Disease%7CSSADH%20Deficiency%22%5D,%20%5B%22Gene%7CALDH5A1%22%5D%5D?strength-weight-map=%257B%2522MEDLINE_STRENGTH_AB%2522:1.0,%2522HPO%2522:100.0%257D", "Show Evidence...")</f>
        <v>Show Evidence...</v>
      </c>
    </row>
    <row r="2957" spans="1:10" ht="12.75">
      <c r="A2957" s="2" t="s">
        <v>50</v>
      </c>
      <c r="B2957" s="2" t="s">
        <v>4216</v>
      </c>
      <c r="C2957" s="2" t="s">
        <v>24</v>
      </c>
      <c r="D2957" s="2" t="s">
        <v>4217</v>
      </c>
      <c r="E2957" s="2" t="s">
        <v>293</v>
      </c>
      <c r="F2957" s="11">
        <v>939976</v>
      </c>
      <c r="G2957" t="s">
        <v>36</v>
      </c>
      <c r="H2957" t="s">
        <v>3536</v>
      </c>
      <c r="I2957" t="s">
        <v>4270</v>
      </c>
      <c r="J2957" s="6" t="str">
        <f>HYPERLINK("https://www.biovista.com/db/link/%5B%5B%22Disease%7CSSADH%20Deficiency%22%5D,%20%5B%22Gene%7Csuccinate-semialdehyde%20dehydrogenase%22%5D%5D?strength-weight-map=%257B%2522MEDLINE_STRENGTH_AB%2522:1.0,%2522HPO%2522:100.0%257D", "Show Evidence...")</f>
        <v>Show Evidence...</v>
      </c>
    </row>
    <row r="2958" spans="1:10" ht="12.75">
      <c r="A2958" s="2" t="s">
        <v>50</v>
      </c>
      <c r="B2958" s="2" t="s">
        <v>4216</v>
      </c>
      <c r="C2958" s="2" t="s">
        <v>24</v>
      </c>
      <c r="D2958" s="2" t="s">
        <v>4217</v>
      </c>
      <c r="E2958" s="2" t="s">
        <v>293</v>
      </c>
      <c r="F2958" s="11">
        <v>7915</v>
      </c>
      <c r="G2958" t="s">
        <v>36</v>
      </c>
      <c r="H2958" t="s">
        <v>4271</v>
      </c>
      <c r="I2958" t="s">
        <v>4272</v>
      </c>
      <c r="J2958" s="6" t="str">
        <f>HYPERLINK("https://www.biovista.com/db/link/%5B%5B%22Disease%7CSSADH%20Deficiency%22%5D,%20%5B%22Gene%7CSSADH%22%5D%5D?strength-weight-map=%257B%2522MEDLINE_STRENGTH_AB%2522:1.0,%2522HPO%2522:100.0%257D", "Show Evidence...")</f>
        <v>Show Evidence...</v>
      </c>
    </row>
    <row r="2959" spans="1:10" ht="12.75">
      <c r="A2959" s="2" t="s">
        <v>50</v>
      </c>
      <c r="B2959" s="2" t="s">
        <v>4216</v>
      </c>
      <c r="C2959" s="2" t="s">
        <v>24</v>
      </c>
      <c r="D2959" s="2" t="s">
        <v>4217</v>
      </c>
      <c r="E2959" s="2" t="s">
        <v>293</v>
      </c>
      <c r="F2959" s="11">
        <v>291133</v>
      </c>
      <c r="G2959" t="s">
        <v>36</v>
      </c>
      <c r="H2959" t="s">
        <v>3537</v>
      </c>
      <c r="I2959" t="s">
        <v>4273</v>
      </c>
      <c r="J2959" s="6" t="str">
        <f>HYPERLINK("https://www.biovista.com/db/link/%5B%5B%22Disease%7CSSADH%20Deficiency%22%5D,%20%5B%22Gene%7Csuccinic%20semialdehyde%20dehydrogenase%22%5D%5D?strength-weight-map=%257B%2522MEDLINE_STRENGTH_AB%2522:1.0,%2522HPO%2522:100.0%257D", "Show Evidence...")</f>
        <v>Show Evidence...</v>
      </c>
    </row>
    <row r="2960" spans="1:10" ht="12.75">
      <c r="A2960" s="2" t="s">
        <v>50</v>
      </c>
      <c r="B2960" s="2" t="s">
        <v>4216</v>
      </c>
      <c r="C2960" s="2" t="s">
        <v>24</v>
      </c>
      <c r="D2960" s="2" t="s">
        <v>4217</v>
      </c>
      <c r="E2960" s="2" t="s">
        <v>293</v>
      </c>
      <c r="F2960" s="11">
        <v>3880915</v>
      </c>
      <c r="G2960" t="s">
        <v>36</v>
      </c>
      <c r="H2960" t="s">
        <v>4274</v>
      </c>
      <c r="I2960" t="s">
        <v>4275</v>
      </c>
      <c r="J2960" s="6" t="str">
        <f>HYPERLINK("https://www.biovista.com/db/link/%5B%5B%22Disease%7CSSADH%20Deficiency%22%5D,%20%5B%22Gene%7Csuccinate%20semialdehyde%20dehydrogenase%22%5D%5D?strength-weight-map=%257B%2522MEDLINE_STRENGTH_AB%2522:1.0,%2522HPO%2522:100.0%257D", "Show Evidence...")</f>
        <v>Show Evidence...</v>
      </c>
    </row>
    <row r="2961" spans="1:10" ht="12.75">
      <c r="A2961" s="2" t="s">
        <v>50</v>
      </c>
      <c r="B2961" s="2" t="s">
        <v>4216</v>
      </c>
      <c r="C2961" s="2" t="s">
        <v>24</v>
      </c>
      <c r="D2961" s="2" t="s">
        <v>4217</v>
      </c>
      <c r="E2961" s="2" t="s">
        <v>293</v>
      </c>
      <c r="F2961" s="11">
        <v>14405</v>
      </c>
      <c r="G2961" t="s">
        <v>36</v>
      </c>
      <c r="H2961" t="s">
        <v>4276</v>
      </c>
      <c r="I2961" t="s">
        <v>4277</v>
      </c>
      <c r="J2961" s="6" t="str">
        <f>HYPERLINK("https://www.biovista.com/db/link/%5B%5B%22Disease%7CSSADH%20Deficiency%22%5D,%20%5B%22Gene%7CGabaA%22%5D%5D?strength-weight-map=%257B%2522MEDLINE_STRENGTH_AB%2522:1.0,%2522HPO%2522:100.0%257D", "Show Evidence...")</f>
        <v>Show Evidence...</v>
      </c>
    </row>
    <row r="2962" spans="1:10" ht="12.75">
      <c r="A2962" s="2" t="s">
        <v>50</v>
      </c>
      <c r="B2962" s="2" t="s">
        <v>4216</v>
      </c>
      <c r="C2962" s="2" t="s">
        <v>24</v>
      </c>
      <c r="D2962" s="2" t="s">
        <v>4217</v>
      </c>
      <c r="E2962" s="2" t="s">
        <v>293</v>
      </c>
      <c r="F2962" s="11">
        <v>18</v>
      </c>
      <c r="G2962" t="s">
        <v>36</v>
      </c>
      <c r="H2962" t="s">
        <v>3505</v>
      </c>
      <c r="I2962" t="s">
        <v>4278</v>
      </c>
      <c r="J2962" s="6" t="str">
        <f>HYPERLINK("https://www.biovista.com/db/link/%5B%5B%22Disease%7CSSADH%20Deficiency%22%5D,%20%5B%22Gene%7C4-aminobutyrate%20transaminase%22%5D%5D?strength-weight-map=%257B%2522MEDLINE_STRENGTH_AB%2522:1.0,%2522HPO%2522:100.0%257D", "Show Evidence...")</f>
        <v>Show Evidence...</v>
      </c>
    </row>
    <row r="2963" spans="1:10" ht="12.75">
      <c r="A2963" s="2" t="s">
        <v>50</v>
      </c>
      <c r="B2963" s="2" t="s">
        <v>4216</v>
      </c>
      <c r="C2963" s="2" t="s">
        <v>24</v>
      </c>
      <c r="D2963" s="2" t="s">
        <v>4217</v>
      </c>
      <c r="E2963" s="2" t="s">
        <v>293</v>
      </c>
      <c r="F2963" s="11">
        <v>72448059</v>
      </c>
      <c r="G2963" t="s">
        <v>36</v>
      </c>
      <c r="H2963" t="s">
        <v>3479</v>
      </c>
      <c r="I2963" t="s">
        <v>4278</v>
      </c>
      <c r="J2963" s="6" t="str">
        <f>HYPERLINK("https://www.biovista.com/db/link/%5B%5B%22Disease%7CSSADH%20Deficiency%22%5D,%20%5B%22Gene%7Caldehyde%20dehydrogenase%22%5D%5D?strength-weight-map=%257B%2522MEDLINE_STRENGTH_AB%2522:1.0,%2522HPO%2522:100.0%257D", "Show Evidence...")</f>
        <v>Show Evidence...</v>
      </c>
    </row>
    <row r="2964" spans="1:10" ht="12.75">
      <c r="A2964" s="2" t="s">
        <v>50</v>
      </c>
      <c r="B2964" s="2" t="s">
        <v>4216</v>
      </c>
      <c r="C2964" s="2" t="s">
        <v>24</v>
      </c>
      <c r="D2964" s="2" t="s">
        <v>4217</v>
      </c>
      <c r="E2964" s="2" t="s">
        <v>53</v>
      </c>
      <c r="F2964" s="11" t="s">
        <v>4279</v>
      </c>
      <c r="G2964" t="s">
        <v>36</v>
      </c>
      <c r="H2964" t="s">
        <v>4280</v>
      </c>
      <c r="I2964" t="s">
        <v>4281</v>
      </c>
      <c r="J2964" s="6" t="str">
        <f>HYPERLINK("https://www.biovista.com/db/link/%5B%5B%22Disease%7CSSADH%20Deficiency%22%5D,%20%5B%22Gene%7CReceptors,%20GABA-A%22%5D%5D?strength-weight-map=%257B%2522MEDLINE_STRENGTH_AB%2522:1.0,%2522HPO%2522:100.0%257D", "Show Evidence...")</f>
        <v>Show Evidence...</v>
      </c>
    </row>
    <row r="2965" spans="1:10" ht="12.75">
      <c r="A2965" s="2" t="s">
        <v>50</v>
      </c>
      <c r="B2965" s="2" t="s">
        <v>4216</v>
      </c>
      <c r="C2965" s="2" t="s">
        <v>24</v>
      </c>
      <c r="D2965" s="2" t="s">
        <v>4217</v>
      </c>
      <c r="E2965" s="2" t="s">
        <v>53</v>
      </c>
      <c r="F2965" s="11" t="s">
        <v>4282</v>
      </c>
      <c r="G2965" t="s">
        <v>36</v>
      </c>
      <c r="H2965" t="s">
        <v>4283</v>
      </c>
      <c r="I2965" t="s">
        <v>4284</v>
      </c>
      <c r="J2965" s="6" t="str">
        <f>HYPERLINK("https://www.biovista.com/db/link/%5B%5B%22Disease%7CSSADH%20Deficiency%22%5D,%20%5B%22Gene%7C4-hydroxybutyrate%20dehydrogenase%22%5D%5D?strength-weight-map=%257B%2522MEDLINE_STRENGTH_AB%2522:1.0,%2522HPO%2522:100.0%257D", "Show Evidence...")</f>
        <v>Show Evidence...</v>
      </c>
    </row>
    <row r="2966" spans="1:10" ht="12.75">
      <c r="A2966" s="2" t="s">
        <v>50</v>
      </c>
      <c r="B2966" s="2" t="s">
        <v>4216</v>
      </c>
      <c r="C2966" s="2" t="s">
        <v>24</v>
      </c>
      <c r="D2966" s="2" t="s">
        <v>4217</v>
      </c>
      <c r="E2966" s="2" t="s">
        <v>53</v>
      </c>
      <c r="F2966" s="11" t="s">
        <v>4285</v>
      </c>
      <c r="G2966" t="s">
        <v>36</v>
      </c>
      <c r="H2966" t="s">
        <v>4286</v>
      </c>
      <c r="I2966" t="s">
        <v>4284</v>
      </c>
      <c r="J2966" s="6" t="str">
        <f>HYPERLINK("https://www.biovista.com/db/link/%5B%5B%22Disease%7CSSADH%20Deficiency%22%5D,%20%5B%22Gene%7CHydroxybutyrate%20Dehydrogenase%22%5D%5D?strength-weight-map=%257B%2522MEDLINE_STRENGTH_AB%2522:1.0,%2522HPO%2522:100.0%257D", "Show Evidence...")</f>
        <v>Show Evidence...</v>
      </c>
    </row>
    <row r="2967" spans="1:10" ht="12.75">
      <c r="A2967" s="2" t="s">
        <v>50</v>
      </c>
      <c r="B2967" s="2" t="s">
        <v>4216</v>
      </c>
      <c r="C2967" s="2" t="s">
        <v>24</v>
      </c>
      <c r="D2967" s="2" t="s">
        <v>4217</v>
      </c>
      <c r="E2967" s="2" t="s">
        <v>293</v>
      </c>
      <c r="F2967" s="11">
        <v>6737</v>
      </c>
      <c r="G2967" t="s">
        <v>36</v>
      </c>
      <c r="H2967" t="s">
        <v>4287</v>
      </c>
      <c r="I2967" t="s">
        <v>4284</v>
      </c>
      <c r="J2967" s="6" t="str">
        <f>HYPERLINK("https://www.biovista.com/db/link/%5B%5B%22Disease%7CSSADH%20Deficiency%22%5D,%20%5B%22Gene%7CSSA%22%5D%5D?strength-weight-map=%257B%2522MEDLINE_STRENGTH_AB%2522:1.0,%2522HPO%2522:100.0%257D", "Show Evidence...")</f>
        <v>Show Evidence...</v>
      </c>
    </row>
    <row r="2968" spans="1:10" ht="12.75">
      <c r="A2968" s="2" t="s">
        <v>50</v>
      </c>
      <c r="B2968" s="2" t="s">
        <v>4216</v>
      </c>
      <c r="C2968" s="2" t="s">
        <v>24</v>
      </c>
      <c r="D2968" s="2" t="s">
        <v>4217</v>
      </c>
      <c r="E2968" s="2" t="s">
        <v>293</v>
      </c>
      <c r="F2968" s="11">
        <v>18</v>
      </c>
      <c r="G2968" t="s">
        <v>36</v>
      </c>
      <c r="H2968" t="s">
        <v>4288</v>
      </c>
      <c r="I2968" t="s">
        <v>4221</v>
      </c>
      <c r="J2968" s="6" t="str">
        <f>HYPERLINK("https://www.biovista.com/db/link/%5B%5B%22Disease%7CSSADH%20Deficiency%22%5D,%20%5B%22Gene%7CGABA%20transaminase%22%5D%5D?strength-weight-map=%257B%2522MEDLINE_STRENGTH_AB%2522:1.0,%2522HPO%2522:100.0%257D", "Show Evidence...")</f>
        <v>Show Evidence...</v>
      </c>
    </row>
    <row r="2969" spans="1:10" ht="12.75">
      <c r="A2969" s="2" t="s">
        <v>50</v>
      </c>
      <c r="B2969" s="2" t="s">
        <v>4216</v>
      </c>
      <c r="C2969" s="2" t="s">
        <v>24</v>
      </c>
      <c r="D2969" s="2" t="s">
        <v>4217</v>
      </c>
      <c r="E2969" s="2" t="s">
        <v>53</v>
      </c>
      <c r="F2969" s="11" t="s">
        <v>4289</v>
      </c>
      <c r="G2969" t="s">
        <v>36</v>
      </c>
      <c r="H2969" t="s">
        <v>4290</v>
      </c>
      <c r="I2969" t="s">
        <v>4224</v>
      </c>
      <c r="J2969" s="6" t="str">
        <f>HYPERLINK("https://www.biovista.com/db/link/%5B%5B%22Disease%7CSSADH%20Deficiency%22%5D,%20%5B%22Gene%7CReceptors,%20GABA-B%22%5D%5D?strength-weight-map=%257B%2522MEDLINE_STRENGTH_AB%2522:1.0,%2522HPO%2522:100.0%257D", "Show Evidence...")</f>
        <v>Show Evidence...</v>
      </c>
    </row>
    <row r="2970" spans="1:10" ht="12.75">
      <c r="A2970" s="2" t="s">
        <v>50</v>
      </c>
      <c r="B2970" s="2" t="s">
        <v>4216</v>
      </c>
      <c r="C2970" s="2" t="s">
        <v>24</v>
      </c>
      <c r="D2970" s="2" t="s">
        <v>4217</v>
      </c>
      <c r="E2970" s="2" t="s">
        <v>293</v>
      </c>
      <c r="F2970" s="11">
        <v>419455</v>
      </c>
      <c r="G2970" t="s">
        <v>36</v>
      </c>
      <c r="H2970" t="s">
        <v>2085</v>
      </c>
      <c r="I2970" t="s">
        <v>4227</v>
      </c>
      <c r="J2970" s="6" t="str">
        <f>HYPERLINK("https://www.biovista.com/db/link/%5B%5B%22Disease%7CSSADH%20Deficiency%22%5D,%20%5B%22Gene%7CMechanistic%20target%20of%20rapamycin%22%5D%5D?strength-weight-map=%257B%2522MEDLINE_STRENGTH_AB%2522:1.0,%2522HPO%2522:100.0%257D", "Show Evidence...")</f>
        <v>Show Evidence...</v>
      </c>
    </row>
    <row r="2971" spans="1:10" ht="12.75">
      <c r="A2971" s="2" t="s">
        <v>50</v>
      </c>
      <c r="B2971" s="2" t="s">
        <v>4216</v>
      </c>
      <c r="C2971" s="2" t="s">
        <v>24</v>
      </c>
      <c r="D2971" s="2" t="s">
        <v>4217</v>
      </c>
      <c r="E2971" s="2" t="s">
        <v>53</v>
      </c>
      <c r="F2971" s="11" t="s">
        <v>4291</v>
      </c>
      <c r="G2971" t="s">
        <v>36</v>
      </c>
      <c r="H2971" t="s">
        <v>4292</v>
      </c>
      <c r="I2971" t="s">
        <v>4227</v>
      </c>
      <c r="J2971" s="6" t="str">
        <f>HYPERLINK("https://www.biovista.com/db/link/%5B%5B%22Disease%7CSSADH%20Deficiency%22%5D,%20%5B%22Gene%7CReceptors,%20GABA%22%5D%5D?strength-weight-map=%257B%2522MEDLINE_STRENGTH_AB%2522:1.0,%2522HPO%2522:100.0%257D", "Show Evidence...")</f>
        <v>Show Evidence...</v>
      </c>
    </row>
    <row r="2972" spans="1:10" ht="12.75">
      <c r="A2972" s="2" t="s">
        <v>50</v>
      </c>
      <c r="B2972" s="2" t="s">
        <v>4216</v>
      </c>
      <c r="C2972" s="2" t="s">
        <v>24</v>
      </c>
      <c r="D2972" s="2" t="s">
        <v>4217</v>
      </c>
      <c r="E2972" s="2" t="s">
        <v>293</v>
      </c>
      <c r="F2972" s="11">
        <v>6647</v>
      </c>
      <c r="G2972" t="s">
        <v>36</v>
      </c>
      <c r="H2972" t="s">
        <v>340</v>
      </c>
      <c r="I2972" t="s">
        <v>4227</v>
      </c>
      <c r="J2972" s="6" t="str">
        <f>HYPERLINK("https://www.biovista.com/db/link/%5B%5B%22Disease%7CSSADH%20Deficiency%22%5D,%20%5B%22Gene%7CSOD%22%5D%5D?strength-weight-map=%257B%2522MEDLINE_STRENGTH_AB%2522:1.0,%2522HPO%2522:100.0%257D", "Show Evidence...")</f>
        <v>Show Evidence...</v>
      </c>
    </row>
    <row r="2973" spans="1:10" ht="12.75">
      <c r="A2973" s="2" t="s">
        <v>50</v>
      </c>
      <c r="B2973" s="2" t="s">
        <v>4216</v>
      </c>
      <c r="C2973" s="2" t="s">
        <v>24</v>
      </c>
      <c r="D2973" s="2" t="s">
        <v>4217</v>
      </c>
      <c r="E2973" s="2" t="s">
        <v>293</v>
      </c>
      <c r="F2973" s="11">
        <v>104897615</v>
      </c>
      <c r="G2973" t="s">
        <v>36</v>
      </c>
      <c r="H2973" t="s">
        <v>1221</v>
      </c>
      <c r="I2973" t="s">
        <v>4227</v>
      </c>
      <c r="J2973" s="6" t="str">
        <f>HYPERLINK("https://www.biovista.com/db/link/%5B%5B%22Disease%7CSSADH%20Deficiency%22%5D,%20%5B%22Gene%7Curease%22%5D%5D?strength-weight-map=%257B%2522MEDLINE_STRENGTH_AB%2522:1.0,%2522HPO%2522:100.0%257D", "Show Evidence...")</f>
        <v>Show Evidence...</v>
      </c>
    </row>
    <row r="2974" spans="1:10" ht="12.75">
      <c r="A2974" s="2" t="s">
        <v>50</v>
      </c>
      <c r="B2974" s="2" t="s">
        <v>4216</v>
      </c>
      <c r="C2974" s="2" t="s">
        <v>24</v>
      </c>
      <c r="D2974" s="2" t="s">
        <v>4217</v>
      </c>
      <c r="E2974" s="2" t="s">
        <v>293</v>
      </c>
      <c r="F2974" s="11">
        <v>158</v>
      </c>
      <c r="G2974" t="s">
        <v>36</v>
      </c>
      <c r="H2974" t="s">
        <v>4293</v>
      </c>
      <c r="I2974" t="s">
        <v>4230</v>
      </c>
      <c r="J2974" s="6" t="str">
        <f>HYPERLINK("https://www.biovista.com/db/link/%5B%5B%22Disease%7CSSADH%20Deficiency%22%5D,%20%5B%22Gene%7Cadenylosuccinate%20lyase%22%5D%5D?strength-weight-map=%257B%2522MEDLINE_STRENGTH_AB%2522:1.0,%2522HPO%2522:100.0%257D", "Show Evidence...")</f>
        <v>Show Evidence...</v>
      </c>
    </row>
    <row r="2975" spans="1:10" ht="12.75">
      <c r="A2975" s="2" t="s">
        <v>50</v>
      </c>
      <c r="B2975" s="2" t="s">
        <v>4216</v>
      </c>
      <c r="C2975" s="2" t="s">
        <v>24</v>
      </c>
      <c r="D2975" s="2" t="s">
        <v>4217</v>
      </c>
      <c r="E2975" s="2" t="s">
        <v>293</v>
      </c>
      <c r="F2975" s="11">
        <v>7915</v>
      </c>
      <c r="G2975" t="s">
        <v>36</v>
      </c>
      <c r="H2975" t="s">
        <v>4294</v>
      </c>
      <c r="I2975" t="s">
        <v>4230</v>
      </c>
      <c r="J2975" s="6" t="str">
        <f>HYPERLINK("https://www.biovista.com/db/link/%5B%5B%22Disease%7CSSADH%20Deficiency%22%5D,%20%5B%22Gene%7Caldehyde%20dehydrogenase%205%20family%20member%20A1%22%5D%5D?strength-weight-map=%257B%2522MEDLINE_STRENGTH_AB%2522:1.0,%2522HPO%2522:100.0%257D", "Show Evidence...")</f>
        <v>Show Evidence...</v>
      </c>
    </row>
    <row r="2976" spans="1:10" ht="12.75">
      <c r="A2976" s="2" t="s">
        <v>50</v>
      </c>
      <c r="B2976" s="2" t="s">
        <v>4216</v>
      </c>
      <c r="C2976" s="2" t="s">
        <v>24</v>
      </c>
      <c r="D2976" s="2" t="s">
        <v>4217</v>
      </c>
      <c r="E2976" s="2" t="s">
        <v>53</v>
      </c>
      <c r="F2976" s="11" t="s">
        <v>3506</v>
      </c>
      <c r="G2976" t="s">
        <v>36</v>
      </c>
      <c r="H2976" t="s">
        <v>3507</v>
      </c>
      <c r="I2976" t="s">
        <v>4230</v>
      </c>
      <c r="J2976" s="6" t="str">
        <f>HYPERLINK("https://www.biovista.com/db/link/%5B%5B%22Disease%7CSSADH%20Deficiency%22%5D,%20%5B%22Gene%7CCarnosine%22%5D%5D?strength-weight-map=%257B%2522MEDLINE_STRENGTH_AB%2522:1.0,%2522HPO%2522:100.0%257D", "Show Evidence...")</f>
        <v>Show Evidence...</v>
      </c>
    </row>
    <row r="2977" spans="1:10" ht="12.75">
      <c r="A2977" s="2" t="s">
        <v>50</v>
      </c>
      <c r="B2977" s="2" t="s">
        <v>4216</v>
      </c>
      <c r="C2977" s="2" t="s">
        <v>24</v>
      </c>
      <c r="D2977" s="2" t="s">
        <v>4217</v>
      </c>
      <c r="E2977" s="2" t="s">
        <v>293</v>
      </c>
      <c r="F2977" s="11">
        <v>847</v>
      </c>
      <c r="G2977" t="s">
        <v>36</v>
      </c>
      <c r="H2977" t="s">
        <v>369</v>
      </c>
      <c r="I2977" t="s">
        <v>4230</v>
      </c>
      <c r="J2977" s="6" t="str">
        <f>HYPERLINK("https://www.biovista.com/db/link/%5B%5B%22Disease%7CSSADH%20Deficiency%22%5D,%20%5B%22Gene%7Ccatalase%22%5D%5D?strength-weight-map=%257B%2522MEDLINE_STRENGTH_AB%2522:1.0,%2522HPO%2522:100.0%257D", "Show Evidence...")</f>
        <v>Show Evidence...</v>
      </c>
    </row>
    <row r="2978" spans="1:10" ht="12.75">
      <c r="A2978" s="2" t="s">
        <v>50</v>
      </c>
      <c r="B2978" s="2" t="s">
        <v>4216</v>
      </c>
      <c r="C2978" s="2" t="s">
        <v>24</v>
      </c>
      <c r="D2978" s="2" t="s">
        <v>4217</v>
      </c>
      <c r="E2978" s="2" t="s">
        <v>293</v>
      </c>
      <c r="F2978" s="11">
        <v>613029</v>
      </c>
      <c r="G2978" t="s">
        <v>36</v>
      </c>
      <c r="H2978" t="s">
        <v>3489</v>
      </c>
      <c r="I2978" t="s">
        <v>4230</v>
      </c>
      <c r="J2978" s="6" t="str">
        <f>HYPERLINK("https://www.biovista.com/db/link/%5B%5B%22Disease%7CSSADH%20Deficiency%22%5D,%20%5B%22Gene%7Cglutamic%20acid%20decarboxylase%22%5D%5D?strength-weight-map=%257B%2522MEDLINE_STRENGTH_AB%2522:1.0,%2522HPO%2522:100.0%257D", "Show Evidence...")</f>
        <v>Show Evidence...</v>
      </c>
    </row>
    <row r="2979" spans="1:10" ht="12.75">
      <c r="A2979" s="2" t="s">
        <v>50</v>
      </c>
      <c r="B2979" s="2" t="s">
        <v>4216</v>
      </c>
      <c r="C2979" s="2" t="s">
        <v>24</v>
      </c>
      <c r="D2979" s="2" t="s">
        <v>4217</v>
      </c>
      <c r="E2979" s="2" t="s">
        <v>293</v>
      </c>
      <c r="F2979" s="11">
        <v>72448815</v>
      </c>
      <c r="G2979" t="s">
        <v>36</v>
      </c>
      <c r="H2979" t="s">
        <v>1148</v>
      </c>
      <c r="I2979" t="s">
        <v>4230</v>
      </c>
      <c r="J2979" s="6" t="str">
        <f>HYPERLINK("https://www.biovista.com/db/link/%5B%5B%22Disease%7CSSADH%20Deficiency%22%5D,%20%5B%22Gene%7Cglutathione%20peroxidase%22%5D%5D?strength-weight-map=%257B%2522MEDLINE_STRENGTH_AB%2522:1.0,%2522HPO%2522:100.0%257D", "Show Evidence...")</f>
        <v>Show Evidence...</v>
      </c>
    </row>
    <row r="2980" spans="1:10" ht="12.75">
      <c r="A2980" s="2" t="s">
        <v>50</v>
      </c>
      <c r="B2980" s="2" t="s">
        <v>4216</v>
      </c>
      <c r="C2980" s="2" t="s">
        <v>24</v>
      </c>
      <c r="D2980" s="2" t="s">
        <v>4217</v>
      </c>
      <c r="E2980" s="2" t="s">
        <v>293</v>
      </c>
      <c r="F2980" s="11">
        <v>11758</v>
      </c>
      <c r="G2980" t="s">
        <v>36</v>
      </c>
      <c r="H2980" t="s">
        <v>4295</v>
      </c>
      <c r="I2980" t="s">
        <v>4230</v>
      </c>
      <c r="J2980" s="6" t="str">
        <f>HYPERLINK("https://www.biovista.com/db/link/%5B%5B%22Disease%7CSSADH%20Deficiency%22%5D,%20%5B%22Gene%7CGPx%22%5D%5D?strength-weight-map=%257B%2522MEDLINE_STRENGTH_AB%2522:1.0,%2522HPO%2522:100.0%257D", "Show Evidence...")</f>
        <v>Show Evidence...</v>
      </c>
    </row>
    <row r="2981" spans="1:10" ht="12.75">
      <c r="A2981" s="2" t="s">
        <v>50</v>
      </c>
      <c r="B2981" s="2" t="s">
        <v>4216</v>
      </c>
      <c r="C2981" s="2" t="s">
        <v>24</v>
      </c>
      <c r="D2981" s="2" t="s">
        <v>4217</v>
      </c>
      <c r="E2981" s="2" t="s">
        <v>293</v>
      </c>
      <c r="F2981" s="11">
        <v>1213</v>
      </c>
      <c r="G2981" t="s">
        <v>36</v>
      </c>
      <c r="H2981" t="s">
        <v>352</v>
      </c>
      <c r="I2981" t="s">
        <v>4230</v>
      </c>
      <c r="J2981" s="6" t="str">
        <f>HYPERLINK("https://www.biovista.com/db/link/%5B%5B%22Disease%7CSSADH%20Deficiency%22%5D,%20%5B%22Gene%7CHC%22%5D%5D?strength-weight-map=%257B%2522MEDLINE_STRENGTH_AB%2522:1.0,%2522HPO%2522:100.0%257D", "Show Evidence...")</f>
        <v>Show Evidence...</v>
      </c>
    </row>
    <row r="2982" spans="1:10" ht="12.75">
      <c r="A2982" s="2" t="s">
        <v>50</v>
      </c>
      <c r="B2982" s="2" t="s">
        <v>4216</v>
      </c>
      <c r="C2982" s="2" t="s">
        <v>24</v>
      </c>
      <c r="D2982" s="2" t="s">
        <v>4217</v>
      </c>
      <c r="E2982" s="2" t="s">
        <v>293</v>
      </c>
      <c r="F2982" s="11">
        <v>55862</v>
      </c>
      <c r="G2982" t="s">
        <v>36</v>
      </c>
      <c r="H2982" t="s">
        <v>4296</v>
      </c>
      <c r="I2982" t="s">
        <v>4230</v>
      </c>
      <c r="J2982" s="6" t="str">
        <f>HYPERLINK("https://www.biovista.com/db/link/%5B%5B%22Disease%7CSSADH%20Deficiency%22%5D,%20%5B%22Gene%7Cmethylmalonyl-CoA%20decarboxylase%22%5D%5D?strength-weight-map=%257B%2522MEDLINE_STRENGTH_AB%2522:1.0,%2522HPO%2522:100.0%257D", "Show Evidence...")</f>
        <v>Show Evidence...</v>
      </c>
    </row>
    <row r="2983" spans="1:10" ht="12.75">
      <c r="A2983" s="2" t="s">
        <v>50</v>
      </c>
      <c r="B2983" s="2" t="s">
        <v>4216</v>
      </c>
      <c r="C2983" s="2" t="s">
        <v>24</v>
      </c>
      <c r="D2983" s="2" t="s">
        <v>4217</v>
      </c>
      <c r="E2983" s="2" t="s">
        <v>293</v>
      </c>
      <c r="F2983" s="11">
        <v>2475</v>
      </c>
      <c r="G2983" t="s">
        <v>36</v>
      </c>
      <c r="H2983" t="s">
        <v>2062</v>
      </c>
      <c r="I2983" t="s">
        <v>4230</v>
      </c>
      <c r="J2983" s="6" t="str">
        <f>HYPERLINK("https://www.biovista.com/db/link/%5B%5B%22Disease%7CSSADH%20Deficiency%22%5D,%20%5B%22Gene%7CMTOR%22%5D%5D?strength-weight-map=%257B%2522MEDLINE_STRENGTH_AB%2522:1.0,%2522HPO%2522:100.0%257D", "Show Evidence...")</f>
        <v>Show Evidence...</v>
      </c>
    </row>
    <row r="2984" spans="1:10" ht="12.75">
      <c r="A2984" s="2" t="s">
        <v>50</v>
      </c>
      <c r="B2984" s="2" t="s">
        <v>4216</v>
      </c>
      <c r="C2984" s="2" t="s">
        <v>24</v>
      </c>
      <c r="D2984" s="2" t="s">
        <v>4217</v>
      </c>
      <c r="E2984" s="2" t="s">
        <v>293</v>
      </c>
      <c r="F2984" s="11">
        <v>3878934</v>
      </c>
      <c r="G2984" t="s">
        <v>36</v>
      </c>
      <c r="H2984" t="s">
        <v>1973</v>
      </c>
      <c r="I2984" t="s">
        <v>4233</v>
      </c>
      <c r="J2984" s="6" t="str">
        <f>HYPERLINK("https://www.biovista.com/db/link/%5B%5B%22Disease%7CSSADH%20Deficiency%22%5D,%20%5B%22Gene%7Cace-4%22%5D%5D?strength-weight-map=%257B%2522MEDLINE_STRENGTH_AB%2522:1.0,%2522HPO%2522:100.0%257D", "Show Evidence...")</f>
        <v>Show Evidence...</v>
      </c>
    </row>
    <row r="2985" spans="1:10" ht="12.75">
      <c r="A2985" s="2" t="s">
        <v>50</v>
      </c>
      <c r="B2985" s="2" t="s">
        <v>4216</v>
      </c>
      <c r="C2985" s="2" t="s">
        <v>24</v>
      </c>
      <c r="D2985" s="2" t="s">
        <v>4217</v>
      </c>
      <c r="E2985" s="2" t="s">
        <v>293</v>
      </c>
      <c r="F2985" s="11">
        <v>217</v>
      </c>
      <c r="G2985" t="s">
        <v>36</v>
      </c>
      <c r="H2985" t="s">
        <v>4297</v>
      </c>
      <c r="I2985" t="s">
        <v>4233</v>
      </c>
      <c r="J2985" s="6" t="str">
        <f>HYPERLINK("https://www.biovista.com/db/link/%5B%5B%22Disease%7CSSADH%20Deficiency%22%5D,%20%5B%22Gene%7CALDH2%22%5D%5D?strength-weight-map=%257B%2522MEDLINE_STRENGTH_AB%2522:1.0,%2522HPO%2522:100.0%257D", "Show Evidence...")</f>
        <v>Show Evidence...</v>
      </c>
    </row>
    <row r="2986" spans="1:10" ht="12.75">
      <c r="A2986" s="2" t="s">
        <v>50</v>
      </c>
      <c r="B2986" s="2" t="s">
        <v>4216</v>
      </c>
      <c r="C2986" s="2" t="s">
        <v>24</v>
      </c>
      <c r="D2986" s="2" t="s">
        <v>4217</v>
      </c>
      <c r="E2986" s="2" t="s">
        <v>293</v>
      </c>
      <c r="F2986" s="11">
        <v>224</v>
      </c>
      <c r="G2986" t="s">
        <v>36</v>
      </c>
      <c r="H2986" t="s">
        <v>3543</v>
      </c>
      <c r="I2986" t="s">
        <v>4233</v>
      </c>
      <c r="J2986" s="6" t="str">
        <f>HYPERLINK("https://www.biovista.com/db/link/%5B%5B%22Disease%7CSSADH%20Deficiency%22%5D,%20%5B%22Gene%7CALDH3A2%22%5D%5D?strength-weight-map=%257B%2522MEDLINE_STRENGTH_AB%2522:1.0,%2522HPO%2522:100.0%257D", "Show Evidence...")</f>
        <v>Show Evidence...</v>
      </c>
    </row>
    <row r="2987" spans="1:10" ht="12.75">
      <c r="A2987" s="2" t="s">
        <v>50</v>
      </c>
      <c r="B2987" s="2" t="s">
        <v>4216</v>
      </c>
      <c r="C2987" s="2" t="s">
        <v>24</v>
      </c>
      <c r="D2987" s="2" t="s">
        <v>4217</v>
      </c>
      <c r="E2987" s="2" t="s">
        <v>293</v>
      </c>
      <c r="F2987" s="11">
        <v>8659</v>
      </c>
      <c r="G2987" t="s">
        <v>36</v>
      </c>
      <c r="H2987" t="s">
        <v>4298</v>
      </c>
      <c r="I2987" t="s">
        <v>4233</v>
      </c>
      <c r="J2987" s="6" t="str">
        <f>HYPERLINK("https://www.biovista.com/db/link/%5B%5B%22Disease%7CSSADH%20Deficiency%22%5D,%20%5B%22Gene%7CALDH4A1%22%5D%5D?strength-weight-map=%257B%2522MEDLINE_STRENGTH_AB%2522:1.0,%2522HPO%2522:100.0%257D", "Show Evidence...")</f>
        <v>Show Evidence...</v>
      </c>
    </row>
    <row r="2988" spans="1:10" ht="12.75">
      <c r="A2988" s="2" t="s">
        <v>50</v>
      </c>
      <c r="B2988" s="2" t="s">
        <v>4216</v>
      </c>
      <c r="C2988" s="2" t="s">
        <v>24</v>
      </c>
      <c r="D2988" s="2" t="s">
        <v>4217</v>
      </c>
      <c r="E2988" s="2" t="s">
        <v>293</v>
      </c>
      <c r="F2988" s="11">
        <v>57126</v>
      </c>
      <c r="G2988" t="s">
        <v>36</v>
      </c>
      <c r="H2988" t="s">
        <v>1184</v>
      </c>
      <c r="I2988" t="s">
        <v>4233</v>
      </c>
      <c r="J2988" s="6" t="str">
        <f>HYPERLINK("https://www.biovista.com/db/link/%5B%5B%22Disease%7CSSADH%20Deficiency%22%5D,%20%5B%22Gene%7CCD177%22%5D%5D?strength-weight-map=%257B%2522MEDLINE_STRENGTH_AB%2522:1.0,%2522HPO%2522:100.0%257D", "Show Evidence...")</f>
        <v>Show Evidence...</v>
      </c>
    </row>
    <row r="2989" spans="1:10" ht="12.75">
      <c r="A2989" s="2" t="s">
        <v>50</v>
      </c>
      <c r="B2989" s="2" t="s">
        <v>4216</v>
      </c>
      <c r="C2989" s="2" t="s">
        <v>24</v>
      </c>
      <c r="D2989" s="2" t="s">
        <v>4217</v>
      </c>
      <c r="E2989" s="2" t="s">
        <v>293</v>
      </c>
      <c r="F2989" s="11">
        <v>816711</v>
      </c>
      <c r="G2989" t="s">
        <v>36</v>
      </c>
      <c r="H2989" t="s">
        <v>4299</v>
      </c>
      <c r="I2989" t="s">
        <v>4233</v>
      </c>
      <c r="J2989" s="6" t="str">
        <f>HYPERLINK("https://www.biovista.com/db/link/%5B%5B%22Disease%7CSSADH%20Deficiency%22%5D,%20%5B%22Gene%7CEC1.2%22%5D%5D?strength-weight-map=%257B%2522MEDLINE_STRENGTH_AB%2522:1.0,%2522HPO%2522:100.0%257D", "Show Evidence...")</f>
        <v>Show Evidence...</v>
      </c>
    </row>
    <row r="2990" spans="1:10" ht="12.75">
      <c r="A2990" s="2" t="s">
        <v>50</v>
      </c>
      <c r="B2990" s="2" t="s">
        <v>4216</v>
      </c>
      <c r="C2990" s="2" t="s">
        <v>24</v>
      </c>
      <c r="D2990" s="2" t="s">
        <v>4217</v>
      </c>
      <c r="E2990" s="2" t="s">
        <v>293</v>
      </c>
      <c r="F2990" s="11">
        <v>81632</v>
      </c>
      <c r="G2990" t="s">
        <v>36</v>
      </c>
      <c r="H2990" t="s">
        <v>4300</v>
      </c>
      <c r="I2990" t="s">
        <v>4233</v>
      </c>
      <c r="J2990" s="6" t="str">
        <f>HYPERLINK("https://www.biovista.com/db/link/%5B%5B%22Disease%7CSSADH%20Deficiency%22%5D,%20%5B%22Gene%7CGABA-T%22%5D%5D?strength-weight-map=%257B%2522MEDLINE_STRENGTH_AB%2522:1.0,%2522HPO%2522:100.0%257D", "Show Evidence...")</f>
        <v>Show Evidence...</v>
      </c>
    </row>
    <row r="2991" spans="1:10" ht="12.75">
      <c r="A2991" s="2" t="s">
        <v>50</v>
      </c>
      <c r="B2991" s="2" t="s">
        <v>4216</v>
      </c>
      <c r="C2991" s="2" t="s">
        <v>24</v>
      </c>
      <c r="D2991" s="2" t="s">
        <v>4217</v>
      </c>
      <c r="E2991" s="2" t="s">
        <v>293</v>
      </c>
      <c r="F2991" s="11">
        <v>2752</v>
      </c>
      <c r="G2991" t="s">
        <v>36</v>
      </c>
      <c r="H2991" t="s">
        <v>1211</v>
      </c>
      <c r="I2991" t="s">
        <v>4233</v>
      </c>
      <c r="J2991" s="6" t="str">
        <f>HYPERLINK("https://www.biovista.com/db/link/%5B%5B%22Disease%7CSSADH%20Deficiency%22%5D,%20%5B%22Gene%7Cglutamate%20decarboxylase%22%5D%5D?strength-weight-map=%257B%2522MEDLINE_STRENGTH_AB%2522:1.0,%2522HPO%2522:100.0%257D", "Show Evidence...")</f>
        <v>Show Evidence...</v>
      </c>
    </row>
    <row r="2992" spans="1:10" ht="12.75">
      <c r="A2992" s="2" t="s">
        <v>50</v>
      </c>
      <c r="B2992" s="2" t="s">
        <v>4216</v>
      </c>
      <c r="C2992" s="2" t="s">
        <v>24</v>
      </c>
      <c r="D2992" s="2" t="s">
        <v>4217</v>
      </c>
      <c r="E2992" s="2" t="s">
        <v>293</v>
      </c>
      <c r="F2992" s="11">
        <v>2752</v>
      </c>
      <c r="G2992" t="s">
        <v>36</v>
      </c>
      <c r="H2992" t="s">
        <v>4301</v>
      </c>
      <c r="I2992" t="s">
        <v>4233</v>
      </c>
      <c r="J2992" s="6" t="str">
        <f>HYPERLINK("https://www.biovista.com/db/link/%5B%5B%22Disease%7CSSADH%20Deficiency%22%5D,%20%5B%22Gene%7Cglutamate-ammonia%20ligase%22%5D%5D?strength-weight-map=%257B%2522MEDLINE_STRENGTH_AB%2522:1.0,%2522HPO%2522:100.0%257D", "Show Evidence...")</f>
        <v>Show Evidence...</v>
      </c>
    </row>
    <row r="2993" spans="1:10" ht="12.75">
      <c r="A2993" s="2" t="s">
        <v>50</v>
      </c>
      <c r="B2993" s="2" t="s">
        <v>4216</v>
      </c>
      <c r="C2993" s="2" t="s">
        <v>24</v>
      </c>
      <c r="D2993" s="2" t="s">
        <v>4217</v>
      </c>
      <c r="E2993" s="2" t="s">
        <v>293</v>
      </c>
      <c r="F2993" s="11">
        <v>2752</v>
      </c>
      <c r="G2993" t="s">
        <v>36</v>
      </c>
      <c r="H2993" t="s">
        <v>4302</v>
      </c>
      <c r="I2993" t="s">
        <v>4233</v>
      </c>
      <c r="J2993" s="6" t="str">
        <f>HYPERLINK("https://www.biovista.com/db/link/%5B%5B%22Disease%7CSSADH%20Deficiency%22%5D,%20%5B%22Gene%7Cglutamine%20synthetase%22%5D%5D?strength-weight-map=%257B%2522MEDLINE_STRENGTH_AB%2522:1.0,%2522HPO%2522:100.0%257D", "Show Evidence...")</f>
        <v>Show Evidence...</v>
      </c>
    </row>
    <row r="2994" spans="1:10" ht="12.75">
      <c r="A2994" s="2" t="s">
        <v>50</v>
      </c>
      <c r="B2994" s="2" t="s">
        <v>4216</v>
      </c>
      <c r="C2994" s="2" t="s">
        <v>24</v>
      </c>
      <c r="D2994" s="2" t="s">
        <v>4217</v>
      </c>
      <c r="E2994" s="2" t="s">
        <v>293</v>
      </c>
      <c r="F2994" s="11">
        <v>2907</v>
      </c>
      <c r="G2994" t="s">
        <v>36</v>
      </c>
      <c r="H2994" t="s">
        <v>4303</v>
      </c>
      <c r="I2994" t="s">
        <v>4233</v>
      </c>
      <c r="J2994" s="6" t="str">
        <f>HYPERLINK("https://www.biovista.com/db/link/%5B%5B%22Disease%7CSSADH%20Deficiency%22%5D,%20%5B%22Gene%7CGRINA%22%5D%5D?strength-weight-map=%257B%2522MEDLINE_STRENGTH_AB%2522:1.0,%2522HPO%2522:100.0%257D", "Show Evidence...")</f>
        <v>Show Evidence...</v>
      </c>
    </row>
    <row r="2995" spans="1:10" ht="12.75">
      <c r="A2995" s="2" t="s">
        <v>50</v>
      </c>
      <c r="B2995" s="2" t="s">
        <v>4216</v>
      </c>
      <c r="C2995" s="2" t="s">
        <v>24</v>
      </c>
      <c r="D2995" s="2" t="s">
        <v>4217</v>
      </c>
      <c r="E2995" s="2" t="s">
        <v>293</v>
      </c>
      <c r="F2995" s="11">
        <v>3081</v>
      </c>
      <c r="G2995" t="s">
        <v>36</v>
      </c>
      <c r="H2995" t="s">
        <v>4304</v>
      </c>
      <c r="I2995" t="s">
        <v>4233</v>
      </c>
      <c r="J2995" s="6" t="str">
        <f>HYPERLINK("https://www.biovista.com/db/link/%5B%5B%22Disease%7CSSADH%20Deficiency%22%5D,%20%5B%22Gene%7CHGD%22%5D%5D?strength-weight-map=%257B%2522MEDLINE_STRENGTH_AB%2522:1.0,%2522HPO%2522:100.0%257D", "Show Evidence...")</f>
        <v>Show Evidence...</v>
      </c>
    </row>
    <row r="2996" spans="1:10" ht="12.75">
      <c r="A2996" s="2" t="s">
        <v>50</v>
      </c>
      <c r="B2996" s="2" t="s">
        <v>4216</v>
      </c>
      <c r="C2996" s="2" t="s">
        <v>24</v>
      </c>
      <c r="D2996" s="2" t="s">
        <v>4217</v>
      </c>
      <c r="E2996" s="2" t="s">
        <v>293</v>
      </c>
      <c r="F2996" s="11">
        <v>4878</v>
      </c>
      <c r="G2996" t="s">
        <v>36</v>
      </c>
      <c r="H2996" t="s">
        <v>4305</v>
      </c>
      <c r="I2996" t="s">
        <v>4233</v>
      </c>
      <c r="J2996" s="6" t="str">
        <f>HYPERLINK("https://www.biovista.com/db/link/%5B%5B%22Disease%7CSSADH%20Deficiency%22%5D,%20%5B%22Gene%7CNPPA%22%5D%5D?strength-weight-map=%257B%2522MEDLINE_STRENGTH_AB%2522:1.0,%2522HPO%2522:100.0%257D", "Show Evidence...")</f>
        <v>Show Evidence...</v>
      </c>
    </row>
    <row r="2997" spans="1:10" ht="12.75">
      <c r="A2997" s="2" t="s">
        <v>50</v>
      </c>
      <c r="B2997" s="2" t="s">
        <v>4216</v>
      </c>
      <c r="C2997" s="2" t="s">
        <v>24</v>
      </c>
      <c r="D2997" s="2" t="s">
        <v>4217</v>
      </c>
      <c r="E2997" s="2" t="s">
        <v>293</v>
      </c>
      <c r="F2997" s="11">
        <v>10263</v>
      </c>
      <c r="G2997" t="s">
        <v>36</v>
      </c>
      <c r="H2997" t="s">
        <v>4306</v>
      </c>
      <c r="I2997" t="s">
        <v>4233</v>
      </c>
      <c r="J2997" s="6" t="str">
        <f>HYPERLINK("https://www.biovista.com/db/link/%5B%5B%22Disease%7CSSADH%20Deficiency%22%5D,%20%5B%22Gene%7CP14%22%5D%5D?strength-weight-map=%257B%2522MEDLINE_STRENGTH_AB%2522:1.0,%2522HPO%2522:100.0%257D", "Show Evidence...")</f>
        <v>Show Evidence...</v>
      </c>
    </row>
    <row r="2998" spans="1:10" ht="12.75">
      <c r="A2998" s="2" t="s">
        <v>50</v>
      </c>
      <c r="B2998" s="2" t="s">
        <v>4216</v>
      </c>
      <c r="C2998" s="2" t="s">
        <v>24</v>
      </c>
      <c r="D2998" s="2" t="s">
        <v>4217</v>
      </c>
      <c r="E2998" s="2" t="s">
        <v>293</v>
      </c>
      <c r="F2998" s="11">
        <v>938239</v>
      </c>
      <c r="G2998" t="s">
        <v>36</v>
      </c>
      <c r="H2998" t="s">
        <v>1990</v>
      </c>
      <c r="I2998" t="s">
        <v>4233</v>
      </c>
      <c r="J2998" s="6" t="str">
        <f>HYPERLINK("https://www.biovista.com/db/link/%5B%5B%22Disease%7CSSADH%20Deficiency%22%5D,%20%5B%22Gene%7CpoxB%22%5D%5D?strength-weight-map=%257B%2522MEDLINE_STRENGTH_AB%2522:1.0,%2522HPO%2522:100.0%257D", "Show Evidence...")</f>
        <v>Show Evidence...</v>
      </c>
    </row>
    <row r="2999" spans="1:10" ht="12.75">
      <c r="A2999" s="2" t="s">
        <v>50</v>
      </c>
      <c r="B2999" s="2" t="s">
        <v>4216</v>
      </c>
      <c r="C2999" s="2" t="s">
        <v>24</v>
      </c>
      <c r="D2999" s="2" t="s">
        <v>4217</v>
      </c>
      <c r="E2999" s="2" t="s">
        <v>53</v>
      </c>
      <c r="F2999" s="11" t="s">
        <v>4307</v>
      </c>
      <c r="G2999" t="s">
        <v>36</v>
      </c>
      <c r="H2999" t="s">
        <v>4308</v>
      </c>
      <c r="I2999" t="s">
        <v>4233</v>
      </c>
      <c r="J2999" s="6" t="str">
        <f>HYPERLINK("https://www.biovista.com/db/link/%5B%5B%22Disease%7CSSADH%20Deficiency%22%5D,%20%5B%22Gene%7CReceptors,%20Glycine%22%5D%5D?strength-weight-map=%257B%2522MEDLINE_STRENGTH_AB%2522:1.0,%2522HPO%2522:100.0%257D", "Show Evidence...")</f>
        <v>Show Evidence...</v>
      </c>
    </row>
    <row r="3000" spans="1:10" ht="12.75">
      <c r="A3000" s="2" t="s">
        <v>50</v>
      </c>
      <c r="B3000" s="2" t="s">
        <v>4216</v>
      </c>
      <c r="C3000" s="2" t="s">
        <v>24</v>
      </c>
      <c r="D3000" s="2" t="s">
        <v>4217</v>
      </c>
      <c r="E3000" s="2" t="s">
        <v>53</v>
      </c>
      <c r="F3000" s="11" t="s">
        <v>3983</v>
      </c>
      <c r="G3000" t="s">
        <v>36</v>
      </c>
      <c r="H3000" t="s">
        <v>3984</v>
      </c>
      <c r="I3000" t="s">
        <v>4233</v>
      </c>
      <c r="J3000" s="6" t="str">
        <f>HYPERLINK("https://www.biovista.com/db/link/%5B%5B%22Disease%7CSSADH%20Deficiency%22%5D,%20%5B%22Gene%7CSPECT%20protein,%20Plasmodium%20berghei%22%5D%5D?strength-weight-map=%257B%2522MEDLINE_STRENGTH_AB%2522:1.0,%2522HPO%2522:100.0%257D", "Show Evidence...")</f>
        <v>Show Evidence...</v>
      </c>
    </row>
    <row r="3001" spans="1:10" ht="12.75">
      <c r="A3001" s="2" t="s">
        <v>50</v>
      </c>
      <c r="B3001" s="2" t="s">
        <v>4216</v>
      </c>
      <c r="C3001" s="2" t="s">
        <v>24</v>
      </c>
      <c r="D3001" s="2" t="s">
        <v>4217</v>
      </c>
      <c r="E3001" s="2" t="s">
        <v>293</v>
      </c>
      <c r="F3001" s="11">
        <v>8574</v>
      </c>
      <c r="G3001" t="s">
        <v>36</v>
      </c>
      <c r="H3001" t="s">
        <v>4309</v>
      </c>
      <c r="I3001" t="s">
        <v>4233</v>
      </c>
      <c r="J3001" s="6" t="str">
        <f>HYPERLINK("https://www.biovista.com/db/link/%5B%5B%22Disease%7CSSADH%20Deficiency%22%5D,%20%5B%22Gene%7Csuccinic%20semialdehyde%20reductase%22%5D%5D?strength-weight-map=%257B%2522MEDLINE_STRENGTH_AB%2522:1.0,%2522HPO%2522:100.0%257D", "Show Evidence...")</f>
        <v>Show Evidence...</v>
      </c>
    </row>
    <row r="3002" spans="1:10" ht="12.75">
      <c r="A3002" s="2" t="s">
        <v>50</v>
      </c>
      <c r="B3002" s="2" t="s">
        <v>4216</v>
      </c>
      <c r="C3002" s="2" t="s">
        <v>24</v>
      </c>
      <c r="D3002" s="2" t="s">
        <v>4217</v>
      </c>
      <c r="E3002" s="2" t="s">
        <v>293</v>
      </c>
      <c r="F3002" s="11">
        <v>7066</v>
      </c>
      <c r="G3002" t="s">
        <v>36</v>
      </c>
      <c r="H3002" t="s">
        <v>4310</v>
      </c>
      <c r="I3002" t="s">
        <v>4233</v>
      </c>
      <c r="J3002" s="6" t="str">
        <f>HYPERLINK("https://www.biovista.com/db/link/%5B%5B%22Disease%7CSSADH%20Deficiency%22%5D,%20%5B%22Gene%7CTPO%22%5D%5D?strength-weight-map=%257B%2522MEDLINE_STRENGTH_AB%2522:1.0,%2522HPO%2522:100.0%257D", "Show Evidence...")</f>
        <v>Show Evidence...</v>
      </c>
    </row>
    <row r="3003" spans="1:10" ht="12.75">
      <c r="A3003" s="2" t="s">
        <v>50</v>
      </c>
      <c r="B3003" s="2" t="s">
        <v>4216</v>
      </c>
      <c r="C3003" s="2" t="s">
        <v>24</v>
      </c>
      <c r="D3003" s="2" t="s">
        <v>4217</v>
      </c>
      <c r="E3003" s="2" t="s">
        <v>293</v>
      </c>
      <c r="F3003" s="11">
        <v>5805</v>
      </c>
      <c r="G3003" t="s">
        <v>36</v>
      </c>
      <c r="H3003" t="s">
        <v>1632</v>
      </c>
      <c r="I3003" t="s">
        <v>4242</v>
      </c>
      <c r="J3003" s="6" t="str">
        <f>HYPERLINK("https://www.biovista.com/db/link/%5B%5B%22Disease%7CSSADH%20Deficiency%22%5D,%20%5B%22Gene%7C6-pyruvoyltetrahydropterin%20synthase%22%5D%5D?strength-weight-map=%257B%2522MEDLINE_STRENGTH_AB%2522:1.0,%2522HPO%2522:100.0%257D", "Show Evidence...")</f>
        <v>Show Evidence...</v>
      </c>
    </row>
    <row r="3004" spans="1:10" ht="12.75">
      <c r="A3004" s="2" t="s">
        <v>50</v>
      </c>
      <c r="B3004" s="2" t="s">
        <v>4216</v>
      </c>
      <c r="C3004" s="2" t="s">
        <v>24</v>
      </c>
      <c r="D3004" s="2" t="s">
        <v>4217</v>
      </c>
      <c r="E3004" s="2" t="s">
        <v>1180</v>
      </c>
      <c r="F3004" s="11">
        <v>17</v>
      </c>
      <c r="G3004" t="s">
        <v>36</v>
      </c>
      <c r="H3004" t="s">
        <v>1181</v>
      </c>
      <c r="I3004" t="s">
        <v>4242</v>
      </c>
      <c r="J3004" s="6" t="str">
        <f>HYPERLINK("https://www.biovista.com/db/link/%5B%5B%22Disease%7CSSADH%20Deficiency%22%5D,%20%5B%22Gene%7CAAVS1%22%5D%5D?strength-weight-map=%257B%2522MEDLINE_STRENGTH_AB%2522:1.0,%2522HPO%2522:100.0%257D", "Show Evidence...")</f>
        <v>Show Evidence...</v>
      </c>
    </row>
    <row r="3005" spans="1:10" ht="12.75">
      <c r="A3005" s="2" t="s">
        <v>50</v>
      </c>
      <c r="B3005" s="2" t="s">
        <v>4216</v>
      </c>
      <c r="C3005" s="2" t="s">
        <v>24</v>
      </c>
      <c r="D3005" s="2" t="s">
        <v>4217</v>
      </c>
      <c r="E3005" s="2" t="s">
        <v>293</v>
      </c>
      <c r="F3005" s="11">
        <v>55902</v>
      </c>
      <c r="G3005" t="s">
        <v>36</v>
      </c>
      <c r="H3005" t="s">
        <v>4311</v>
      </c>
      <c r="I3005" t="s">
        <v>4242</v>
      </c>
      <c r="J3005" s="6" t="str">
        <f>HYPERLINK("https://www.biovista.com/db/link/%5B%5B%22Disease%7CSSADH%20Deficiency%22%5D,%20%5B%22Gene%7Cacetate-CoA%20ligase%22%5D%5D?strength-weight-map=%257B%2522MEDLINE_STRENGTH_AB%2522:1.0,%2522HPO%2522:100.0%257D", "Show Evidence...")</f>
        <v>Show Evidence...</v>
      </c>
    </row>
    <row r="3006" spans="1:10" ht="12.75">
      <c r="A3006" s="2" t="s">
        <v>50</v>
      </c>
      <c r="B3006" s="2" t="s">
        <v>4216</v>
      </c>
      <c r="C3006" s="2" t="s">
        <v>24</v>
      </c>
      <c r="D3006" s="2" t="s">
        <v>4217</v>
      </c>
      <c r="E3006" s="2" t="s">
        <v>293</v>
      </c>
      <c r="F3006" s="11">
        <v>158</v>
      </c>
      <c r="G3006" t="s">
        <v>36</v>
      </c>
      <c r="H3006" t="s">
        <v>4312</v>
      </c>
      <c r="I3006" t="s">
        <v>4242</v>
      </c>
      <c r="J3006" s="6" t="str">
        <f>HYPERLINK("https://www.biovista.com/db/link/%5B%5B%22Disease%7CSSADH%20Deficiency%22%5D,%20%5B%22Gene%7CADSL%22%5D%5D?strength-weight-map=%257B%2522MEDLINE_STRENGTH_AB%2522:1.0,%2522HPO%2522:100.0%257D", "Show Evidence...")</f>
        <v>Show Evidence...</v>
      </c>
    </row>
    <row r="3007" spans="1:10" ht="12.75">
      <c r="A3007" s="2" t="s">
        <v>50</v>
      </c>
      <c r="B3007" s="2" t="s">
        <v>4216</v>
      </c>
      <c r="C3007" s="2" t="s">
        <v>24</v>
      </c>
      <c r="D3007" s="2" t="s">
        <v>4217</v>
      </c>
      <c r="E3007" s="2" t="s">
        <v>293</v>
      </c>
      <c r="F3007" s="11">
        <v>10327</v>
      </c>
      <c r="G3007" t="s">
        <v>36</v>
      </c>
      <c r="H3007" t="s">
        <v>3082</v>
      </c>
      <c r="I3007" t="s">
        <v>4242</v>
      </c>
      <c r="J3007" s="6" t="str">
        <f>HYPERLINK("https://www.biovista.com/db/link/%5B%5B%22Disease%7CSSADH%20Deficiency%22%5D,%20%5B%22Gene%7CAldehyde%20reductase%22%5D%5D?strength-weight-map=%257B%2522MEDLINE_STRENGTH_AB%2522:1.0,%2522HPO%2522:100.0%257D", "Show Evidence...")</f>
        <v>Show Evidence...</v>
      </c>
    </row>
    <row r="3008" spans="1:10" ht="12.75">
      <c r="A3008" s="2" t="s">
        <v>50</v>
      </c>
      <c r="B3008" s="2" t="s">
        <v>4216</v>
      </c>
      <c r="C3008" s="2" t="s">
        <v>24</v>
      </c>
      <c r="D3008" s="2" t="s">
        <v>4217</v>
      </c>
      <c r="E3008" s="2" t="s">
        <v>293</v>
      </c>
      <c r="F3008" s="11">
        <v>219</v>
      </c>
      <c r="G3008" t="s">
        <v>36</v>
      </c>
      <c r="H3008" t="s">
        <v>4313</v>
      </c>
      <c r="I3008" t="s">
        <v>4242</v>
      </c>
      <c r="J3008" s="6" t="str">
        <f>HYPERLINK("https://www.biovista.com/db/link/%5B%5B%22Disease%7CSSADH%20Deficiency%22%5D,%20%5B%22Gene%7CALDH1B1%22%5D%5D?strength-weight-map=%257B%2522MEDLINE_STRENGTH_AB%2522:1.0,%2522HPO%2522:100.0%257D", "Show Evidence...")</f>
        <v>Show Evidence...</v>
      </c>
    </row>
    <row r="3009" spans="1:10" ht="12.75">
      <c r="A3009" s="2" t="s">
        <v>50</v>
      </c>
      <c r="B3009" s="2" t="s">
        <v>4216</v>
      </c>
      <c r="C3009" s="2" t="s">
        <v>24</v>
      </c>
      <c r="D3009" s="2" t="s">
        <v>4217</v>
      </c>
      <c r="E3009" s="2" t="s">
        <v>293</v>
      </c>
      <c r="F3009" s="11">
        <v>218</v>
      </c>
      <c r="G3009" t="s">
        <v>36</v>
      </c>
      <c r="H3009" t="s">
        <v>4314</v>
      </c>
      <c r="I3009" t="s">
        <v>4242</v>
      </c>
      <c r="J3009" s="6" t="str">
        <f>HYPERLINK("https://www.biovista.com/db/link/%5B%5B%22Disease%7CSSADH%20Deficiency%22%5D,%20%5B%22Gene%7CALDH3A1%22%5D%5D?strength-weight-map=%257B%2522MEDLINE_STRENGTH_AB%2522:1.0,%2522HPO%2522:100.0%257D", "Show Evidence...")</f>
        <v>Show Evidence...</v>
      </c>
    </row>
    <row r="3010" spans="1:10" ht="12.75">
      <c r="A3010" s="2" t="s">
        <v>50</v>
      </c>
      <c r="B3010" s="2" t="s">
        <v>4216</v>
      </c>
      <c r="C3010" s="2" t="s">
        <v>24</v>
      </c>
      <c r="D3010" s="2" t="s">
        <v>4217</v>
      </c>
      <c r="E3010" s="2" t="s">
        <v>293</v>
      </c>
      <c r="F3010" s="11">
        <v>223</v>
      </c>
      <c r="G3010" t="s">
        <v>36</v>
      </c>
      <c r="H3010" t="s">
        <v>4315</v>
      </c>
      <c r="I3010" t="s">
        <v>4242</v>
      </c>
      <c r="J3010" s="6" t="str">
        <f>HYPERLINK("https://www.biovista.com/db/link/%5B%5B%22Disease%7CSSADH%20Deficiency%22%5D,%20%5B%22Gene%7CALDH9A1%22%5D%5D?strength-weight-map=%257B%2522MEDLINE_STRENGTH_AB%2522:1.0,%2522HPO%2522:100.0%257D", "Show Evidence...")</f>
        <v>Show Evidence...</v>
      </c>
    </row>
    <row r="3011" spans="1:10" ht="12.75">
      <c r="A3011" s="2" t="s">
        <v>50</v>
      </c>
      <c r="B3011" s="2" t="s">
        <v>4216</v>
      </c>
      <c r="C3011" s="2" t="s">
        <v>24</v>
      </c>
      <c r="D3011" s="2" t="s">
        <v>4217</v>
      </c>
      <c r="E3011" s="2" t="s">
        <v>293</v>
      </c>
      <c r="F3011" s="11">
        <v>887216</v>
      </c>
      <c r="G3011" t="s">
        <v>36</v>
      </c>
      <c r="H3011" t="s">
        <v>3545</v>
      </c>
      <c r="I3011" t="s">
        <v>4242</v>
      </c>
      <c r="J3011" s="6" t="str">
        <f>HYPERLINK("https://www.biovista.com/db/link/%5B%5B%22Disease%7CSSADH%20Deficiency%22%5D,%20%5B%22Gene%7Camino%20acid%20decarboxylase%22%5D%5D?strength-weight-map=%257B%2522MEDLINE_STRENGTH_AB%2522:1.0,%2522HPO%2522:100.0%257D", "Show Evidence...")</f>
        <v>Show Evidence...</v>
      </c>
    </row>
    <row r="3012" spans="1:10" ht="12.75">
      <c r="A3012" s="2" t="s">
        <v>50</v>
      </c>
      <c r="B3012" s="2" t="s">
        <v>4216</v>
      </c>
      <c r="C3012" s="2" t="s">
        <v>24</v>
      </c>
      <c r="D3012" s="2" t="s">
        <v>4217</v>
      </c>
      <c r="E3012" s="2" t="s">
        <v>293</v>
      </c>
      <c r="F3012" s="11">
        <v>361</v>
      </c>
      <c r="G3012" t="s">
        <v>36</v>
      </c>
      <c r="H3012" t="s">
        <v>4316</v>
      </c>
      <c r="I3012" t="s">
        <v>4242</v>
      </c>
      <c r="J3012" s="6" t="str">
        <f>HYPERLINK("https://www.biovista.com/db/link/%5B%5B%22Disease%7CSSADH%20Deficiency%22%5D,%20%5B%22Gene%7CAQP4%22%5D%5D?strength-weight-map=%257B%2522MEDLINE_STRENGTH_AB%2522:1.0,%2522HPO%2522:100.0%257D", "Show Evidence...")</f>
        <v>Show Evidence...</v>
      </c>
    </row>
    <row r="3013" spans="1:10" ht="12.75">
      <c r="A3013" s="2" t="s">
        <v>50</v>
      </c>
      <c r="B3013" s="2" t="s">
        <v>4216</v>
      </c>
      <c r="C3013" s="2" t="s">
        <v>24</v>
      </c>
      <c r="D3013" s="2" t="s">
        <v>4217</v>
      </c>
      <c r="E3013" s="2" t="s">
        <v>293</v>
      </c>
      <c r="F3013" s="11">
        <v>414</v>
      </c>
      <c r="G3013" t="s">
        <v>36</v>
      </c>
      <c r="H3013" t="s">
        <v>4317</v>
      </c>
      <c r="I3013" t="s">
        <v>4242</v>
      </c>
      <c r="J3013" s="6" t="str">
        <f>HYPERLINK("https://www.biovista.com/db/link/%5B%5B%22Disease%7CSSADH%20Deficiency%22%5D,%20%5B%22Gene%7CASD%22%5D%5D?strength-weight-map=%257B%2522MEDLINE_STRENGTH_AB%2522:1.0,%2522HPO%2522:100.0%257D", "Show Evidence...")</f>
        <v>Show Evidence...</v>
      </c>
    </row>
    <row r="3014" spans="1:10" ht="12.75">
      <c r="A3014" s="2" t="s">
        <v>50</v>
      </c>
      <c r="B3014" s="2" t="s">
        <v>4216</v>
      </c>
      <c r="C3014" s="2" t="s">
        <v>24</v>
      </c>
      <c r="D3014" s="2" t="s">
        <v>4217</v>
      </c>
      <c r="E3014" s="2" t="s">
        <v>53</v>
      </c>
      <c r="F3014" s="11" t="s">
        <v>4279</v>
      </c>
      <c r="G3014" t="s">
        <v>36</v>
      </c>
      <c r="H3014" t="s">
        <v>4318</v>
      </c>
      <c r="I3014" t="s">
        <v>4242</v>
      </c>
      <c r="J3014" s="6" t="str">
        <f>HYPERLINK("https://www.biovista.com/db/link/%5B%5B%22Disease%7CSSADH%20Deficiency%22%5D,%20%5B%22Gene%7CBenzodiazepine%20Receptor%22%5D%5D?strength-weight-map=%257B%2522MEDLINE_STRENGTH_AB%2522:1.0,%2522HPO%2522:100.0%257D", "Show Evidence...")</f>
        <v>Show Evidence...</v>
      </c>
    </row>
    <row r="3015" spans="1:10" ht="12.75">
      <c r="A3015" s="2" t="s">
        <v>50</v>
      </c>
      <c r="B3015" s="2" t="s">
        <v>4216</v>
      </c>
      <c r="C3015" s="2" t="s">
        <v>24</v>
      </c>
      <c r="D3015" s="2" t="s">
        <v>4217</v>
      </c>
      <c r="E3015" s="2" t="s">
        <v>293</v>
      </c>
      <c r="F3015" s="11">
        <v>718</v>
      </c>
      <c r="G3015" t="s">
        <v>36</v>
      </c>
      <c r="H3015" t="s">
        <v>1173</v>
      </c>
      <c r="I3015" t="s">
        <v>4242</v>
      </c>
      <c r="J3015" s="6" t="str">
        <f>HYPERLINK("https://www.biovista.com/db/link/%5B%5B%22Disease%7CSSADH%20Deficiency%22%5D,%20%5B%22Gene%7CC3%22%5D%5D?strength-weight-map=%257B%2522MEDLINE_STRENGTH_AB%2522:1.0,%2522HPO%2522:100.0%257D", "Show Evidence...")</f>
        <v>Show Evidence...</v>
      </c>
    </row>
    <row r="3016" spans="1:10" ht="12.75">
      <c r="A3016" s="2" t="s">
        <v>50</v>
      </c>
      <c r="B3016" s="2" t="s">
        <v>4216</v>
      </c>
      <c r="C3016" s="2" t="s">
        <v>24</v>
      </c>
      <c r="D3016" s="2" t="s">
        <v>4217</v>
      </c>
      <c r="E3016" s="2" t="s">
        <v>293</v>
      </c>
      <c r="F3016" s="11">
        <v>12908</v>
      </c>
      <c r="G3016" t="s">
        <v>36</v>
      </c>
      <c r="H3016" t="s">
        <v>4319</v>
      </c>
      <c r="I3016" t="s">
        <v>4242</v>
      </c>
      <c r="J3016" s="6" t="str">
        <f>HYPERLINK("https://www.biovista.com/db/link/%5B%5B%22Disease%7CSSADH%20Deficiency%22%5D,%20%5B%22Gene%7CCarnitine%20acetyltransferase%22%5D%5D?strength-weight-map=%257B%2522MEDLINE_STRENGTH_AB%2522:1.0,%2522HPO%2522:100.0%257D", "Show Evidence...")</f>
        <v>Show Evidence...</v>
      </c>
    </row>
    <row r="3017" spans="1:10" ht="12.75">
      <c r="A3017" s="2" t="s">
        <v>50</v>
      </c>
      <c r="B3017" s="2" t="s">
        <v>4216</v>
      </c>
      <c r="C3017" s="2" t="s">
        <v>24</v>
      </c>
      <c r="D3017" s="2" t="s">
        <v>4217</v>
      </c>
      <c r="E3017" s="2" t="s">
        <v>293</v>
      </c>
      <c r="F3017" s="11">
        <v>1384</v>
      </c>
      <c r="G3017" t="s">
        <v>36</v>
      </c>
      <c r="H3017" t="s">
        <v>4320</v>
      </c>
      <c r="I3017" t="s">
        <v>4242</v>
      </c>
      <c r="J3017" s="6" t="str">
        <f>HYPERLINK("https://www.biovista.com/db/link/%5B%5B%22Disease%7CSSADH%20Deficiency%22%5D,%20%5B%22Gene%7Ccarnitine%20O-acetyltransferase%22%5D%5D?strength-weight-map=%257B%2522MEDLINE_STRENGTH_AB%2522:1.0,%2522HPO%2522:100.0%257D", "Show Evidence...")</f>
        <v>Show Evidence...</v>
      </c>
    </row>
    <row r="3018" spans="1:10" ht="12.75">
      <c r="A3018" s="2" t="s">
        <v>50</v>
      </c>
      <c r="B3018" s="2" t="s">
        <v>4216</v>
      </c>
      <c r="C3018" s="2" t="s">
        <v>24</v>
      </c>
      <c r="D3018" s="2" t="s">
        <v>4217</v>
      </c>
      <c r="E3018" s="2" t="s">
        <v>293</v>
      </c>
      <c r="F3018" s="11">
        <v>1312</v>
      </c>
      <c r="G3018" t="s">
        <v>36</v>
      </c>
      <c r="H3018" t="s">
        <v>3549</v>
      </c>
      <c r="I3018" t="s">
        <v>4242</v>
      </c>
      <c r="J3018" s="6" t="str">
        <f>HYPERLINK("https://www.biovista.com/db/link/%5B%5B%22Disease%7CSSADH%20Deficiency%22%5D,%20%5B%22Gene%7Ccatechol%20O-methyltransferase%22%5D%5D?strength-weight-map=%257B%2522MEDLINE_STRENGTH_AB%2522:1.0,%2522HPO%2522:100.0%257D", "Show Evidence...")</f>
        <v>Show Evidence...</v>
      </c>
    </row>
    <row r="3019" spans="1:10" ht="12.75">
      <c r="A3019" s="2" t="s">
        <v>50</v>
      </c>
      <c r="B3019" s="2" t="s">
        <v>4216</v>
      </c>
      <c r="C3019" s="2" t="s">
        <v>24</v>
      </c>
      <c r="D3019" s="2" t="s">
        <v>4217</v>
      </c>
      <c r="E3019" s="2" t="s">
        <v>293</v>
      </c>
      <c r="F3019" s="11">
        <v>107987479</v>
      </c>
      <c r="G3019" t="s">
        <v>36</v>
      </c>
      <c r="H3019" t="s">
        <v>4321</v>
      </c>
      <c r="I3019" t="s">
        <v>4242</v>
      </c>
      <c r="J3019" s="6" t="str">
        <f>HYPERLINK("https://www.biovista.com/db/link/%5B%5B%22Disease%7CSSADH%20Deficiency%22%5D,%20%5B%22Gene%7CCYP2D6%22%5D%5D?strength-weight-map=%257B%2522MEDLINE_STRENGTH_AB%2522:1.0,%2522HPO%2522:100.0%257D", "Show Evidence...")</f>
        <v>Show Evidence...</v>
      </c>
    </row>
    <row r="3020" spans="1:10" ht="12.75">
      <c r="A3020" s="2" t="s">
        <v>50</v>
      </c>
      <c r="B3020" s="2" t="s">
        <v>4216</v>
      </c>
      <c r="C3020" s="2" t="s">
        <v>24</v>
      </c>
      <c r="D3020" s="2" t="s">
        <v>4217</v>
      </c>
      <c r="E3020" s="2" t="s">
        <v>293</v>
      </c>
      <c r="F3020" s="11">
        <v>51473</v>
      </c>
      <c r="G3020" t="s">
        <v>36</v>
      </c>
      <c r="H3020" t="s">
        <v>4322</v>
      </c>
      <c r="I3020" t="s">
        <v>4242</v>
      </c>
      <c r="J3020" s="6" t="str">
        <f>HYPERLINK("https://www.biovista.com/db/link/%5B%5B%22Disease%7CSSADH%20Deficiency%22%5D,%20%5B%22Gene%7CDCDC2%22%5D%5D?strength-weight-map=%257B%2522MEDLINE_STRENGTH_AB%2522:1.0,%2522HPO%2522:100.0%257D", "Show Evidence...")</f>
        <v>Show Evidence...</v>
      </c>
    </row>
    <row r="3021" spans="1:10" ht="12.75">
      <c r="A3021" s="2" t="s">
        <v>50</v>
      </c>
      <c r="B3021" s="2" t="s">
        <v>4216</v>
      </c>
      <c r="C3021" s="2" t="s">
        <v>24</v>
      </c>
      <c r="D3021" s="2" t="s">
        <v>4217</v>
      </c>
      <c r="E3021" s="2" t="s">
        <v>293</v>
      </c>
      <c r="F3021" s="11">
        <v>2078</v>
      </c>
      <c r="G3021" t="s">
        <v>36</v>
      </c>
      <c r="H3021" t="s">
        <v>3050</v>
      </c>
      <c r="I3021" t="s">
        <v>4242</v>
      </c>
      <c r="J3021" s="6" t="str">
        <f>HYPERLINK("https://www.biovista.com/db/link/%5B%5B%22Disease%7CSSADH%20Deficiency%22%5D,%20%5B%22Gene%7CERG%22%5D%5D?strength-weight-map=%257B%2522MEDLINE_STRENGTH_AB%2522:1.0,%2522HPO%2522:100.0%257D", "Show Evidence...")</f>
        <v>Show Evidence...</v>
      </c>
    </row>
    <row r="3022" spans="1:10" ht="12.75">
      <c r="A3022" s="2" t="s">
        <v>50</v>
      </c>
      <c r="B3022" s="2" t="s">
        <v>4216</v>
      </c>
      <c r="C3022" s="2" t="s">
        <v>24</v>
      </c>
      <c r="D3022" s="2" t="s">
        <v>4217</v>
      </c>
      <c r="E3022" s="2" t="s">
        <v>293</v>
      </c>
      <c r="F3022" s="11">
        <v>2091</v>
      </c>
      <c r="G3022" t="s">
        <v>36</v>
      </c>
      <c r="H3022" t="s">
        <v>4323</v>
      </c>
      <c r="I3022" t="s">
        <v>4242</v>
      </c>
      <c r="J3022" s="6" t="str">
        <f>HYPERLINK("https://www.biovista.com/db/link/%5B%5B%22Disease%7CSSADH%20Deficiency%22%5D,%20%5B%22Gene%7CFBL%22%5D%5D?strength-weight-map=%257B%2522MEDLINE_STRENGTH_AB%2522:1.0,%2522HPO%2522:100.0%257D", "Show Evidence...")</f>
        <v>Show Evidence...</v>
      </c>
    </row>
    <row r="3023" spans="1:10" ht="12.75">
      <c r="A3023" s="2" t="s">
        <v>50</v>
      </c>
      <c r="B3023" s="2" t="s">
        <v>4216</v>
      </c>
      <c r="C3023" s="2" t="s">
        <v>24</v>
      </c>
      <c r="D3023" s="2" t="s">
        <v>4217</v>
      </c>
      <c r="E3023" s="2" t="s">
        <v>293</v>
      </c>
      <c r="F3023" s="11">
        <v>175</v>
      </c>
      <c r="G3023" t="s">
        <v>36</v>
      </c>
      <c r="H3023" t="s">
        <v>1117</v>
      </c>
      <c r="I3023" t="s">
        <v>4242</v>
      </c>
      <c r="J3023" s="6" t="str">
        <f>HYPERLINK("https://www.biovista.com/db/link/%5B%5B%22Disease%7CSSADH%20Deficiency%22%5D,%20%5B%22Gene%7CGA%22%5D%5D?strength-weight-map=%257B%2522MEDLINE_STRENGTH_AB%2522:1.0,%2522HPO%2522:100.0%257D", "Show Evidence...")</f>
        <v>Show Evidence...</v>
      </c>
    </row>
    <row r="3024" spans="1:10" ht="12.75">
      <c r="A3024" s="2" t="s">
        <v>50</v>
      </c>
      <c r="B3024" s="2" t="s">
        <v>4216</v>
      </c>
      <c r="C3024" s="2" t="s">
        <v>24</v>
      </c>
      <c r="D3024" s="2" t="s">
        <v>4217</v>
      </c>
      <c r="E3024" s="2" t="s">
        <v>293</v>
      </c>
      <c r="F3024" s="11">
        <v>2554</v>
      </c>
      <c r="G3024" t="s">
        <v>36</v>
      </c>
      <c r="H3024" t="s">
        <v>4324</v>
      </c>
      <c r="I3024" t="s">
        <v>4242</v>
      </c>
      <c r="J3024" s="6" t="str">
        <f>HYPERLINK("https://www.biovista.com/db/link/%5B%5B%22Disease%7CSSADH%20Deficiency%22%5D,%20%5B%22Gene%7CGABRA1%22%5D%5D?strength-weight-map=%257B%2522MEDLINE_STRENGTH_AB%2522:1.0,%2522HPO%2522:100.0%257D", "Show Evidence...")</f>
        <v>Show Evidence...</v>
      </c>
    </row>
    <row r="3025" spans="1:10" ht="12.75">
      <c r="A3025" s="2" t="s">
        <v>50</v>
      </c>
      <c r="B3025" s="2" t="s">
        <v>4216</v>
      </c>
      <c r="C3025" s="2" t="s">
        <v>24</v>
      </c>
      <c r="D3025" s="2" t="s">
        <v>4217</v>
      </c>
      <c r="E3025" s="2" t="s">
        <v>293</v>
      </c>
      <c r="F3025" s="11">
        <v>2569</v>
      </c>
      <c r="G3025" t="s">
        <v>36</v>
      </c>
      <c r="H3025" t="s">
        <v>4325</v>
      </c>
      <c r="I3025" t="s">
        <v>4242</v>
      </c>
      <c r="J3025" s="6" t="str">
        <f>HYPERLINK("https://www.biovista.com/db/link/%5B%5B%22Disease%7CSSADH%20Deficiency%22%5D,%20%5B%22Gene%7CGABRR1%22%5D%5D?strength-weight-map=%257B%2522MEDLINE_STRENGTH_AB%2522:1.0,%2522HPO%2522:100.0%257D", "Show Evidence...")</f>
        <v>Show Evidence...</v>
      </c>
    </row>
    <row r="3026" spans="1:10" ht="12.75">
      <c r="A3026" s="2" t="s">
        <v>50</v>
      </c>
      <c r="B3026" s="2" t="s">
        <v>4216</v>
      </c>
      <c r="C3026" s="2" t="s">
        <v>24</v>
      </c>
      <c r="D3026" s="2" t="s">
        <v>4217</v>
      </c>
      <c r="E3026" s="2" t="s">
        <v>293</v>
      </c>
      <c r="F3026" s="11">
        <v>2572</v>
      </c>
      <c r="G3026" t="s">
        <v>36</v>
      </c>
      <c r="H3026" t="s">
        <v>4326</v>
      </c>
      <c r="I3026" t="s">
        <v>4242</v>
      </c>
      <c r="J3026" s="6" t="str">
        <f>HYPERLINK("https://www.biovista.com/db/link/%5B%5B%22Disease%7CSSADH%20Deficiency%22%5D,%20%5B%22Gene%7CGAD65%22%5D%5D?strength-weight-map=%257B%2522MEDLINE_STRENGTH_AB%2522:1.0,%2522HPO%2522:100.0%257D", "Show Evidence...")</f>
        <v>Show Evidence...</v>
      </c>
    </row>
    <row r="3027" spans="1:10" ht="12.75">
      <c r="A3027" s="2" t="s">
        <v>50</v>
      </c>
      <c r="B3027" s="2" t="s">
        <v>4216</v>
      </c>
      <c r="C3027" s="2" t="s">
        <v>24</v>
      </c>
      <c r="D3027" s="2" t="s">
        <v>4217</v>
      </c>
      <c r="E3027" s="2" t="s">
        <v>293</v>
      </c>
      <c r="F3027" s="11">
        <v>24379</v>
      </c>
      <c r="G3027" t="s">
        <v>36</v>
      </c>
      <c r="H3027" t="s">
        <v>3555</v>
      </c>
      <c r="I3027" t="s">
        <v>4242</v>
      </c>
      <c r="J3027" s="6" t="str">
        <f>HYPERLINK("https://www.biovista.com/db/link/%5B%5B%22Disease%7CSSADH%20Deficiency%22%5D,%20%5B%22Gene%7CGAD67%22%5D%5D?strength-weight-map=%257B%2522MEDLINE_STRENGTH_AB%2522:1.0,%2522HPO%2522:100.0%257D", "Show Evidence...")</f>
        <v>Show Evidence...</v>
      </c>
    </row>
    <row r="3028" spans="1:10" ht="12.75">
      <c r="A3028" s="2" t="s">
        <v>50</v>
      </c>
      <c r="B3028" s="2" t="s">
        <v>4216</v>
      </c>
      <c r="C3028" s="2" t="s">
        <v>24</v>
      </c>
      <c r="D3028" s="2" t="s">
        <v>4217</v>
      </c>
      <c r="E3028" s="2" t="s">
        <v>293</v>
      </c>
      <c r="F3028" s="11">
        <v>40188</v>
      </c>
      <c r="G3028" t="s">
        <v>36</v>
      </c>
      <c r="H3028" t="s">
        <v>4327</v>
      </c>
      <c r="I3028" t="s">
        <v>4242</v>
      </c>
      <c r="J3028" s="6" t="str">
        <f>HYPERLINK("https://www.biovista.com/db/link/%5B%5B%22Disease%7CSSADH%20Deficiency%22%5D,%20%5B%22Gene%7Cgamma-aminobutyric%20acid%20transaminase%22%5D%5D?strength-weight-map=%257B%2522MEDLINE_STRENGTH_AB%2522:1.0,%2522HPO%2522:100.0%257D", "Show Evidence...")</f>
        <v>Show Evidence...</v>
      </c>
    </row>
    <row r="3029" spans="1:10" ht="12.75">
      <c r="A3029" s="2" t="s">
        <v>50</v>
      </c>
      <c r="B3029" s="2" t="s">
        <v>4216</v>
      </c>
      <c r="C3029" s="2" t="s">
        <v>24</v>
      </c>
      <c r="D3029" s="2" t="s">
        <v>4217</v>
      </c>
      <c r="E3029" s="2" t="s">
        <v>293</v>
      </c>
      <c r="F3029" s="11">
        <v>2670</v>
      </c>
      <c r="G3029" t="s">
        <v>36</v>
      </c>
      <c r="H3029" t="s">
        <v>1168</v>
      </c>
      <c r="I3029" t="s">
        <v>4242</v>
      </c>
      <c r="J3029" s="6" t="str">
        <f>HYPERLINK("https://www.biovista.com/db/link/%5B%5B%22Disease%7CSSADH%20Deficiency%22%5D,%20%5B%22Gene%7CGFAP%22%5D%5D?strength-weight-map=%257B%2522MEDLINE_STRENGTH_AB%2522:1.0,%2522HPO%2522:100.0%257D", "Show Evidence...")</f>
        <v>Show Evidence...</v>
      </c>
    </row>
    <row r="3030" spans="1:10" ht="12.75">
      <c r="A3030" s="2" t="s">
        <v>50</v>
      </c>
      <c r="B3030" s="2" t="s">
        <v>4216</v>
      </c>
      <c r="C3030" s="2" t="s">
        <v>24</v>
      </c>
      <c r="D3030" s="2" t="s">
        <v>4217</v>
      </c>
      <c r="E3030" s="2" t="s">
        <v>53</v>
      </c>
      <c r="F3030" s="11" t="s">
        <v>3557</v>
      </c>
      <c r="G3030" t="s">
        <v>36</v>
      </c>
      <c r="H3030" t="s">
        <v>3558</v>
      </c>
      <c r="I3030" t="s">
        <v>4242</v>
      </c>
      <c r="J3030" s="6" t="str">
        <f>HYPERLINK("https://www.biovista.com/db/link/%5B%5B%22Disease%7CSSADH%20Deficiency%22%5D,%20%5B%22Gene%7Cglucuronosyltransferase%22%5D%5D?strength-weight-map=%257B%2522MEDLINE_STRENGTH_AB%2522:1.0,%2522HPO%2522:100.0%257D", "Show Evidence...")</f>
        <v>Show Evidence...</v>
      </c>
    </row>
    <row r="3031" spans="1:10" ht="12.75">
      <c r="A3031" s="2" t="s">
        <v>50</v>
      </c>
      <c r="B3031" s="2" t="s">
        <v>4216</v>
      </c>
      <c r="C3031" s="2" t="s">
        <v>24</v>
      </c>
      <c r="D3031" s="2" t="s">
        <v>4217</v>
      </c>
      <c r="E3031" s="2" t="s">
        <v>293</v>
      </c>
      <c r="F3031" s="11">
        <v>114787</v>
      </c>
      <c r="G3031" t="s">
        <v>36</v>
      </c>
      <c r="H3031" t="s">
        <v>363</v>
      </c>
      <c r="I3031" t="s">
        <v>4242</v>
      </c>
      <c r="J3031" s="6" t="str">
        <f>HYPERLINK("https://www.biovista.com/db/link/%5B%5B%22Disease%7CSSADH%20Deficiency%22%5D,%20%5B%22Gene%7CGRIN1%22%5D%5D?strength-weight-map=%257B%2522MEDLINE_STRENGTH_AB%2522:1.0,%2522HPO%2522:100.0%257D", "Show Evidence...")</f>
        <v>Show Evidence...</v>
      </c>
    </row>
    <row r="3032" spans="1:10" ht="12.75">
      <c r="A3032" s="2" t="s">
        <v>50</v>
      </c>
      <c r="B3032" s="2" t="s">
        <v>4216</v>
      </c>
      <c r="C3032" s="2" t="s">
        <v>24</v>
      </c>
      <c r="D3032" s="2" t="s">
        <v>4217</v>
      </c>
      <c r="E3032" s="2" t="s">
        <v>293</v>
      </c>
      <c r="F3032" s="11">
        <v>938183</v>
      </c>
      <c r="G3032" t="s">
        <v>36</v>
      </c>
      <c r="H3032" t="s">
        <v>4328</v>
      </c>
      <c r="I3032" t="s">
        <v>4242</v>
      </c>
      <c r="J3032" s="6" t="str">
        <f>HYPERLINK("https://www.biovista.com/db/link/%5B%5B%22Disease%7CSSADH%20Deficiency%22%5D,%20%5B%22Gene%7Cisocitrate%20dehydrogenase%22%5D%5D?strength-weight-map=%257B%2522MEDLINE_STRENGTH_AB%2522:1.0,%2522HPO%2522:100.0%257D", "Show Evidence...")</f>
        <v>Show Evidence...</v>
      </c>
    </row>
    <row r="3033" spans="1:10" ht="12.75">
      <c r="A3033" s="2" t="s">
        <v>50</v>
      </c>
      <c r="B3033" s="2" t="s">
        <v>4216</v>
      </c>
      <c r="C3033" s="2" t="s">
        <v>24</v>
      </c>
      <c r="D3033" s="2" t="s">
        <v>4217</v>
      </c>
      <c r="E3033" s="2" t="s">
        <v>293</v>
      </c>
      <c r="F3033" s="11">
        <v>57468</v>
      </c>
      <c r="G3033" t="s">
        <v>36</v>
      </c>
      <c r="H3033" t="s">
        <v>4329</v>
      </c>
      <c r="I3033" t="s">
        <v>4242</v>
      </c>
      <c r="J3033" s="6" t="str">
        <f>HYPERLINK("https://www.biovista.com/db/link/%5B%5B%22Disease%7CSSADH%20Deficiency%22%5D,%20%5B%22Gene%7CKCC2%22%5D%5D?strength-weight-map=%257B%2522MEDLINE_STRENGTH_AB%2522:1.0,%2522HPO%2522:100.0%257D", "Show Evidence...")</f>
        <v>Show Evidence...</v>
      </c>
    </row>
    <row r="3034" spans="1:10" ht="12.75">
      <c r="A3034" s="2" t="s">
        <v>50</v>
      </c>
      <c r="B3034" s="2" t="s">
        <v>4216</v>
      </c>
      <c r="C3034" s="2" t="s">
        <v>24</v>
      </c>
      <c r="D3034" s="2" t="s">
        <v>4217</v>
      </c>
      <c r="E3034" s="2" t="s">
        <v>293</v>
      </c>
      <c r="F3034" s="11">
        <v>9856</v>
      </c>
      <c r="G3034" t="s">
        <v>36</v>
      </c>
      <c r="H3034" t="s">
        <v>4330</v>
      </c>
      <c r="I3034" t="s">
        <v>4242</v>
      </c>
      <c r="J3034" s="6" t="str">
        <f>HYPERLINK("https://www.biovista.com/db/link/%5B%5B%22Disease%7CSSADH%20Deficiency%22%5D,%20%5B%22Gene%7CKIAA0319%22%5D%5D?strength-weight-map=%257B%2522MEDLINE_STRENGTH_AB%2522:1.0,%2522HPO%2522:100.0%257D", "Show Evidence...")</f>
        <v>Show Evidence...</v>
      </c>
    </row>
    <row r="3035" spans="1:10" ht="12.75">
      <c r="A3035" s="2" t="s">
        <v>50</v>
      </c>
      <c r="B3035" s="2" t="s">
        <v>4216</v>
      </c>
      <c r="C3035" s="2" t="s">
        <v>24</v>
      </c>
      <c r="D3035" s="2" t="s">
        <v>4217</v>
      </c>
      <c r="E3035" s="2" t="s">
        <v>293</v>
      </c>
      <c r="F3035" s="11">
        <v>123142229</v>
      </c>
      <c r="G3035" t="s">
        <v>36</v>
      </c>
      <c r="H3035" t="s">
        <v>4331</v>
      </c>
      <c r="I3035" t="s">
        <v>4242</v>
      </c>
      <c r="J3035" s="6" t="str">
        <f>HYPERLINK("https://www.biovista.com/db/link/%5B%5B%22Disease%7CSSADH%20Deficiency%22%5D,%20%5B%22Gene%7CL-2%22%5D%5D?strength-weight-map=%257B%2522MEDLINE_STRENGTH_AB%2522:1.0,%2522HPO%2522:100.0%257D", "Show Evidence...")</f>
        <v>Show Evidence...</v>
      </c>
    </row>
    <row r="3036" spans="1:10" ht="12.75">
      <c r="A3036" s="2" t="s">
        <v>50</v>
      </c>
      <c r="B3036" s="2" t="s">
        <v>4216</v>
      </c>
      <c r="C3036" s="2" t="s">
        <v>24</v>
      </c>
      <c r="D3036" s="2" t="s">
        <v>4217</v>
      </c>
      <c r="E3036" s="2" t="s">
        <v>293</v>
      </c>
      <c r="F3036" s="11">
        <v>123128123</v>
      </c>
      <c r="G3036" t="s">
        <v>36</v>
      </c>
      <c r="H3036" t="s">
        <v>4332</v>
      </c>
      <c r="I3036" t="s">
        <v>4242</v>
      </c>
      <c r="J3036" s="6" t="str">
        <f>HYPERLINK("https://www.biovista.com/db/link/%5B%5B%22Disease%7CSSADH%20Deficiency%22%5D,%20%5B%22Gene%7CLOC123128123%22%5D%5D?strength-weight-map=%257B%2522MEDLINE_STRENGTH_AB%2522:1.0,%2522HPO%2522:100.0%257D", "Show Evidence...")</f>
        <v>Show Evidence...</v>
      </c>
    </row>
    <row r="3037" spans="1:10" ht="12.75">
      <c r="A3037" s="2" t="s">
        <v>50</v>
      </c>
      <c r="B3037" s="2" t="s">
        <v>4216</v>
      </c>
      <c r="C3037" s="2" t="s">
        <v>24</v>
      </c>
      <c r="D3037" s="2" t="s">
        <v>4217</v>
      </c>
      <c r="E3037" s="2" t="s">
        <v>293</v>
      </c>
      <c r="F3037" s="11">
        <v>2916</v>
      </c>
      <c r="G3037" t="s">
        <v>36</v>
      </c>
      <c r="H3037" t="s">
        <v>4333</v>
      </c>
      <c r="I3037" t="s">
        <v>4242</v>
      </c>
      <c r="J3037" s="6" t="str">
        <f>HYPERLINK("https://www.biovista.com/db/link/%5B%5B%22Disease%7CSSADH%20Deficiency%22%5D,%20%5B%22Gene%7Cmetabotropic%20glutamate%20receptor%206%22%5D%5D?strength-weight-map=%257B%2522MEDLINE_STRENGTH_AB%2522:1.0,%2522HPO%2522:100.0%257D", "Show Evidence...")</f>
        <v>Show Evidence...</v>
      </c>
    </row>
    <row r="3038" spans="1:10" ht="12.75">
      <c r="A3038" s="2" t="s">
        <v>50</v>
      </c>
      <c r="B3038" s="2" t="s">
        <v>4216</v>
      </c>
      <c r="C3038" s="2" t="s">
        <v>24</v>
      </c>
      <c r="D3038" s="2" t="s">
        <v>4217</v>
      </c>
      <c r="E3038" s="2" t="s">
        <v>293</v>
      </c>
      <c r="F3038" s="11">
        <v>4204</v>
      </c>
      <c r="G3038" t="s">
        <v>36</v>
      </c>
      <c r="H3038" t="s">
        <v>4334</v>
      </c>
      <c r="I3038" t="s">
        <v>4242</v>
      </c>
      <c r="J3038" s="6" t="str">
        <f>HYPERLINK("https://www.biovista.com/db/link/%5B%5B%22Disease%7CSSADH%20Deficiency%22%5D,%20%5B%22Gene%7Cmethyl-CpG-binding%20protein%202%22%5D%5D?strength-weight-map=%257B%2522MEDLINE_STRENGTH_AB%2522:1.0,%2522HPO%2522:100.0%257D", "Show Evidence...")</f>
        <v>Show Evidence...</v>
      </c>
    </row>
    <row r="3039" spans="1:10" ht="12.75">
      <c r="A3039" s="2" t="s">
        <v>50</v>
      </c>
      <c r="B3039" s="2" t="s">
        <v>4216</v>
      </c>
      <c r="C3039" s="2" t="s">
        <v>24</v>
      </c>
      <c r="D3039" s="2" t="s">
        <v>4217</v>
      </c>
      <c r="E3039" s="2" t="s">
        <v>293</v>
      </c>
      <c r="F3039" s="11">
        <v>4133</v>
      </c>
      <c r="G3039" t="s">
        <v>36</v>
      </c>
      <c r="H3039" t="s">
        <v>4335</v>
      </c>
      <c r="I3039" t="s">
        <v>4242</v>
      </c>
      <c r="J3039" s="6" t="str">
        <f>HYPERLINK("https://www.biovista.com/db/link/%5B%5B%22Disease%7CSSADH%20Deficiency%22%5D,%20%5B%22Gene%7Cmicrotubule-associated%20protein%202%22%5D%5D?strength-weight-map=%257B%2522MEDLINE_STRENGTH_AB%2522:1.0,%2522HPO%2522:100.0%257D", "Show Evidence...")</f>
        <v>Show Evidence...</v>
      </c>
    </row>
    <row r="3040" spans="1:10" ht="12.75">
      <c r="A3040" s="2" t="s">
        <v>50</v>
      </c>
      <c r="B3040" s="2" t="s">
        <v>4216</v>
      </c>
      <c r="C3040" s="2" t="s">
        <v>24</v>
      </c>
      <c r="D3040" s="2" t="s">
        <v>4217</v>
      </c>
      <c r="E3040" s="2" t="s">
        <v>293</v>
      </c>
      <c r="F3040" s="11">
        <v>24592</v>
      </c>
      <c r="G3040" t="s">
        <v>36</v>
      </c>
      <c r="H3040" t="s">
        <v>4336</v>
      </c>
      <c r="I3040" t="s">
        <v>4242</v>
      </c>
      <c r="J3040" s="6" t="str">
        <f>HYPERLINK("https://www.biovista.com/db/link/%5B%5B%22Disease%7CSSADH%20Deficiency%22%5D,%20%5B%22Gene%7CNeurofibromatosis%20type%201%22%5D%5D?strength-weight-map=%257B%2522MEDLINE_STRENGTH_AB%2522:1.0,%2522HPO%2522:100.0%257D", "Show Evidence...")</f>
        <v>Show Evidence...</v>
      </c>
    </row>
    <row r="3041" spans="1:10" ht="12.75">
      <c r="A3041" s="2" t="s">
        <v>50</v>
      </c>
      <c r="B3041" s="2" t="s">
        <v>4216</v>
      </c>
      <c r="C3041" s="2" t="s">
        <v>24</v>
      </c>
      <c r="D3041" s="2" t="s">
        <v>4217</v>
      </c>
      <c r="E3041" s="2" t="s">
        <v>293</v>
      </c>
      <c r="F3041" s="11">
        <v>4908</v>
      </c>
      <c r="G3041" t="s">
        <v>36</v>
      </c>
      <c r="H3041" t="s">
        <v>4337</v>
      </c>
      <c r="I3041" t="s">
        <v>4242</v>
      </c>
      <c r="J3041" s="6" t="str">
        <f>HYPERLINK("https://www.biovista.com/db/link/%5B%5B%22Disease%7CSSADH%20Deficiency%22%5D,%20%5B%22Gene%7Cneurotrophic%20factor%22%5D%5D?strength-weight-map=%257B%2522MEDLINE_STRENGTH_AB%2522:1.0,%2522HPO%2522:100.0%257D", "Show Evidence...")</f>
        <v>Show Evidence...</v>
      </c>
    </row>
    <row r="3042" spans="1:10" ht="12.75">
      <c r="A3042" s="2" t="s">
        <v>50</v>
      </c>
      <c r="B3042" s="2" t="s">
        <v>4216</v>
      </c>
      <c r="C3042" s="2" t="s">
        <v>24</v>
      </c>
      <c r="D3042" s="2" t="s">
        <v>4217</v>
      </c>
      <c r="E3042" s="2" t="s">
        <v>293</v>
      </c>
      <c r="F3042" s="11">
        <v>2731</v>
      </c>
      <c r="G3042" t="s">
        <v>36</v>
      </c>
      <c r="H3042" t="s">
        <v>3511</v>
      </c>
      <c r="I3042" t="s">
        <v>4242</v>
      </c>
      <c r="J3042" s="6" t="str">
        <f>HYPERLINK("https://www.biovista.com/db/link/%5B%5B%22Disease%7CSSADH%20Deficiency%22%5D,%20%5B%22Gene%7Cnonketotic%20hyperglycinemia%22%5D%5D?strength-weight-map=%257B%2522MEDLINE_STRENGTH_AB%2522:1.0,%2522HPO%2522:100.0%257D", "Show Evidence...")</f>
        <v>Show Evidence...</v>
      </c>
    </row>
    <row r="3043" spans="1:10" ht="12.75">
      <c r="A3043" s="2" t="s">
        <v>50</v>
      </c>
      <c r="B3043" s="2" t="s">
        <v>4216</v>
      </c>
      <c r="C3043" s="2" t="s">
        <v>24</v>
      </c>
      <c r="D3043" s="2" t="s">
        <v>4217</v>
      </c>
      <c r="E3043" s="2" t="s">
        <v>293</v>
      </c>
      <c r="F3043" s="11">
        <v>1523</v>
      </c>
      <c r="G3043" t="s">
        <v>36</v>
      </c>
      <c r="H3043" t="s">
        <v>4338</v>
      </c>
      <c r="I3043" t="s">
        <v>4242</v>
      </c>
      <c r="J3043" s="6" t="str">
        <f>HYPERLINK("https://www.biovista.com/db/link/%5B%5B%22Disease%7CSSADH%20Deficiency%22%5D,%20%5B%22Gene%7CP100%22%5D%5D?strength-weight-map=%257B%2522MEDLINE_STRENGTH_AB%2522:1.0,%2522HPO%2522:100.0%257D", "Show Evidence...")</f>
        <v>Show Evidence...</v>
      </c>
    </row>
    <row r="3044" spans="1:10" ht="12.75">
      <c r="A3044" s="2" t="s">
        <v>50</v>
      </c>
      <c r="B3044" s="2" t="s">
        <v>4216</v>
      </c>
      <c r="C3044" s="2" t="s">
        <v>24</v>
      </c>
      <c r="D3044" s="2" t="s">
        <v>4217</v>
      </c>
      <c r="E3044" s="2" t="s">
        <v>293</v>
      </c>
      <c r="F3044" s="11">
        <v>25824</v>
      </c>
      <c r="G3044" t="s">
        <v>36</v>
      </c>
      <c r="H3044" t="s">
        <v>3483</v>
      </c>
      <c r="I3044" t="s">
        <v>4242</v>
      </c>
      <c r="J3044" s="6" t="str">
        <f>HYPERLINK("https://www.biovista.com/db/link/%5B%5B%22Disease%7CSSADH%20Deficiency%22%5D,%20%5B%22Gene%7CPLP%22%5D%5D?strength-weight-map=%257B%2522MEDLINE_STRENGTH_AB%2522:1.0,%2522HPO%2522:100.0%257D", "Show Evidence...")</f>
        <v>Show Evidence...</v>
      </c>
    </row>
    <row r="3045" spans="1:10" ht="12.75">
      <c r="A3045" s="2" t="s">
        <v>50</v>
      </c>
      <c r="B3045" s="2" t="s">
        <v>4216</v>
      </c>
      <c r="C3045" s="2" t="s">
        <v>24</v>
      </c>
      <c r="D3045" s="2" t="s">
        <v>4217</v>
      </c>
      <c r="E3045" s="2" t="s">
        <v>53</v>
      </c>
      <c r="F3045" s="11" t="s">
        <v>1161</v>
      </c>
      <c r="G3045" t="s">
        <v>36</v>
      </c>
      <c r="H3045" t="s">
        <v>1162</v>
      </c>
      <c r="I3045" t="s">
        <v>4242</v>
      </c>
      <c r="J3045" s="6" t="str">
        <f>HYPERLINK("https://www.biovista.com/db/link/%5B%5B%22Disease%7CSSADH%20Deficiency%22%5D,%20%5B%22Gene%7CReceptors,%20Glutamate%22%5D%5D?strength-weight-map=%257B%2522MEDLINE_STRENGTH_AB%2522:1.0,%2522HPO%2522:100.0%257D", "Show Evidence...")</f>
        <v>Show Evidence...</v>
      </c>
    </row>
    <row r="3046" spans="1:10" ht="12.75">
      <c r="A3046" s="2" t="s">
        <v>50</v>
      </c>
      <c r="B3046" s="2" t="s">
        <v>4216</v>
      </c>
      <c r="C3046" s="2" t="s">
        <v>24</v>
      </c>
      <c r="D3046" s="2" t="s">
        <v>4217</v>
      </c>
      <c r="E3046" s="2" t="s">
        <v>293</v>
      </c>
      <c r="F3046" s="11">
        <v>4204</v>
      </c>
      <c r="G3046" t="s">
        <v>36</v>
      </c>
      <c r="H3046" t="s">
        <v>4339</v>
      </c>
      <c r="I3046" t="s">
        <v>4242</v>
      </c>
      <c r="J3046" s="6" t="str">
        <f>HYPERLINK("https://www.biovista.com/db/link/%5B%5B%22Disease%7CSSADH%20Deficiency%22%5D,%20%5B%22Gene%7CRTT%22%5D%5D?strength-weight-map=%257B%2522MEDLINE_STRENGTH_AB%2522:1.0,%2522HPO%2522:100.0%257D", "Show Evidence...")</f>
        <v>Show Evidence...</v>
      </c>
    </row>
    <row r="3047" spans="1:10" ht="12.75">
      <c r="A3047" s="2" t="s">
        <v>50</v>
      </c>
      <c r="B3047" s="2" t="s">
        <v>4216</v>
      </c>
      <c r="C3047" s="2" t="s">
        <v>24</v>
      </c>
      <c r="D3047" s="2" t="s">
        <v>4217</v>
      </c>
      <c r="E3047" s="2" t="s">
        <v>293</v>
      </c>
      <c r="F3047" s="11">
        <v>6697</v>
      </c>
      <c r="G3047" t="s">
        <v>36</v>
      </c>
      <c r="H3047" t="s">
        <v>1635</v>
      </c>
      <c r="I3047" t="s">
        <v>4242</v>
      </c>
      <c r="J3047" s="6" t="str">
        <f>HYPERLINK("https://www.biovista.com/db/link/%5B%5B%22Disease%7CSSADH%20Deficiency%22%5D,%20%5B%22Gene%7Csepiapterin%20reductase%22%5D%5D?strength-weight-map=%257B%2522MEDLINE_STRENGTH_AB%2522:1.0,%2522HPO%2522:100.0%257D", "Show Evidence...")</f>
        <v>Show Evidence...</v>
      </c>
    </row>
    <row r="3048" spans="1:10" ht="12.75">
      <c r="A3048" s="2" t="s">
        <v>50</v>
      </c>
      <c r="B3048" s="2" t="s">
        <v>4216</v>
      </c>
      <c r="C3048" s="2" t="s">
        <v>24</v>
      </c>
      <c r="D3048" s="2" t="s">
        <v>4217</v>
      </c>
      <c r="E3048" s="2" t="s">
        <v>293</v>
      </c>
      <c r="F3048" s="11">
        <v>55532</v>
      </c>
      <c r="G3048" t="s">
        <v>36</v>
      </c>
      <c r="H3048" t="s">
        <v>4340</v>
      </c>
      <c r="I3048" t="s">
        <v>4242</v>
      </c>
      <c r="J3048" s="6" t="str">
        <f>HYPERLINK("https://www.biovista.com/db/link/%5B%5B%22Disease%7CSSADH%20Deficiency%22%5D,%20%5B%22Gene%7CSLC30A10%22%5D%5D?strength-weight-map=%257B%2522MEDLINE_STRENGTH_AB%2522:1.0,%2522HPO%2522:100.0%257D", "Show Evidence...")</f>
        <v>Show Evidence...</v>
      </c>
    </row>
    <row r="3049" spans="1:10" ht="12.75">
      <c r="A3049" s="2" t="s">
        <v>50</v>
      </c>
      <c r="B3049" s="2" t="s">
        <v>4216</v>
      </c>
      <c r="C3049" s="2" t="s">
        <v>24</v>
      </c>
      <c r="D3049" s="2" t="s">
        <v>4217</v>
      </c>
      <c r="E3049" s="2" t="s">
        <v>293</v>
      </c>
      <c r="F3049" s="11">
        <v>54407</v>
      </c>
      <c r="G3049" t="s">
        <v>36</v>
      </c>
      <c r="H3049" t="s">
        <v>4341</v>
      </c>
      <c r="I3049" t="s">
        <v>4242</v>
      </c>
      <c r="J3049" s="6" t="str">
        <f>HYPERLINK("https://www.biovista.com/db/link/%5B%5B%22Disease%7CSSADH%20Deficiency%22%5D,%20%5B%22Gene%7CSLC38A2%22%5D%5D?strength-weight-map=%257B%2522MEDLINE_STRENGTH_AB%2522:1.0,%2522HPO%2522:100.0%257D", "Show Evidence...")</f>
        <v>Show Evidence...</v>
      </c>
    </row>
    <row r="3050" spans="1:10" ht="12.75">
      <c r="A3050" s="2" t="s">
        <v>50</v>
      </c>
      <c r="B3050" s="2" t="s">
        <v>4216</v>
      </c>
      <c r="C3050" s="2" t="s">
        <v>24</v>
      </c>
      <c r="D3050" s="2" t="s">
        <v>4217</v>
      </c>
      <c r="E3050" s="2" t="s">
        <v>293</v>
      </c>
      <c r="F3050" s="11">
        <v>23516</v>
      </c>
      <c r="G3050" t="s">
        <v>36</v>
      </c>
      <c r="H3050" t="s">
        <v>4342</v>
      </c>
      <c r="I3050" t="s">
        <v>4242</v>
      </c>
      <c r="J3050" s="6" t="str">
        <f>HYPERLINK("https://www.biovista.com/db/link/%5B%5B%22Disease%7CSSADH%20Deficiency%22%5D,%20%5B%22Gene%7CSLC39A14%22%5D%5D?strength-weight-map=%257B%2522MEDLINE_STRENGTH_AB%2522:1.0,%2522HPO%2522:100.0%257D", "Show Evidence...")</f>
        <v>Show Evidence...</v>
      </c>
    </row>
    <row r="3051" spans="1:10" ht="12.75">
      <c r="A3051" s="2" t="s">
        <v>50</v>
      </c>
      <c r="B3051" s="2" t="s">
        <v>4216</v>
      </c>
      <c r="C3051" s="2" t="s">
        <v>24</v>
      </c>
      <c r="D3051" s="2" t="s">
        <v>4217</v>
      </c>
      <c r="E3051" s="2" t="s">
        <v>293</v>
      </c>
      <c r="F3051" s="11">
        <v>6529</v>
      </c>
      <c r="G3051" t="s">
        <v>36</v>
      </c>
      <c r="H3051" t="s">
        <v>4343</v>
      </c>
      <c r="I3051" t="s">
        <v>4242</v>
      </c>
      <c r="J3051" s="6" t="str">
        <f>HYPERLINK("https://www.biovista.com/db/link/%5B%5B%22Disease%7CSSADH%20Deficiency%22%5D,%20%5B%22Gene%7CSLC6A1%22%5D%5D?strength-weight-map=%257B%2522MEDLINE_STRENGTH_AB%2522:1.0,%2522HPO%2522:100.0%257D", "Show Evidence...")</f>
        <v>Show Evidence...</v>
      </c>
    </row>
    <row r="3052" spans="1:10" ht="12.75">
      <c r="A3052" s="2" t="s">
        <v>50</v>
      </c>
      <c r="B3052" s="2" t="s">
        <v>4216</v>
      </c>
      <c r="C3052" s="2" t="s">
        <v>24</v>
      </c>
      <c r="D3052" s="2" t="s">
        <v>4217</v>
      </c>
      <c r="E3052" s="2" t="s">
        <v>293</v>
      </c>
      <c r="F3052" s="11">
        <v>6530</v>
      </c>
      <c r="G3052" t="s">
        <v>36</v>
      </c>
      <c r="H3052" t="s">
        <v>4344</v>
      </c>
      <c r="I3052" t="s">
        <v>4242</v>
      </c>
      <c r="J3052" s="6" t="str">
        <f>HYPERLINK("https://www.biovista.com/db/link/%5B%5B%22Disease%7CSSADH%20Deficiency%22%5D,%20%5B%22Gene%7CSLC6A2%22%5D%5D?strength-weight-map=%257B%2522MEDLINE_STRENGTH_AB%2522:1.0,%2522HPO%2522:100.0%257D", "Show Evidence...")</f>
        <v>Show Evidence...</v>
      </c>
    </row>
    <row r="3053" spans="1:10" ht="12.75">
      <c r="A3053" s="2" t="s">
        <v>50</v>
      </c>
      <c r="B3053" s="2" t="s">
        <v>4216</v>
      </c>
      <c r="C3053" s="2" t="s">
        <v>24</v>
      </c>
      <c r="D3053" s="2" t="s">
        <v>4217</v>
      </c>
      <c r="E3053" s="2" t="s">
        <v>293</v>
      </c>
      <c r="F3053" s="11">
        <v>8140</v>
      </c>
      <c r="G3053" t="s">
        <v>36</v>
      </c>
      <c r="H3053" t="s">
        <v>4345</v>
      </c>
      <c r="I3053" t="s">
        <v>4242</v>
      </c>
      <c r="J3053" s="6" t="str">
        <f>HYPERLINK("https://www.biovista.com/db/link/%5B%5B%22Disease%7CSSADH%20Deficiency%22%5D,%20%5B%22Gene%7CSLC7A5%22%5D%5D?strength-weight-map=%257B%2522MEDLINE_STRENGTH_AB%2522:1.0,%2522HPO%2522:100.0%257D", "Show Evidence...")</f>
        <v>Show Evidence...</v>
      </c>
    </row>
    <row r="3054" spans="1:10" ht="12.75">
      <c r="A3054" s="2" t="s">
        <v>50</v>
      </c>
      <c r="B3054" s="2" t="s">
        <v>4216</v>
      </c>
      <c r="C3054" s="2" t="s">
        <v>24</v>
      </c>
      <c r="D3054" s="2" t="s">
        <v>4217</v>
      </c>
      <c r="E3054" s="2" t="s">
        <v>293</v>
      </c>
      <c r="F3054" s="11">
        <v>3239</v>
      </c>
      <c r="G3054" t="s">
        <v>36</v>
      </c>
      <c r="H3054" t="s">
        <v>4346</v>
      </c>
      <c r="I3054" t="s">
        <v>4242</v>
      </c>
      <c r="J3054" s="6" t="str">
        <f>HYPERLINK("https://www.biovista.com/db/link/%5B%5B%22Disease%7CSSADH%20Deficiency%22%5D,%20%5B%22Gene%7CSPD%22%5D%5D?strength-weight-map=%257B%2522MEDLINE_STRENGTH_AB%2522:1.0,%2522HPO%2522:100.0%257D", "Show Evidence...")</f>
        <v>Show Evidence...</v>
      </c>
    </row>
    <row r="3055" spans="1:10" ht="12.75">
      <c r="A3055" s="2" t="s">
        <v>50</v>
      </c>
      <c r="B3055" s="2" t="s">
        <v>4216</v>
      </c>
      <c r="C3055" s="2" t="s">
        <v>24</v>
      </c>
      <c r="D3055" s="2" t="s">
        <v>4217</v>
      </c>
      <c r="E3055" s="2" t="s">
        <v>293</v>
      </c>
      <c r="F3055" s="11">
        <v>7431</v>
      </c>
      <c r="G3055" t="s">
        <v>36</v>
      </c>
      <c r="H3055" t="s">
        <v>4347</v>
      </c>
      <c r="I3055" t="s">
        <v>4242</v>
      </c>
      <c r="J3055" s="6" t="str">
        <f>HYPERLINK("https://www.biovista.com/db/link/%5B%5B%22Disease%7CSSADH%20Deficiency%22%5D,%20%5B%22Gene%7Cvimentin%22%5D%5D?strength-weight-map=%257B%2522MEDLINE_STRENGTH_AB%2522:1.0,%2522HPO%2522:100.0%257D", "Show Evidence...")</f>
        <v>Show Evidence...</v>
      </c>
    </row>
    <row r="3056" spans="1:10" ht="12.75">
      <c r="A3056" s="2" t="s">
        <v>50</v>
      </c>
      <c r="B3056" s="2" t="s">
        <v>4216</v>
      </c>
      <c r="C3056" s="2" t="s">
        <v>24</v>
      </c>
      <c r="D3056" s="2" t="s">
        <v>4217</v>
      </c>
      <c r="E3056" s="2" t="s">
        <v>431</v>
      </c>
      <c r="F3056" s="11" t="s">
        <v>1372</v>
      </c>
      <c r="G3056" t="s">
        <v>38</v>
      </c>
      <c r="H3056" t="s">
        <v>1373</v>
      </c>
      <c r="I3056" t="s">
        <v>4348</v>
      </c>
      <c r="J3056" s="6" t="str">
        <f>HYPERLINK("https://www.biovista.com/db/link/%5B%5B%22Disease%7CSSADH%20Deficiency%22%5D,%20%5B%22Human%20Phenotype%7CGlobal%20developmental%20delay%22%5D%5D?strength-weight-map=%257B%2522MEDLINE_STRENGTH_AB%2522:1.0,%2522HPO%2522:100.0%257D", "Show Evidence...")</f>
        <v>Show Evidence...</v>
      </c>
    </row>
    <row r="3057" spans="1:10" ht="12.75">
      <c r="A3057" s="2" t="s">
        <v>50</v>
      </c>
      <c r="B3057" s="2" t="s">
        <v>4216</v>
      </c>
      <c r="C3057" s="2" t="s">
        <v>24</v>
      </c>
      <c r="D3057" s="2" t="s">
        <v>4217</v>
      </c>
      <c r="E3057" s="2" t="s">
        <v>431</v>
      </c>
      <c r="F3057" s="11" t="s">
        <v>470</v>
      </c>
      <c r="G3057" t="s">
        <v>38</v>
      </c>
      <c r="H3057" t="s">
        <v>471</v>
      </c>
      <c r="I3057" t="s">
        <v>4349</v>
      </c>
      <c r="J3057" s="6" t="str">
        <f>HYPERLINK("https://www.biovista.com/db/link/%5B%5B%22Disease%7CSSADH%20Deficiency%22%5D,%20%5B%22Human%20Phenotype%7CIntellectual%20disability%22%5D%5D?strength-weight-map=%257B%2522MEDLINE_STRENGTH_AB%2522:1.0,%2522HPO%2522:100.0%257D", "Show Evidence...")</f>
        <v>Show Evidence...</v>
      </c>
    </row>
    <row r="3058" spans="1:10" ht="12.75">
      <c r="A3058" s="2" t="s">
        <v>50</v>
      </c>
      <c r="B3058" s="2" t="s">
        <v>4216</v>
      </c>
      <c r="C3058" s="2" t="s">
        <v>24</v>
      </c>
      <c r="D3058" s="2" t="s">
        <v>4217</v>
      </c>
      <c r="E3058" s="2" t="s">
        <v>431</v>
      </c>
      <c r="F3058" s="11" t="s">
        <v>464</v>
      </c>
      <c r="G3058" t="s">
        <v>38</v>
      </c>
      <c r="H3058" t="s">
        <v>465</v>
      </c>
      <c r="I3058" t="s">
        <v>4350</v>
      </c>
      <c r="J3058" s="6" t="str">
        <f>HYPERLINK("https://www.biovista.com/db/link/%5B%5B%22Disease%7CSSADH%20Deficiency%22%5D,%20%5B%22Human%20Phenotype%7CAtaxia%22%5D%5D?strength-weight-map=%257B%2522MEDLINE_STRENGTH_AB%2522:1.0,%2522HPO%2522:100.0%257D", "Show Evidence...")</f>
        <v>Show Evidence...</v>
      </c>
    </row>
    <row r="3059" spans="1:10" ht="12.75">
      <c r="A3059" s="2" t="s">
        <v>50</v>
      </c>
      <c r="B3059" s="2" t="s">
        <v>4216</v>
      </c>
      <c r="C3059" s="2" t="s">
        <v>24</v>
      </c>
      <c r="D3059" s="2" t="s">
        <v>4217</v>
      </c>
      <c r="E3059" s="2" t="s">
        <v>431</v>
      </c>
      <c r="F3059" s="11" t="s">
        <v>660</v>
      </c>
      <c r="G3059" t="s">
        <v>38</v>
      </c>
      <c r="H3059" t="s">
        <v>661</v>
      </c>
      <c r="I3059" t="s">
        <v>4351</v>
      </c>
      <c r="J3059" s="6" t="str">
        <f>HYPERLINK("https://www.biovista.com/db/link/%5B%5B%22Disease%7CSSADH%20Deficiency%22%5D,%20%5B%22Human%20Phenotype%7CAtypical%20behavior%22%5D%5D?strength-weight-map=%257B%2522MEDLINE_STRENGTH_AB%2522:1.0,%2522HPO%2522:100.0%257D", "Show Evidence...")</f>
        <v>Show Evidence...</v>
      </c>
    </row>
    <row r="3060" spans="1:10" ht="12.75">
      <c r="A3060" s="2" t="s">
        <v>50</v>
      </c>
      <c r="B3060" s="2" t="s">
        <v>4216</v>
      </c>
      <c r="C3060" s="2" t="s">
        <v>24</v>
      </c>
      <c r="D3060" s="2" t="s">
        <v>4217</v>
      </c>
      <c r="E3060" s="2" t="s">
        <v>431</v>
      </c>
      <c r="F3060" s="11" t="s">
        <v>514</v>
      </c>
      <c r="G3060" t="s">
        <v>38</v>
      </c>
      <c r="H3060" t="s">
        <v>515</v>
      </c>
      <c r="I3060" t="s">
        <v>4352</v>
      </c>
      <c r="J3060" s="6" t="str">
        <f>HYPERLINK("https://www.biovista.com/db/link/%5B%5B%22Disease%7CSSADH%20Deficiency%22%5D,%20%5B%22Human%20Phenotype%7CHypotonia%22%5D%5D?strength-weight-map=%257B%2522MEDLINE_STRENGTH_AB%2522:1.0,%2522HPO%2522:100.0%257D", "Show Evidence...")</f>
        <v>Show Evidence...</v>
      </c>
    </row>
    <row r="3061" spans="1:10" ht="12.75">
      <c r="A3061" s="2" t="s">
        <v>50</v>
      </c>
      <c r="B3061" s="2" t="s">
        <v>4216</v>
      </c>
      <c r="C3061" s="2" t="s">
        <v>24</v>
      </c>
      <c r="D3061" s="2" t="s">
        <v>4217</v>
      </c>
      <c r="E3061" s="2" t="s">
        <v>431</v>
      </c>
      <c r="F3061" s="11" t="s">
        <v>4353</v>
      </c>
      <c r="G3061" t="s">
        <v>38</v>
      </c>
      <c r="H3061" t="s">
        <v>4354</v>
      </c>
      <c r="I3061" t="s">
        <v>455</v>
      </c>
      <c r="J3061" s="6" t="str">
        <f>HYPERLINK("https://www.biovista.com/db/link/%5B%5B%22Disease%7CSSADH%20Deficiency%22%5D,%20%5B%22Human%20Phenotype%7CAbnormality%20of%20metabolism$$SLASH$$homeostasis%22%5D%5D?strength-weight-map=%257B%2522MEDLINE_STRENGTH_AB%2522:1.0,%2522HPO%2522:100.0%257D", "Show Evidence...")</f>
        <v>Show Evidence...</v>
      </c>
    </row>
    <row r="3062" spans="1:10" ht="12.75">
      <c r="A3062" s="2" t="s">
        <v>50</v>
      </c>
      <c r="B3062" s="2" t="s">
        <v>4216</v>
      </c>
      <c r="C3062" s="2" t="s">
        <v>24</v>
      </c>
      <c r="D3062" s="2" t="s">
        <v>4217</v>
      </c>
      <c r="E3062" s="2" t="s">
        <v>431</v>
      </c>
      <c r="F3062" s="11" t="s">
        <v>1306</v>
      </c>
      <c r="G3062" t="s">
        <v>38</v>
      </c>
      <c r="H3062" t="s">
        <v>1307</v>
      </c>
      <c r="I3062" t="s">
        <v>4355</v>
      </c>
      <c r="J3062" s="6" t="str">
        <f>HYPERLINK("https://www.biovista.com/db/link/%5B%5B%22Disease%7CSSADH%20Deficiency%22%5D,%20%5B%22Human%20Phenotype%7CDelayed%20speech%20and%20language%20development%22%5D%5D?strength-weight-map=%257B%2522MEDLINE_STRENGTH_AB%2522:1.0,%2522HPO%2522:100.0%257D", "Show Evidence...")</f>
        <v>Show Evidence...</v>
      </c>
    </row>
    <row r="3063" spans="1:10" ht="12.75">
      <c r="A3063" s="2" t="s">
        <v>50</v>
      </c>
      <c r="B3063" s="2" t="s">
        <v>4216</v>
      </c>
      <c r="C3063" s="2" t="s">
        <v>24</v>
      </c>
      <c r="D3063" s="2" t="s">
        <v>4217</v>
      </c>
      <c r="E3063" s="2" t="s">
        <v>431</v>
      </c>
      <c r="F3063" s="11" t="s">
        <v>520</v>
      </c>
      <c r="G3063" t="s">
        <v>38</v>
      </c>
      <c r="H3063" t="s">
        <v>521</v>
      </c>
      <c r="I3063" t="s">
        <v>4356</v>
      </c>
      <c r="J3063" s="6" t="str">
        <f>HYPERLINK("https://www.biovista.com/db/link/%5B%5B%22Disease%7CSSADH%20Deficiency%22%5D,%20%5B%22Human%20Phenotype%7CMotor%20delay%22%5D%5D?strength-weight-map=%257B%2522MEDLINE_STRENGTH_AB%2522:1.0,%2522HPO%2522:100.0%257D", "Show Evidence...")</f>
        <v>Show Evidence...</v>
      </c>
    </row>
    <row r="3064" spans="1:10" ht="12.75">
      <c r="A3064" s="2" t="s">
        <v>50</v>
      </c>
      <c r="B3064" s="2" t="s">
        <v>4216</v>
      </c>
      <c r="C3064" s="2" t="s">
        <v>24</v>
      </c>
      <c r="D3064" s="2" t="s">
        <v>4217</v>
      </c>
      <c r="E3064" s="2" t="s">
        <v>431</v>
      </c>
      <c r="F3064" s="11" t="s">
        <v>1699</v>
      </c>
      <c r="G3064" t="s">
        <v>38</v>
      </c>
      <c r="H3064" t="s">
        <v>1700</v>
      </c>
      <c r="I3064" t="s">
        <v>4357</v>
      </c>
      <c r="J3064" s="6" t="str">
        <f>HYPERLINK("https://www.biovista.com/db/link/%5B%5B%22Disease%7CSSADH%20Deficiency%22%5D,%20%5B%22Human%20Phenotype%7CGeneralized%20hypotonia%22%5D%5D?strength-weight-map=%257B%2522MEDLINE_STRENGTH_AB%2522:1.0,%2522HPO%2522:100.0%257D", "Show Evidence...")</f>
        <v>Show Evidence...</v>
      </c>
    </row>
    <row r="3065" spans="1:10" ht="12.75">
      <c r="A3065" s="2" t="s">
        <v>50</v>
      </c>
      <c r="B3065" s="2" t="s">
        <v>4216</v>
      </c>
      <c r="C3065" s="2" t="s">
        <v>24</v>
      </c>
      <c r="D3065" s="2" t="s">
        <v>4217</v>
      </c>
      <c r="E3065" s="2" t="s">
        <v>431</v>
      </c>
      <c r="F3065" s="11" t="s">
        <v>517</v>
      </c>
      <c r="G3065" t="s">
        <v>38</v>
      </c>
      <c r="H3065" t="s">
        <v>518</v>
      </c>
      <c r="I3065" t="s">
        <v>4358</v>
      </c>
      <c r="J3065" s="6" t="str">
        <f>HYPERLINK("https://www.biovista.com/db/link/%5B%5B%22Disease%7CSSADH%20Deficiency%22%5D,%20%5B%22Human%20Phenotype%7CSeizure%22%5D%5D?strength-weight-map=%257B%2522MEDLINE_STRENGTH_AB%2522:1.0,%2522HPO%2522:100.0%257D", "Show Evidence...")</f>
        <v>Show Evidence...</v>
      </c>
    </row>
    <row r="3066" spans="1:10" ht="12.75">
      <c r="A3066" s="2" t="s">
        <v>50</v>
      </c>
      <c r="B3066" s="2" t="s">
        <v>4216</v>
      </c>
      <c r="C3066" s="2" t="s">
        <v>24</v>
      </c>
      <c r="D3066" s="2" t="s">
        <v>4217</v>
      </c>
      <c r="E3066" s="2" t="s">
        <v>431</v>
      </c>
      <c r="F3066" s="11" t="s">
        <v>2246</v>
      </c>
      <c r="G3066" t="s">
        <v>38</v>
      </c>
      <c r="H3066" t="s">
        <v>2247</v>
      </c>
      <c r="I3066" t="s">
        <v>4359</v>
      </c>
      <c r="J3066" s="6" t="str">
        <f>HYPERLINK("https://www.biovista.com/db/link/%5B%5B%22Disease%7CSSADH%20Deficiency%22%5D,%20%5B%22Human%20Phenotype%7CStatus%20epilepticus%22%5D%5D?strength-weight-map=%257B%2522MEDLINE_STRENGTH_AB%2522:1.0,%2522HPO%2522:100.0%257D", "Show Evidence...")</f>
        <v>Show Evidence...</v>
      </c>
    </row>
    <row r="3067" spans="1:10" ht="12.75">
      <c r="A3067" s="2" t="s">
        <v>50</v>
      </c>
      <c r="B3067" s="2" t="s">
        <v>4216</v>
      </c>
      <c r="C3067" s="2" t="s">
        <v>24</v>
      </c>
      <c r="D3067" s="2" t="s">
        <v>4217</v>
      </c>
      <c r="E3067" s="2" t="s">
        <v>431</v>
      </c>
      <c r="F3067" s="11" t="s">
        <v>3602</v>
      </c>
      <c r="G3067" t="s">
        <v>38</v>
      </c>
      <c r="H3067" t="s">
        <v>3603</v>
      </c>
      <c r="I3067" t="s">
        <v>4360</v>
      </c>
      <c r="J3067" s="6" t="str">
        <f>HYPERLINK("https://www.biovista.com/db/link/%5B%5B%22Disease%7CSSADH%20Deficiency%22%5D,%20%5B%22Human%20Phenotype%7CBilateral%20tonic-clonic%20seizure%22%5D%5D?strength-weight-map=%257B%2522MEDLINE_STRENGTH_AB%2522:1.0,%2522HPO%2522:100.0%257D", "Show Evidence...")</f>
        <v>Show Evidence...</v>
      </c>
    </row>
    <row r="3068" spans="1:10" ht="12.75">
      <c r="A3068" s="2" t="s">
        <v>50</v>
      </c>
      <c r="B3068" s="2" t="s">
        <v>4216</v>
      </c>
      <c r="C3068" s="2" t="s">
        <v>24</v>
      </c>
      <c r="D3068" s="2" t="s">
        <v>4217</v>
      </c>
      <c r="E3068" s="2" t="s">
        <v>431</v>
      </c>
      <c r="F3068" s="11" t="s">
        <v>4361</v>
      </c>
      <c r="G3068" t="s">
        <v>38</v>
      </c>
      <c r="H3068" t="s">
        <v>4362</v>
      </c>
      <c r="I3068" t="s">
        <v>3199</v>
      </c>
      <c r="J3068" s="6" t="str">
        <f>HYPERLINK("https://www.biovista.com/db/link/%5B%5B%22Disease%7CSSADH%20Deficiency%22%5D,%20%5B%22Human%20Phenotype%7CGeneralized%20myoclonic%20seizure%22%5D%5D?strength-weight-map=%257B%2522MEDLINE_STRENGTH_AB%2522:1.0,%2522HPO%2522:100.0%257D", "Show Evidence...")</f>
        <v>Show Evidence...</v>
      </c>
    </row>
    <row r="3069" spans="1:10" ht="12.75">
      <c r="A3069" s="2" t="s">
        <v>50</v>
      </c>
      <c r="B3069" s="2" t="s">
        <v>4216</v>
      </c>
      <c r="C3069" s="2" t="s">
        <v>24</v>
      </c>
      <c r="D3069" s="2" t="s">
        <v>4217</v>
      </c>
      <c r="E3069" s="2" t="s">
        <v>431</v>
      </c>
      <c r="F3069" s="11" t="s">
        <v>1309</v>
      </c>
      <c r="G3069" t="s">
        <v>38</v>
      </c>
      <c r="H3069" t="s">
        <v>1310</v>
      </c>
      <c r="I3069" t="s">
        <v>4363</v>
      </c>
      <c r="J3069" s="6" t="str">
        <f>HYPERLINK("https://www.biovista.com/db/link/%5B%5B%22Disease%7CSSADH%20Deficiency%22%5D,%20%5B%22Human%20Phenotype%7CChildhood%20onset%22%5D%5D?strength-weight-map=%257B%2522MEDLINE_STRENGTH_AB%2522:1.0,%2522HPO%2522:100.0%257D", "Show Evidence...")</f>
        <v>Show Evidence...</v>
      </c>
    </row>
    <row r="3070" spans="1:10" ht="12.75">
      <c r="A3070" s="2" t="s">
        <v>50</v>
      </c>
      <c r="B3070" s="2" t="s">
        <v>4216</v>
      </c>
      <c r="C3070" s="2" t="s">
        <v>24</v>
      </c>
      <c r="D3070" s="2" t="s">
        <v>4217</v>
      </c>
      <c r="E3070" s="2" t="s">
        <v>431</v>
      </c>
      <c r="F3070" s="11" t="s">
        <v>606</v>
      </c>
      <c r="G3070" t="s">
        <v>38</v>
      </c>
      <c r="H3070" t="s">
        <v>607</v>
      </c>
      <c r="I3070" t="s">
        <v>4364</v>
      </c>
      <c r="J3070" s="6" t="str">
        <f>HYPERLINK("https://www.biovista.com/db/link/%5B%5B%22Disease%7CSSADH%20Deficiency%22%5D,%20%5B%22Human%20Phenotype%7CHyporeflexia%22%5D%5D?strength-weight-map=%257B%2522MEDLINE_STRENGTH_AB%2522:1.0,%2522HPO%2522:100.0%257D", "Show Evidence...")</f>
        <v>Show Evidence...</v>
      </c>
    </row>
    <row r="3071" spans="1:10" ht="12.75">
      <c r="A3071" s="2" t="s">
        <v>50</v>
      </c>
      <c r="B3071" s="2" t="s">
        <v>4216</v>
      </c>
      <c r="C3071" s="2" t="s">
        <v>24</v>
      </c>
      <c r="D3071" s="2" t="s">
        <v>4217</v>
      </c>
      <c r="E3071" s="2" t="s">
        <v>431</v>
      </c>
      <c r="F3071" s="11" t="s">
        <v>1356</v>
      </c>
      <c r="G3071" t="s">
        <v>38</v>
      </c>
      <c r="H3071" t="s">
        <v>1357</v>
      </c>
      <c r="I3071" t="s">
        <v>4365</v>
      </c>
      <c r="J3071" s="6" t="str">
        <f>HYPERLINK("https://www.biovista.com/db/link/%5B%5B%22Disease%7CSSADH%20Deficiency%22%5D,%20%5B%22Human%20Phenotype%7CJuvenile%20onset%22%5D%5D?strength-weight-map=%257B%2522MEDLINE_STRENGTH_AB%2522:1.0,%2522HPO%2522:100.0%257D", "Show Evidence...")</f>
        <v>Show Evidence...</v>
      </c>
    </row>
    <row r="3072" spans="1:10" ht="12.75">
      <c r="A3072" s="2" t="s">
        <v>50</v>
      </c>
      <c r="B3072" s="2" t="s">
        <v>4216</v>
      </c>
      <c r="C3072" s="2" t="s">
        <v>24</v>
      </c>
      <c r="D3072" s="2" t="s">
        <v>4217</v>
      </c>
      <c r="E3072" s="2" t="s">
        <v>431</v>
      </c>
      <c r="F3072" s="11" t="s">
        <v>2239</v>
      </c>
      <c r="G3072" t="s">
        <v>38</v>
      </c>
      <c r="H3072" t="s">
        <v>2240</v>
      </c>
      <c r="I3072" t="s">
        <v>4366</v>
      </c>
      <c r="J3072" s="6" t="str">
        <f>HYPERLINK("https://www.biovista.com/db/link/%5B%5B%22Disease%7CSSADH%20Deficiency%22%5D,%20%5B%22Human%20Phenotype%7CCerebellar%20atrophy%22%5D%5D?strength-weight-map=%257B%2522MEDLINE_STRENGTH_AB%2522:1.0,%2522HPO%2522:100.0%257D", "Show Evidence...")</f>
        <v>Show Evidence...</v>
      </c>
    </row>
    <row r="3073" spans="1:10" ht="12.75">
      <c r="A3073" s="2" t="s">
        <v>50</v>
      </c>
      <c r="B3073" s="2" t="s">
        <v>4216</v>
      </c>
      <c r="C3073" s="2" t="s">
        <v>24</v>
      </c>
      <c r="D3073" s="2" t="s">
        <v>4217</v>
      </c>
      <c r="E3073" s="2" t="s">
        <v>431</v>
      </c>
      <c r="F3073" s="11" t="s">
        <v>1249</v>
      </c>
      <c r="G3073" t="s">
        <v>38</v>
      </c>
      <c r="H3073" t="s">
        <v>1250</v>
      </c>
      <c r="I3073" t="s">
        <v>4367</v>
      </c>
      <c r="J3073" s="6" t="str">
        <f>HYPERLINK("https://www.biovista.com/db/link/%5B%5B%22Disease%7CSSADH%20Deficiency%22%5D,%20%5B%22Human%20Phenotype%7CInfantile%20onset%22%5D%5D?strength-weight-map=%257B%2522MEDLINE_STRENGTH_AB%2522:1.0,%2522HPO%2522:100.0%257D", "Show Evidence...")</f>
        <v>Show Evidence...</v>
      </c>
    </row>
    <row r="3074" spans="1:10" ht="12.75">
      <c r="A3074" s="2" t="s">
        <v>50</v>
      </c>
      <c r="B3074" s="2" t="s">
        <v>4216</v>
      </c>
      <c r="C3074" s="2" t="s">
        <v>24</v>
      </c>
      <c r="D3074" s="2" t="s">
        <v>4217</v>
      </c>
      <c r="E3074" s="2" t="s">
        <v>431</v>
      </c>
      <c r="F3074" s="11" t="s">
        <v>4368</v>
      </c>
      <c r="G3074" t="s">
        <v>38</v>
      </c>
      <c r="H3074" t="s">
        <v>4369</v>
      </c>
      <c r="I3074" t="s">
        <v>4370</v>
      </c>
      <c r="J3074" s="6" t="str">
        <f>HYPERLINK("https://www.biovista.com/db/link/%5B%5B%22Disease%7CSSADH%20Deficiency%22%5D,%20%5B%22Human%20Phenotype%7CYoung%20adult%20onset%22%5D%5D?strength-weight-map=%257B%2522MEDLINE_STRENGTH_AB%2522:1.0,%2522HPO%2522:100.0%257D", "Show Evidence...")</f>
        <v>Show Evidence...</v>
      </c>
    </row>
    <row r="3075" spans="1:10" ht="12.75">
      <c r="A3075" s="2" t="s">
        <v>50</v>
      </c>
      <c r="B3075" s="2" t="s">
        <v>4216</v>
      </c>
      <c r="C3075" s="2" t="s">
        <v>24</v>
      </c>
      <c r="D3075" s="2" t="s">
        <v>4217</v>
      </c>
      <c r="E3075" s="2" t="s">
        <v>431</v>
      </c>
      <c r="F3075" s="11" t="s">
        <v>3651</v>
      </c>
      <c r="G3075" t="s">
        <v>38</v>
      </c>
      <c r="H3075" t="s">
        <v>3652</v>
      </c>
      <c r="I3075" t="s">
        <v>4371</v>
      </c>
      <c r="J3075" s="6" t="str">
        <f>HYPERLINK("https://www.biovista.com/db/link/%5B%5B%22Disease%7CSSADH%20Deficiency%22%5D,%20%5B%22Human%20Phenotype%7CDelayed%20CNS%20myelination%22%5D%5D?strength-weight-map=%257B%2522MEDLINE_STRENGTH_AB%2522:1.0,%2522HPO%2522:100.0%257D", "Show Evidence...")</f>
        <v>Show Evidence...</v>
      </c>
    </row>
    <row r="3076" spans="1:10" ht="12.75">
      <c r="A3076" s="2" t="s">
        <v>50</v>
      </c>
      <c r="B3076" s="2" t="s">
        <v>4216</v>
      </c>
      <c r="C3076" s="2" t="s">
        <v>24</v>
      </c>
      <c r="D3076" s="2" t="s">
        <v>4217</v>
      </c>
      <c r="E3076" s="2" t="s">
        <v>431</v>
      </c>
      <c r="F3076" s="11" t="s">
        <v>617</v>
      </c>
      <c r="G3076" t="s">
        <v>38</v>
      </c>
      <c r="H3076" t="s">
        <v>618</v>
      </c>
      <c r="I3076" t="s">
        <v>4372</v>
      </c>
      <c r="J3076" s="6" t="str">
        <f>HYPERLINK("https://www.biovista.com/db/link/%5B%5B%22Disease%7CSSADH%20Deficiency%22%5D,%20%5B%22Human%20Phenotype%7CHealthy%22%5D%5D?strength-weight-map=%257B%2522MEDLINE_STRENGTH_AB%2522:1.0,%2522HPO%2522:100.0%257D", "Show Evidence...")</f>
        <v>Show Evidence...</v>
      </c>
    </row>
    <row r="3077" spans="1:10" ht="12.75">
      <c r="A3077" s="2" t="s">
        <v>50</v>
      </c>
      <c r="B3077" s="2" t="s">
        <v>4216</v>
      </c>
      <c r="C3077" s="2" t="s">
        <v>24</v>
      </c>
      <c r="D3077" s="2" t="s">
        <v>4217</v>
      </c>
      <c r="E3077" s="2" t="s">
        <v>431</v>
      </c>
      <c r="F3077" s="11" t="s">
        <v>2749</v>
      </c>
      <c r="G3077" t="s">
        <v>38</v>
      </c>
      <c r="H3077" t="s">
        <v>2750</v>
      </c>
      <c r="I3077" t="s">
        <v>4373</v>
      </c>
      <c r="J3077" s="6" t="str">
        <f>HYPERLINK("https://www.biovista.com/db/link/%5B%5B%22Disease%7CSSADH%20Deficiency%22%5D,%20%5B%22Human%20Phenotype%7CAutistic%20behavior%22%5D%5D?strength-weight-map=%257B%2522MEDLINE_STRENGTH_AB%2522:1.0,%2522HPO%2522:100.0%257D", "Show Evidence...")</f>
        <v>Show Evidence...</v>
      </c>
    </row>
    <row r="3078" spans="1:10" ht="12.75">
      <c r="A3078" s="2" t="s">
        <v>50</v>
      </c>
      <c r="B3078" s="2" t="s">
        <v>4216</v>
      </c>
      <c r="C3078" s="2" t="s">
        <v>24</v>
      </c>
      <c r="D3078" s="2" t="s">
        <v>4217</v>
      </c>
      <c r="E3078" s="2" t="s">
        <v>431</v>
      </c>
      <c r="F3078" s="11" t="s">
        <v>643</v>
      </c>
      <c r="G3078" t="s">
        <v>38</v>
      </c>
      <c r="H3078" t="s">
        <v>644</v>
      </c>
      <c r="I3078" t="s">
        <v>4373</v>
      </c>
      <c r="J3078" s="6" t="str">
        <f>HYPERLINK("https://www.biovista.com/db/link/%5B%5B%22Disease%7CSSADH%20Deficiency%22%5D,%20%5B%22Human%20Phenotype%7CIncreased%20reactive%20oxygen%20species%20production%22%5D%5D?strength-weight-map=%257B%2522MEDLINE_STRENGTH_AB%2522:1.0,%2522HPO%2522:100.0%257D", "Show Evidence...")</f>
        <v>Show Evidence...</v>
      </c>
    </row>
    <row r="3079" spans="1:10" ht="12.75">
      <c r="A3079" s="2" t="s">
        <v>50</v>
      </c>
      <c r="B3079" s="2" t="s">
        <v>4216</v>
      </c>
      <c r="C3079" s="2" t="s">
        <v>24</v>
      </c>
      <c r="D3079" s="2" t="s">
        <v>4217</v>
      </c>
      <c r="E3079" s="2" t="s">
        <v>431</v>
      </c>
      <c r="F3079" s="11" t="s">
        <v>2859</v>
      </c>
      <c r="G3079" t="s">
        <v>38</v>
      </c>
      <c r="H3079" t="s">
        <v>2860</v>
      </c>
      <c r="I3079" t="s">
        <v>4374</v>
      </c>
      <c r="J3079" s="6" t="str">
        <f>HYPERLINK("https://www.biovista.com/db/link/%5B%5B%22Disease%7CSSADH%20Deficiency%22%5D,%20%5B%22Human%20Phenotype%7CAutism%22%5D%5D?strength-weight-map=%257B%2522MEDLINE_STRENGTH_AB%2522:1.0,%2522HPO%2522:100.0%257D", "Show Evidence...")</f>
        <v>Show Evidence...</v>
      </c>
    </row>
    <row r="3080" spans="1:10" ht="12.75">
      <c r="A3080" s="2" t="s">
        <v>50</v>
      </c>
      <c r="B3080" s="2" t="s">
        <v>4216</v>
      </c>
      <c r="C3080" s="2" t="s">
        <v>24</v>
      </c>
      <c r="D3080" s="2" t="s">
        <v>4217</v>
      </c>
      <c r="E3080" s="2" t="s">
        <v>431</v>
      </c>
      <c r="F3080" s="11" t="s">
        <v>1388</v>
      </c>
      <c r="G3080" t="s">
        <v>38</v>
      </c>
      <c r="H3080" t="s">
        <v>1389</v>
      </c>
      <c r="I3080" t="s">
        <v>4281</v>
      </c>
      <c r="J3080" s="6" t="str">
        <f>HYPERLINK("https://www.biovista.com/db/link/%5B%5B%22Disease%7CSSADH%20Deficiency%22%5D,%20%5B%22Human%20Phenotype%7CAciduria%22%5D%5D?strength-weight-map=%257B%2522MEDLINE_STRENGTH_AB%2522:1.0,%2522HPO%2522:100.0%257D", "Show Evidence...")</f>
        <v>Show Evidence...</v>
      </c>
    </row>
    <row r="3081" spans="1:10" ht="12.75">
      <c r="A3081" s="2" t="s">
        <v>50</v>
      </c>
      <c r="B3081" s="2" t="s">
        <v>4216</v>
      </c>
      <c r="C3081" s="2" t="s">
        <v>24</v>
      </c>
      <c r="D3081" s="2" t="s">
        <v>4217</v>
      </c>
      <c r="E3081" s="2" t="s">
        <v>431</v>
      </c>
      <c r="F3081" s="11" t="s">
        <v>1408</v>
      </c>
      <c r="G3081" t="s">
        <v>38</v>
      </c>
      <c r="H3081" t="s">
        <v>1409</v>
      </c>
      <c r="I3081" t="s">
        <v>4221</v>
      </c>
      <c r="J3081" s="6" t="str">
        <f>HYPERLINK("https://www.biovista.com/db/link/%5B%5B%22Disease%7CSSADH%20Deficiency%22%5D,%20%5B%22Human%20Phenotype%7CClinical%20course%22%5D%5D?strength-weight-map=%257B%2522MEDLINE_STRENGTH_AB%2522:1.0,%2522HPO%2522:100.0%257D", "Show Evidence...")</f>
        <v>Show Evidence...</v>
      </c>
    </row>
    <row r="3082" spans="1:10" ht="12.75">
      <c r="A3082" s="2" t="s">
        <v>50</v>
      </c>
      <c r="B3082" s="2" t="s">
        <v>4216</v>
      </c>
      <c r="C3082" s="2" t="s">
        <v>24</v>
      </c>
      <c r="D3082" s="2" t="s">
        <v>4217</v>
      </c>
      <c r="E3082" s="2" t="s">
        <v>431</v>
      </c>
      <c r="F3082" s="11" t="s">
        <v>4098</v>
      </c>
      <c r="G3082" t="s">
        <v>38</v>
      </c>
      <c r="H3082" t="s">
        <v>4099</v>
      </c>
      <c r="I3082" t="s">
        <v>4221</v>
      </c>
      <c r="J3082" s="6" t="str">
        <f>HYPERLINK("https://www.biovista.com/db/link/%5B%5B%22Disease%7CSSADH%20Deficiency%22%5D,%20%5B%22Human%20Phenotype%7CSleep%20abnormality%22%5D%5D?strength-weight-map=%257B%2522MEDLINE_STRENGTH_AB%2522:1.0,%2522HPO%2522:100.0%257D", "Show Evidence...")</f>
        <v>Show Evidence...</v>
      </c>
    </row>
    <row r="3083" spans="1:10" ht="12.75">
      <c r="A3083" s="2" t="s">
        <v>50</v>
      </c>
      <c r="B3083" s="2" t="s">
        <v>4216</v>
      </c>
      <c r="C3083" s="2" t="s">
        <v>24</v>
      </c>
      <c r="D3083" s="2" t="s">
        <v>4217</v>
      </c>
      <c r="E3083" s="2" t="s">
        <v>431</v>
      </c>
      <c r="F3083" s="11" t="s">
        <v>4375</v>
      </c>
      <c r="G3083" t="s">
        <v>38</v>
      </c>
      <c r="H3083" t="s">
        <v>4376</v>
      </c>
      <c r="I3083" t="s">
        <v>4221</v>
      </c>
      <c r="J3083" s="6" t="str">
        <f>HYPERLINK("https://www.biovista.com/db/link/%5B%5B%22Disease%7CSSADH%20Deficiency%22%5D,%20%5B%22Human%20Phenotype%7CSudden%20unexpected%20death%20in%20epilepsy%22%5D%5D?strength-weight-map=%257B%2522MEDLINE_STRENGTH_AB%2522:1.0,%2522HPO%2522:100.0%257D", "Show Evidence...")</f>
        <v>Show Evidence...</v>
      </c>
    </row>
    <row r="3084" spans="1:10" ht="12.75">
      <c r="A3084" s="2" t="s">
        <v>50</v>
      </c>
      <c r="B3084" s="2" t="s">
        <v>4216</v>
      </c>
      <c r="C3084" s="2" t="s">
        <v>24</v>
      </c>
      <c r="D3084" s="2" t="s">
        <v>4217</v>
      </c>
      <c r="E3084" s="2" t="s">
        <v>431</v>
      </c>
      <c r="F3084" s="11" t="s">
        <v>634</v>
      </c>
      <c r="G3084" t="s">
        <v>38</v>
      </c>
      <c r="H3084" t="s">
        <v>635</v>
      </c>
      <c r="I3084" t="s">
        <v>4377</v>
      </c>
      <c r="J3084" s="6" t="str">
        <f>HYPERLINK("https://www.biovista.com/db/link/%5B%5B%22Disease%7CSSADH%20Deficiency%22%5D,%20%5B%22Human%20Phenotype%7CAnxiety%22%5D%5D?strength-weight-map=%257B%2522MEDLINE_STRENGTH_AB%2522:1.0,%2522HPO%2522:100.0%257D", "Show Evidence...")</f>
        <v>Show Evidence...</v>
      </c>
    </row>
    <row r="3085" spans="1:10" ht="12.75">
      <c r="A3085" s="2" t="s">
        <v>50</v>
      </c>
      <c r="B3085" s="2" t="s">
        <v>4216</v>
      </c>
      <c r="C3085" s="2" t="s">
        <v>24</v>
      </c>
      <c r="D3085" s="2" t="s">
        <v>4217</v>
      </c>
      <c r="E3085" s="2" t="s">
        <v>431</v>
      </c>
      <c r="F3085" s="11" t="s">
        <v>4378</v>
      </c>
      <c r="G3085" t="s">
        <v>38</v>
      </c>
      <c r="H3085" t="s">
        <v>4379</v>
      </c>
      <c r="I3085" t="s">
        <v>4377</v>
      </c>
      <c r="J3085" s="6" t="str">
        <f>HYPERLINK("https://www.biovista.com/db/link/%5B%5B%22Disease%7CSSADH%20Deficiency%22%5D,%20%5B%22Human%20Phenotype%7CGeneralized%20non-motor%20(absence)%20seizure%22%5D%5D?strength-weight-map=%257B%2522MEDLINE_STRENGTH_AB%2522:1.0,%2522HPO%2522:100.0%257D", "Show Evidence...")</f>
        <v>Show Evidence...</v>
      </c>
    </row>
    <row r="3086" spans="1:10" ht="12.75">
      <c r="A3086" s="2" t="s">
        <v>50</v>
      </c>
      <c r="B3086" s="2" t="s">
        <v>4216</v>
      </c>
      <c r="C3086" s="2" t="s">
        <v>24</v>
      </c>
      <c r="D3086" s="2" t="s">
        <v>4217</v>
      </c>
      <c r="E3086" s="2" t="s">
        <v>431</v>
      </c>
      <c r="F3086" s="11" t="s">
        <v>1433</v>
      </c>
      <c r="G3086" t="s">
        <v>38</v>
      </c>
      <c r="H3086" t="s">
        <v>1434</v>
      </c>
      <c r="I3086" t="s">
        <v>4224</v>
      </c>
      <c r="J3086" s="6" t="str">
        <f>HYPERLINK("https://www.biovista.com/db/link/%5B%5B%22Disease%7CSSADH%20Deficiency%22%5D,%20%5B%22Human%20Phenotype%7CAbnormality%20of%20mitochondrial%20metabolism%22%5D%5D?strength-weight-map=%257B%2522MEDLINE_STRENGTH_AB%2522:1.0,%2522HPO%2522:100.0%257D", "Show Evidence...")</f>
        <v>Show Evidence...</v>
      </c>
    </row>
    <row r="3087" spans="1:10" ht="12.75">
      <c r="A3087" s="2" t="s">
        <v>50</v>
      </c>
      <c r="B3087" s="2" t="s">
        <v>4216</v>
      </c>
      <c r="C3087" s="2" t="s">
        <v>24</v>
      </c>
      <c r="D3087" s="2" t="s">
        <v>4217</v>
      </c>
      <c r="E3087" s="2" t="s">
        <v>431</v>
      </c>
      <c r="F3087" s="11" t="s">
        <v>694</v>
      </c>
      <c r="G3087" t="s">
        <v>38</v>
      </c>
      <c r="H3087" t="s">
        <v>695</v>
      </c>
      <c r="I3087" t="s">
        <v>4224</v>
      </c>
      <c r="J3087" s="6" t="str">
        <f>HYPERLINK("https://www.biovista.com/db/link/%5B%5B%22Disease%7CSSADH%20Deficiency%22%5D,%20%5B%22Human%20Phenotype%7CCognitive%20impairment%22%5D%5D?strength-weight-map=%257B%2522MEDLINE_STRENGTH_AB%2522:1.0,%2522HPO%2522:100.0%257D", "Show Evidence...")</f>
        <v>Show Evidence...</v>
      </c>
    </row>
    <row r="3088" spans="1:10" ht="12.75">
      <c r="A3088" s="2" t="s">
        <v>50</v>
      </c>
      <c r="B3088" s="2" t="s">
        <v>4216</v>
      </c>
      <c r="C3088" s="2" t="s">
        <v>24</v>
      </c>
      <c r="D3088" s="2" t="s">
        <v>4217</v>
      </c>
      <c r="E3088" s="2" t="s">
        <v>431</v>
      </c>
      <c r="F3088" s="11" t="s">
        <v>4380</v>
      </c>
      <c r="G3088" t="s">
        <v>38</v>
      </c>
      <c r="H3088" t="s">
        <v>4381</v>
      </c>
      <c r="I3088" t="s">
        <v>4224</v>
      </c>
      <c r="J3088" s="6" t="str">
        <f>HYPERLINK("https://www.biovista.com/db/link/%5B%5B%22Disease%7CSSADH%20Deficiency%22%5D,%20%5B%22Human%20Phenotype%7CCompulsive%20behaviors%22%5D%5D?strength-weight-map=%257B%2522MEDLINE_STRENGTH_AB%2522:1.0,%2522HPO%2522:100.0%257D", "Show Evidence...")</f>
        <v>Show Evidence...</v>
      </c>
    </row>
    <row r="3089" spans="1:10" ht="12.75">
      <c r="A3089" s="2" t="s">
        <v>50</v>
      </c>
      <c r="B3089" s="2" t="s">
        <v>4216</v>
      </c>
      <c r="C3089" s="2" t="s">
        <v>24</v>
      </c>
      <c r="D3089" s="2" t="s">
        <v>4217</v>
      </c>
      <c r="E3089" s="2" t="s">
        <v>431</v>
      </c>
      <c r="F3089" s="11" t="s">
        <v>1431</v>
      </c>
      <c r="G3089" t="s">
        <v>38</v>
      </c>
      <c r="H3089" t="s">
        <v>1432</v>
      </c>
      <c r="I3089" t="s">
        <v>4224</v>
      </c>
      <c r="J3089" s="6" t="str">
        <f>HYPERLINK("https://www.biovista.com/db/link/%5B%5B%22Disease%7CSSADH%20Deficiency%22%5D,%20%5B%22Human%20Phenotype%7CPostural%20instability%22%5D%5D?strength-weight-map=%257B%2522MEDLINE_STRENGTH_AB%2522:1.0,%2522HPO%2522:100.0%257D", "Show Evidence...")</f>
        <v>Show Evidence...</v>
      </c>
    </row>
    <row r="3090" spans="1:10" ht="12.75">
      <c r="A3090" s="2" t="s">
        <v>50</v>
      </c>
      <c r="B3090" s="2" t="s">
        <v>4216</v>
      </c>
      <c r="C3090" s="2" t="s">
        <v>24</v>
      </c>
      <c r="D3090" s="2" t="s">
        <v>4217</v>
      </c>
      <c r="E3090" s="2" t="s">
        <v>431</v>
      </c>
      <c r="F3090" s="11" t="s">
        <v>640</v>
      </c>
      <c r="G3090" t="s">
        <v>38</v>
      </c>
      <c r="H3090" t="s">
        <v>641</v>
      </c>
      <c r="I3090" t="s">
        <v>4224</v>
      </c>
      <c r="J3090" s="6" t="str">
        <f>HYPERLINK("https://www.biovista.com/db/link/%5B%5B%22Disease%7CSSADH%20Deficiency%22%5D,%20%5B%22Human%20Phenotype%7CRecurrent%22%5D%5D?strength-weight-map=%257B%2522MEDLINE_STRENGTH_AB%2522:1.0,%2522HPO%2522:100.0%257D", "Show Evidence...")</f>
        <v>Show Evidence...</v>
      </c>
    </row>
    <row r="3091" spans="1:10" ht="12.75">
      <c r="A3091" s="2" t="s">
        <v>50</v>
      </c>
      <c r="B3091" s="2" t="s">
        <v>4216</v>
      </c>
      <c r="C3091" s="2" t="s">
        <v>24</v>
      </c>
      <c r="D3091" s="2" t="s">
        <v>4217</v>
      </c>
      <c r="E3091" s="2" t="s">
        <v>431</v>
      </c>
      <c r="F3091" s="11" t="s">
        <v>1729</v>
      </c>
      <c r="G3091" t="s">
        <v>38</v>
      </c>
      <c r="H3091" t="s">
        <v>1730</v>
      </c>
      <c r="I3091" t="s">
        <v>4382</v>
      </c>
      <c r="J3091" s="6" t="str">
        <f>HYPERLINK("https://www.biovista.com/db/link/%5B%5B%22Disease%7CSSADH%20Deficiency%22%5D,%20%5B%22Human%20Phenotype%7CAggressive%20behavior%22%5D%5D?strength-weight-map=%257B%2522MEDLINE_STRENGTH_AB%2522:1.0,%2522HPO%2522:100.0%257D", "Show Evidence...")</f>
        <v>Show Evidence...</v>
      </c>
    </row>
    <row r="3092" spans="1:10" ht="12.75">
      <c r="A3092" s="2" t="s">
        <v>50</v>
      </c>
      <c r="B3092" s="2" t="s">
        <v>4216</v>
      </c>
      <c r="C3092" s="2" t="s">
        <v>24</v>
      </c>
      <c r="D3092" s="2" t="s">
        <v>4217</v>
      </c>
      <c r="E3092" s="2" t="s">
        <v>431</v>
      </c>
      <c r="F3092" s="11" t="s">
        <v>4383</v>
      </c>
      <c r="G3092" t="s">
        <v>38</v>
      </c>
      <c r="H3092" t="s">
        <v>4384</v>
      </c>
      <c r="I3092" t="s">
        <v>4382</v>
      </c>
      <c r="J3092" s="6" t="str">
        <f>HYPERLINK("https://www.biovista.com/db/link/%5B%5B%22Disease%7CSSADH%20Deficiency%22%5D,%20%5B%22Human%20Phenotype%7CHallucinations%22%5D%5D?strength-weight-map=%257B%2522MEDLINE_STRENGTH_AB%2522:1.0,%2522HPO%2522:100.0%257D", "Show Evidence...")</f>
        <v>Show Evidence...</v>
      </c>
    </row>
    <row r="3093" spans="1:10" ht="12.75">
      <c r="A3093" s="2" t="s">
        <v>50</v>
      </c>
      <c r="B3093" s="2" t="s">
        <v>4216</v>
      </c>
      <c r="C3093" s="2" t="s">
        <v>24</v>
      </c>
      <c r="D3093" s="2" t="s">
        <v>4217</v>
      </c>
      <c r="E3093" s="2" t="s">
        <v>431</v>
      </c>
      <c r="F3093" s="11" t="s">
        <v>4385</v>
      </c>
      <c r="G3093" t="s">
        <v>38</v>
      </c>
      <c r="H3093" t="s">
        <v>4386</v>
      </c>
      <c r="I3093" t="s">
        <v>4382</v>
      </c>
      <c r="J3093" s="6" t="str">
        <f>HYPERLINK("https://www.biovista.com/db/link/%5B%5B%22Disease%7CSSADH%20Deficiency%22%5D,%20%5B%22Human%20Phenotype%7CHyperactivity%22%5D%5D?strength-weight-map=%257B%2522MEDLINE_STRENGTH_AB%2522:1.0,%2522HPO%2522:100.0%257D", "Show Evidence...")</f>
        <v>Show Evidence...</v>
      </c>
    </row>
    <row r="3094" spans="1:10" ht="12.75">
      <c r="A3094" s="2" t="s">
        <v>50</v>
      </c>
      <c r="B3094" s="2" t="s">
        <v>4216</v>
      </c>
      <c r="C3094" s="2" t="s">
        <v>24</v>
      </c>
      <c r="D3094" s="2" t="s">
        <v>4217</v>
      </c>
      <c r="E3094" s="2" t="s">
        <v>431</v>
      </c>
      <c r="F3094" s="11" t="s">
        <v>1225</v>
      </c>
      <c r="G3094" t="s">
        <v>38</v>
      </c>
      <c r="H3094" t="s">
        <v>1226</v>
      </c>
      <c r="I3094" t="s">
        <v>4227</v>
      </c>
      <c r="J3094" s="6" t="str">
        <f>HYPERLINK("https://www.biovista.com/db/link/%5B%5B%22Disease%7CSSADH%20Deficiency%22%5D,%20%5B%22Human%20Phenotype%7CDystonia%22%5D%5D?strength-weight-map=%257B%2522MEDLINE_STRENGTH_AB%2522:1.0,%2522HPO%2522:100.0%257D", "Show Evidence...")</f>
        <v>Show Evidence...</v>
      </c>
    </row>
    <row r="3095" spans="1:10" ht="12.75">
      <c r="A3095" s="2" t="s">
        <v>50</v>
      </c>
      <c r="B3095" s="2" t="s">
        <v>4216</v>
      </c>
      <c r="C3095" s="2" t="s">
        <v>24</v>
      </c>
      <c r="D3095" s="2" t="s">
        <v>4217</v>
      </c>
      <c r="E3095" s="2" t="s">
        <v>431</v>
      </c>
      <c r="F3095" s="11" t="s">
        <v>1260</v>
      </c>
      <c r="G3095" t="s">
        <v>38</v>
      </c>
      <c r="H3095" t="s">
        <v>1261</v>
      </c>
      <c r="I3095" t="s">
        <v>4227</v>
      </c>
      <c r="J3095" s="6" t="str">
        <f>HYPERLINK("https://www.biovista.com/db/link/%5B%5B%22Disease%7CSSADH%20Deficiency%22%5D,%20%5B%22Human%20Phenotype%7CEncephalopathy%22%5D%5D?strength-weight-map=%257B%2522MEDLINE_STRENGTH_AB%2522:1.0,%2522HPO%2522:100.0%257D", "Show Evidence...")</f>
        <v>Show Evidence...</v>
      </c>
    </row>
    <row r="3096" spans="1:10" ht="12.75">
      <c r="A3096" s="2" t="s">
        <v>50</v>
      </c>
      <c r="B3096" s="2" t="s">
        <v>4216</v>
      </c>
      <c r="C3096" s="2" t="s">
        <v>24</v>
      </c>
      <c r="D3096" s="2" t="s">
        <v>4217</v>
      </c>
      <c r="E3096" s="2" t="s">
        <v>431</v>
      </c>
      <c r="F3096" s="11" t="s">
        <v>3233</v>
      </c>
      <c r="G3096" t="s">
        <v>38</v>
      </c>
      <c r="H3096" t="s">
        <v>3234</v>
      </c>
      <c r="I3096" t="s">
        <v>4227</v>
      </c>
      <c r="J3096" s="6" t="str">
        <f>HYPERLINK("https://www.biovista.com/db/link/%5B%5B%22Disease%7CSSADH%20Deficiency%22%5D,%20%5B%22Human%20Phenotype%7CGeneralized-onset%20seizure%22%5D%5D?strength-weight-map=%257B%2522MEDLINE_STRENGTH_AB%2522:1.0,%2522HPO%2522:100.0%257D", "Show Evidence...")</f>
        <v>Show Evidence...</v>
      </c>
    </row>
    <row r="3097" spans="1:10" ht="12.75">
      <c r="A3097" s="2" t="s">
        <v>50</v>
      </c>
      <c r="B3097" s="2" t="s">
        <v>4216</v>
      </c>
      <c r="C3097" s="2" t="s">
        <v>24</v>
      </c>
      <c r="D3097" s="2" t="s">
        <v>4217</v>
      </c>
      <c r="E3097" s="2" t="s">
        <v>431</v>
      </c>
      <c r="F3097" s="11" t="s">
        <v>1382</v>
      </c>
      <c r="G3097" t="s">
        <v>38</v>
      </c>
      <c r="H3097" t="s">
        <v>1383</v>
      </c>
      <c r="I3097" t="s">
        <v>4227</v>
      </c>
      <c r="J3097" s="6" t="str">
        <f>HYPERLINK("https://www.biovista.com/db/link/%5B%5B%22Disease%7CSSADH%20Deficiency%22%5D,%20%5B%22Human%20Phenotype%7CHomocystinuria%22%5D%5D?strength-weight-map=%257B%2522MEDLINE_STRENGTH_AB%2522:1.0,%2522HPO%2522:100.0%257D", "Show Evidence...")</f>
        <v>Show Evidence...</v>
      </c>
    </row>
    <row r="3098" spans="1:10" ht="12.75">
      <c r="A3098" s="2" t="s">
        <v>50</v>
      </c>
      <c r="B3098" s="2" t="s">
        <v>4216</v>
      </c>
      <c r="C3098" s="2" t="s">
        <v>24</v>
      </c>
      <c r="D3098" s="2" t="s">
        <v>4217</v>
      </c>
      <c r="E3098" s="2" t="s">
        <v>431</v>
      </c>
      <c r="F3098" s="11" t="s">
        <v>3700</v>
      </c>
      <c r="G3098" t="s">
        <v>38</v>
      </c>
      <c r="H3098" t="s">
        <v>3701</v>
      </c>
      <c r="I3098" t="s">
        <v>4227</v>
      </c>
      <c r="J3098" s="6" t="str">
        <f>HYPERLINK("https://www.biovista.com/db/link/%5B%5B%22Disease%7CSSADH%20Deficiency%22%5D,%20%5B%22Human%20Phenotype%7CPhenotypic%20variability%22%5D%5D?strength-weight-map=%257B%2522MEDLINE_STRENGTH_AB%2522:1.0,%2522HPO%2522:100.0%257D", "Show Evidence...")</f>
        <v>Show Evidence...</v>
      </c>
    </row>
    <row r="3099" spans="1:10" ht="12.75">
      <c r="A3099" s="2" t="s">
        <v>50</v>
      </c>
      <c r="B3099" s="2" t="s">
        <v>4216</v>
      </c>
      <c r="C3099" s="2" t="s">
        <v>24</v>
      </c>
      <c r="D3099" s="2" t="s">
        <v>4217</v>
      </c>
      <c r="E3099" s="2" t="s">
        <v>431</v>
      </c>
      <c r="F3099" s="11" t="s">
        <v>3667</v>
      </c>
      <c r="G3099" t="s">
        <v>38</v>
      </c>
      <c r="H3099" t="s">
        <v>3668</v>
      </c>
      <c r="I3099" t="s">
        <v>4227</v>
      </c>
      <c r="J3099" s="6" t="str">
        <f>HYPERLINK("https://www.biovista.com/db/link/%5B%5B%22Disease%7CSSADH%20Deficiency%22%5D,%20%5B%22Human%20Phenotype%7CRefractory%22%5D%5D?strength-weight-map=%257B%2522MEDLINE_STRENGTH_AB%2522:1.0,%2522HPO%2522:100.0%257D", "Show Evidence...")</f>
        <v>Show Evidence...</v>
      </c>
    </row>
    <row r="3100" spans="1:10" ht="12.75">
      <c r="A3100" s="2" t="s">
        <v>50</v>
      </c>
      <c r="B3100" s="2" t="s">
        <v>4216</v>
      </c>
      <c r="C3100" s="2" t="s">
        <v>24</v>
      </c>
      <c r="D3100" s="2" t="s">
        <v>4217</v>
      </c>
      <c r="E3100" s="2" t="s">
        <v>431</v>
      </c>
      <c r="F3100" s="11" t="s">
        <v>1786</v>
      </c>
      <c r="G3100" t="s">
        <v>38</v>
      </c>
      <c r="H3100" t="s">
        <v>1787</v>
      </c>
      <c r="I3100" t="s">
        <v>4387</v>
      </c>
      <c r="J3100" s="6" t="str">
        <f>HYPERLINK("https://www.biovista.com/db/link/%5B%5B%22Disease%7CSSADH%20Deficiency%22%5D,%20%5B%22Human%20Phenotype%7CHyperkinetic%20movements%22%5D%5D?strength-weight-map=%257B%2522MEDLINE_STRENGTH_AB%2522:1.0,%2522HPO%2522:100.0%257D", "Show Evidence...")</f>
        <v>Show Evidence...</v>
      </c>
    </row>
    <row r="3101" spans="1:10" ht="12.75">
      <c r="A3101" s="2" t="s">
        <v>50</v>
      </c>
      <c r="B3101" s="2" t="s">
        <v>4216</v>
      </c>
      <c r="C3101" s="2" t="s">
        <v>24</v>
      </c>
      <c r="D3101" s="2" t="s">
        <v>4217</v>
      </c>
      <c r="E3101" s="2" t="s">
        <v>431</v>
      </c>
      <c r="F3101" s="11" t="s">
        <v>4388</v>
      </c>
      <c r="G3101" t="s">
        <v>38</v>
      </c>
      <c r="H3101" t="s">
        <v>4389</v>
      </c>
      <c r="I3101" t="s">
        <v>4230</v>
      </c>
      <c r="J3101" s="6" t="str">
        <f>HYPERLINK("https://www.biovista.com/db/link/%5B%5B%22Disease%7CSSADH%20Deficiency%22%5D,%20%5B%22Human%20Phenotype%7CAttention%20deficit%20hyperactivity%20disorder%22%5D%5D?strength-weight-map=%257B%2522MEDLINE_STRENGTH_AB%2522:1.0,%2522HPO%2522:100.0%257D", "Show Evidence...")</f>
        <v>Show Evidence...</v>
      </c>
    </row>
    <row r="3102" spans="1:10" ht="12.75">
      <c r="A3102" s="2" t="s">
        <v>50</v>
      </c>
      <c r="B3102" s="2" t="s">
        <v>4216</v>
      </c>
      <c r="C3102" s="2" t="s">
        <v>24</v>
      </c>
      <c r="D3102" s="2" t="s">
        <v>4217</v>
      </c>
      <c r="E3102" s="2" t="s">
        <v>431</v>
      </c>
      <c r="F3102" s="11" t="s">
        <v>1324</v>
      </c>
      <c r="G3102" t="s">
        <v>38</v>
      </c>
      <c r="H3102" t="s">
        <v>1325</v>
      </c>
      <c r="I3102" t="s">
        <v>4230</v>
      </c>
      <c r="J3102" s="6" t="str">
        <f>HYPERLINK("https://www.biovista.com/db/link/%5B%5B%22Disease%7CSSADH%20Deficiency%22%5D,%20%5B%22Human%20Phenotype%7CChorea%22%5D%5D?strength-weight-map=%257B%2522MEDLINE_STRENGTH_AB%2522:1.0,%2522HPO%2522:100.0%257D", "Show Evidence...")</f>
        <v>Show Evidence...</v>
      </c>
    </row>
    <row r="3103" spans="1:10" ht="12.75">
      <c r="A3103" s="2" t="s">
        <v>50</v>
      </c>
      <c r="B3103" s="2" t="s">
        <v>4216</v>
      </c>
      <c r="C3103" s="2" t="s">
        <v>24</v>
      </c>
      <c r="D3103" s="2" t="s">
        <v>4217</v>
      </c>
      <c r="E3103" s="2" t="s">
        <v>431</v>
      </c>
      <c r="F3103" s="11" t="s">
        <v>1410</v>
      </c>
      <c r="G3103" t="s">
        <v>38</v>
      </c>
      <c r="H3103" t="s">
        <v>1411</v>
      </c>
      <c r="I3103" t="s">
        <v>4230</v>
      </c>
      <c r="J3103" s="6" t="str">
        <f>HYPERLINK("https://www.biovista.com/db/link/%5B%5B%22Disease%7CSSADH%20Deficiency%22%5D,%20%5B%22Human%20Phenotype%7CChoreoathetosis%22%5D%5D?strength-weight-map=%257B%2522MEDLINE_STRENGTH_AB%2522:1.0,%2522HPO%2522:100.0%257D", "Show Evidence...")</f>
        <v>Show Evidence...</v>
      </c>
    </row>
    <row r="3104" spans="1:10" ht="12.75">
      <c r="A3104" s="2" t="s">
        <v>50</v>
      </c>
      <c r="B3104" s="2" t="s">
        <v>4216</v>
      </c>
      <c r="C3104" s="2" t="s">
        <v>24</v>
      </c>
      <c r="D3104" s="2" t="s">
        <v>4217</v>
      </c>
      <c r="E3104" s="2" t="s">
        <v>431</v>
      </c>
      <c r="F3104" s="11" t="s">
        <v>3685</v>
      </c>
      <c r="G3104" t="s">
        <v>38</v>
      </c>
      <c r="H3104" t="s">
        <v>3686</v>
      </c>
      <c r="I3104" t="s">
        <v>4230</v>
      </c>
      <c r="J3104" s="6" t="s">
        <v>4390</v>
      </c>
    </row>
    <row r="3105" spans="1:10" ht="12.75">
      <c r="A3105" s="2" t="s">
        <v>50</v>
      </c>
      <c r="B3105" s="2" t="s">
        <v>4216</v>
      </c>
      <c r="C3105" s="2" t="s">
        <v>24</v>
      </c>
      <c r="D3105" s="2" t="s">
        <v>4217</v>
      </c>
      <c r="E3105" s="2" t="s">
        <v>431</v>
      </c>
      <c r="F3105" s="11" t="s">
        <v>4064</v>
      </c>
      <c r="G3105" t="s">
        <v>38</v>
      </c>
      <c r="H3105" t="s">
        <v>4065</v>
      </c>
      <c r="I3105" t="s">
        <v>4230</v>
      </c>
      <c r="J3105" s="6" t="str">
        <f>HYPERLINK("https://www.biovista.com/db/link/%5B%5B%22Disease%7CSSADH%20Deficiency%22%5D,%20%5B%22Human%20Phenotype%7CFamily%20history%22%5D%5D?strength-weight-map=%257B%2522MEDLINE_STRENGTH_AB%2522:1.0,%2522HPO%2522:100.0%257D", "Show Evidence...")</f>
        <v>Show Evidence...</v>
      </c>
    </row>
    <row r="3106" spans="1:10" ht="12.75">
      <c r="A3106" s="2" t="s">
        <v>50</v>
      </c>
      <c r="B3106" s="2" t="s">
        <v>4216</v>
      </c>
      <c r="C3106" s="2" t="s">
        <v>24</v>
      </c>
      <c r="D3106" s="2" t="s">
        <v>4217</v>
      </c>
      <c r="E3106" s="2" t="s">
        <v>431</v>
      </c>
      <c r="F3106" s="11" t="s">
        <v>1424</v>
      </c>
      <c r="G3106" t="s">
        <v>38</v>
      </c>
      <c r="H3106" t="s">
        <v>1425</v>
      </c>
      <c r="I3106" t="s">
        <v>4230</v>
      </c>
      <c r="J3106" s="6" t="str">
        <f>HYPERLINK("https://www.biovista.com/db/link/%5B%5B%22Disease%7CSSADH%20Deficiency%22%5D,%20%5B%22Human%20Phenotype%7CHypoglycemia%22%5D%5D?strength-weight-map=%257B%2522MEDLINE_STRENGTH_AB%2522:1.0,%2522HPO%2522:100.0%257D", "Show Evidence...")</f>
        <v>Show Evidence...</v>
      </c>
    </row>
    <row r="3107" spans="1:10" ht="12.75">
      <c r="A3107" s="2" t="s">
        <v>50</v>
      </c>
      <c r="B3107" s="2" t="s">
        <v>4216</v>
      </c>
      <c r="C3107" s="2" t="s">
        <v>24</v>
      </c>
      <c r="D3107" s="2" t="s">
        <v>4217</v>
      </c>
      <c r="E3107" s="2" t="s">
        <v>431</v>
      </c>
      <c r="F3107" s="11" t="s">
        <v>1767</v>
      </c>
      <c r="G3107" t="s">
        <v>38</v>
      </c>
      <c r="H3107" t="s">
        <v>1768</v>
      </c>
      <c r="I3107" t="s">
        <v>4230</v>
      </c>
      <c r="J3107" s="6" t="str">
        <f>HYPERLINK("https://www.biovista.com/db/link/%5B%5B%22Disease%7CSSADH%20Deficiency%22%5D,%20%5B%22Human%20Phenotype%7CMyoclonus%22%5D%5D?strength-weight-map=%257B%2522MEDLINE_STRENGTH_AB%2522:1.0,%2522HPO%2522:100.0%257D", "Show Evidence...")</f>
        <v>Show Evidence...</v>
      </c>
    </row>
    <row r="3108" spans="1:10" ht="12.75">
      <c r="A3108" s="2" t="s">
        <v>50</v>
      </c>
      <c r="B3108" s="2" t="s">
        <v>4216</v>
      </c>
      <c r="C3108" s="2" t="s">
        <v>24</v>
      </c>
      <c r="D3108" s="2" t="s">
        <v>4217</v>
      </c>
      <c r="E3108" s="2" t="s">
        <v>431</v>
      </c>
      <c r="F3108" s="11" t="s">
        <v>614</v>
      </c>
      <c r="G3108" t="s">
        <v>38</v>
      </c>
      <c r="H3108" t="s">
        <v>615</v>
      </c>
      <c r="I3108" t="s">
        <v>4230</v>
      </c>
      <c r="J3108" s="6" t="str">
        <f>HYPERLINK("https://www.biovista.com/db/link/%5B%5B%22Disease%7CSSADH%20Deficiency%22%5D,%20%5B%22Human%20Phenotype%7CNeoplasm%22%5D%5D?strength-weight-map=%257B%2522MEDLINE_STRENGTH_AB%2522:1.0,%2522HPO%2522:100.0%257D", "Show Evidence...")</f>
        <v>Show Evidence...</v>
      </c>
    </row>
    <row r="3109" spans="1:10" ht="12.75">
      <c r="A3109" s="2" t="s">
        <v>50</v>
      </c>
      <c r="B3109" s="2" t="s">
        <v>4216</v>
      </c>
      <c r="C3109" s="2" t="s">
        <v>24</v>
      </c>
      <c r="D3109" s="2" t="s">
        <v>4217</v>
      </c>
      <c r="E3109" s="2" t="s">
        <v>431</v>
      </c>
      <c r="F3109" s="11" t="s">
        <v>4391</v>
      </c>
      <c r="G3109" t="s">
        <v>38</v>
      </c>
      <c r="H3109" t="s">
        <v>4392</v>
      </c>
      <c r="I3109" t="s">
        <v>4230</v>
      </c>
      <c r="J3109" s="6" t="str">
        <f>HYPERLINK("https://www.biovista.com/db/link/%5B%5B%22Disease%7CSSADH%20Deficiency%22%5D,%20%5B%22Human%20Phenotype%7CNonprogressive%22%5D%5D?strength-weight-map=%257B%2522MEDLINE_STRENGTH_AB%2522:1.0,%2522HPO%2522:100.0%257D", "Show Evidence...")</f>
        <v>Show Evidence...</v>
      </c>
    </row>
    <row r="3110" spans="1:10" ht="12.75">
      <c r="A3110" s="2" t="s">
        <v>50</v>
      </c>
      <c r="B3110" s="2" t="s">
        <v>4216</v>
      </c>
      <c r="C3110" s="2" t="s">
        <v>24</v>
      </c>
      <c r="D3110" s="2" t="s">
        <v>4217</v>
      </c>
      <c r="E3110" s="2" t="s">
        <v>431</v>
      </c>
      <c r="F3110" s="11" t="s">
        <v>1418</v>
      </c>
      <c r="G3110" t="s">
        <v>38</v>
      </c>
      <c r="H3110" t="s">
        <v>1419</v>
      </c>
      <c r="I3110" t="s">
        <v>4230</v>
      </c>
      <c r="J3110" s="6" t="str">
        <f>HYPERLINK("https://www.biovista.com/db/link/%5B%5B%22Disease%7CSSADH%20Deficiency%22%5D,%20%5B%22Human%20Phenotype%7CPurpura%22%5D%5D?strength-weight-map=%257B%2522MEDLINE_STRENGTH_AB%2522:1.0,%2522HPO%2522:100.0%257D", "Show Evidence...")</f>
        <v>Show Evidence...</v>
      </c>
    </row>
    <row r="3111" spans="1:10" ht="12.75">
      <c r="A3111" s="2" t="s">
        <v>50</v>
      </c>
      <c r="B3111" s="2" t="s">
        <v>4216</v>
      </c>
      <c r="C3111" s="2" t="s">
        <v>24</v>
      </c>
      <c r="D3111" s="2" t="s">
        <v>4217</v>
      </c>
      <c r="E3111" s="2" t="s">
        <v>431</v>
      </c>
      <c r="F3111" s="11" t="s">
        <v>4393</v>
      </c>
      <c r="G3111" t="s">
        <v>38</v>
      </c>
      <c r="H3111" t="s">
        <v>4394</v>
      </c>
      <c r="I3111" t="s">
        <v>4395</v>
      </c>
      <c r="J3111" s="6" t="str">
        <f>HYPERLINK("https://www.biovista.com/db/link/%5B%5B%22Disease%7CSSADH%20Deficiency%22%5D,%20%5B%22Human%20Phenotype%7CEEG%20abnormality%22%5D%5D?strength-weight-map=%257B%2522MEDLINE_STRENGTH_AB%2522:1.0,%2522HPO%2522:100.0%257D", "Show Evidence...")</f>
        <v>Show Evidence...</v>
      </c>
    </row>
    <row r="3112" spans="1:10" ht="12.75">
      <c r="A3112" s="2" t="s">
        <v>50</v>
      </c>
      <c r="B3112" s="2" t="s">
        <v>4216</v>
      </c>
      <c r="C3112" s="2" t="s">
        <v>24</v>
      </c>
      <c r="D3112" s="2" t="s">
        <v>4217</v>
      </c>
      <c r="E3112" s="2" t="s">
        <v>431</v>
      </c>
      <c r="F3112" s="11" t="s">
        <v>4396</v>
      </c>
      <c r="G3112" t="s">
        <v>38</v>
      </c>
      <c r="H3112" t="s">
        <v>4397</v>
      </c>
      <c r="I3112" t="s">
        <v>4395</v>
      </c>
      <c r="J3112" s="6" t="str">
        <f>HYPERLINK("https://www.biovista.com/db/link/%5B%5B%22Disease%7CSSADH%20Deficiency%22%5D,%20%5B%22Human%20Phenotype%7CPsychosis%22%5D%5D?strength-weight-map=%257B%2522MEDLINE_STRENGTH_AB%2522:1.0,%2522HPO%2522:100.0%257D", "Show Evidence...")</f>
        <v>Show Evidence...</v>
      </c>
    </row>
    <row r="3113" spans="1:10" ht="12.75">
      <c r="A3113" s="2" t="s">
        <v>50</v>
      </c>
      <c r="B3113" s="2" t="s">
        <v>4216</v>
      </c>
      <c r="C3113" s="2" t="s">
        <v>24</v>
      </c>
      <c r="D3113" s="2" t="s">
        <v>4217</v>
      </c>
      <c r="E3113" s="2" t="s">
        <v>431</v>
      </c>
      <c r="F3113" s="11" t="s">
        <v>2180</v>
      </c>
      <c r="G3113" t="s">
        <v>38</v>
      </c>
      <c r="H3113" t="s">
        <v>2181</v>
      </c>
      <c r="I3113" t="s">
        <v>4233</v>
      </c>
      <c r="J3113" s="6" t="str">
        <f>HYPERLINK("https://www.biovista.com/db/link/%5B%5B%22Disease%7CSSADH%20Deficiency%22%5D,%20%5B%22Human%20Phenotype%7C3-Methylglutaconic%20aciduria%22%5D%5D?strength-weight-map=%257B%2522MEDLINE_STRENGTH_AB%2522:1.0,%2522HPO%2522:100.0%257D", "Show Evidence...")</f>
        <v>Show Evidence...</v>
      </c>
    </row>
    <row r="3114" spans="1:10" ht="12.75">
      <c r="A3114" s="2" t="s">
        <v>50</v>
      </c>
      <c r="B3114" s="2" t="s">
        <v>4216</v>
      </c>
      <c r="C3114" s="2" t="s">
        <v>24</v>
      </c>
      <c r="D3114" s="2" t="s">
        <v>4217</v>
      </c>
      <c r="E3114" s="2" t="s">
        <v>431</v>
      </c>
      <c r="F3114" s="11" t="s">
        <v>1445</v>
      </c>
      <c r="G3114" t="s">
        <v>38</v>
      </c>
      <c r="H3114" t="s">
        <v>1446</v>
      </c>
      <c r="I3114" t="s">
        <v>4233</v>
      </c>
      <c r="J3114" s="6" t="str">
        <f>HYPERLINK("https://www.biovista.com/db/link/%5B%5B%22Disease%7CSSADH%20Deficiency%22%5D,%20%5B%22Human%20Phenotype%7CAbnormality%20of%20extrapyramidal%20motor%20function%22%5D%5D?strength-weight-map=%257B%2522MEDLINE_STRENGTH_AB%2522:1.0,%2522HPO%2522:100.0%257D", "Show Evidence...")</f>
        <v>Show Evidence...</v>
      </c>
    </row>
    <row r="3115" spans="1:10" ht="12.75">
      <c r="A3115" s="2" t="s">
        <v>50</v>
      </c>
      <c r="B3115" s="2" t="s">
        <v>4216</v>
      </c>
      <c r="C3115" s="2" t="s">
        <v>24</v>
      </c>
      <c r="D3115" s="2" t="s">
        <v>4217</v>
      </c>
      <c r="E3115" s="2" t="s">
        <v>431</v>
      </c>
      <c r="F3115" s="11" t="s">
        <v>1385</v>
      </c>
      <c r="G3115" t="s">
        <v>38</v>
      </c>
      <c r="H3115" t="s">
        <v>1386</v>
      </c>
      <c r="I3115" t="s">
        <v>4233</v>
      </c>
      <c r="J3115" s="6" t="str">
        <f>HYPERLINK("https://www.biovista.com/db/link/%5B%5B%22Disease%7CSSADH%20Deficiency%22%5D,%20%5B%22Human%20Phenotype%7CAcidemia%22%5D%5D?strength-weight-map=%257B%2522MEDLINE_STRENGTH_AB%2522:1.0,%2522HPO%2522:100.0%257D", "Show Evidence...")</f>
        <v>Show Evidence...</v>
      </c>
    </row>
    <row r="3116" spans="1:10" ht="12.75">
      <c r="A3116" s="2" t="s">
        <v>50</v>
      </c>
      <c r="B3116" s="2" t="s">
        <v>4216</v>
      </c>
      <c r="C3116" s="2" t="s">
        <v>24</v>
      </c>
      <c r="D3116" s="2" t="s">
        <v>4217</v>
      </c>
      <c r="E3116" s="2" t="s">
        <v>431</v>
      </c>
      <c r="F3116" s="11" t="s">
        <v>1429</v>
      </c>
      <c r="G3116" t="s">
        <v>38</v>
      </c>
      <c r="H3116" t="s">
        <v>1430</v>
      </c>
      <c r="I3116" t="s">
        <v>4233</v>
      </c>
      <c r="J3116" s="6" t="str">
        <f>HYPERLINK("https://www.biovista.com/db/link/%5B%5B%22Disease%7CSSADH%20Deficiency%22%5D,%20%5B%22Human%20Phenotype%7CAcidosis%22%5D%5D?strength-weight-map=%257B%2522MEDLINE_STRENGTH_AB%2522:1.0,%2522HPO%2522:100.0%257D", "Show Evidence...")</f>
        <v>Show Evidence...</v>
      </c>
    </row>
    <row r="3117" spans="1:10" ht="12.75">
      <c r="A3117" s="2" t="s">
        <v>50</v>
      </c>
      <c r="B3117" s="2" t="s">
        <v>4216</v>
      </c>
      <c r="C3117" s="2" t="s">
        <v>24</v>
      </c>
      <c r="D3117" s="2" t="s">
        <v>4217</v>
      </c>
      <c r="E3117" s="2" t="s">
        <v>431</v>
      </c>
      <c r="F3117" s="11" t="s">
        <v>4398</v>
      </c>
      <c r="G3117" t="s">
        <v>38</v>
      </c>
      <c r="H3117" t="s">
        <v>4399</v>
      </c>
      <c r="I3117" t="s">
        <v>4233</v>
      </c>
      <c r="J3117" s="6" t="str">
        <f>HYPERLINK("https://www.biovista.com/db/link/%5B%5B%22Disease%7CSSADH%20Deficiency%22%5D,%20%5B%22Human%20Phenotype%7CAddictive%20alcohol%20use%22%5D%5D?strength-weight-map=%257B%2522MEDLINE_STRENGTH_AB%2522:1.0,%2522HPO%2522:100.0%257D", "Show Evidence...")</f>
        <v>Show Evidence...</v>
      </c>
    </row>
    <row r="3118" spans="1:10" ht="12.75">
      <c r="A3118" s="2" t="s">
        <v>50</v>
      </c>
      <c r="B3118" s="2" t="s">
        <v>4216</v>
      </c>
      <c r="C3118" s="2" t="s">
        <v>24</v>
      </c>
      <c r="D3118" s="2" t="s">
        <v>4217</v>
      </c>
      <c r="E3118" s="2" t="s">
        <v>431</v>
      </c>
      <c r="F3118" s="11" t="s">
        <v>4400</v>
      </c>
      <c r="G3118" t="s">
        <v>38</v>
      </c>
      <c r="H3118" t="s">
        <v>4401</v>
      </c>
      <c r="I3118" t="s">
        <v>4233</v>
      </c>
      <c r="J3118" s="6" t="str">
        <f>HYPERLINK("https://www.biovista.com/db/link/%5B%5B%22Disease%7CSSADH%20Deficiency%22%5D,%20%5B%22Human%20Phenotype%7CCerebellar%20vermis%20atrophy%22%5D%5D?strength-weight-map=%257B%2522MEDLINE_STRENGTH_AB%2522:1.0,%2522HPO%2522:100.0%257D", "Show Evidence...")</f>
        <v>Show Evidence...</v>
      </c>
    </row>
    <row r="3119" spans="1:10" ht="12.75">
      <c r="A3119" s="2" t="s">
        <v>50</v>
      </c>
      <c r="B3119" s="2" t="s">
        <v>4216</v>
      </c>
      <c r="C3119" s="2" t="s">
        <v>24</v>
      </c>
      <c r="D3119" s="2" t="s">
        <v>4217</v>
      </c>
      <c r="E3119" s="2" t="s">
        <v>431</v>
      </c>
      <c r="F3119" s="11" t="s">
        <v>1403</v>
      </c>
      <c r="G3119" t="s">
        <v>38</v>
      </c>
      <c r="H3119" t="s">
        <v>1404</v>
      </c>
      <c r="I3119" t="s">
        <v>4233</v>
      </c>
      <c r="J3119" s="6" t="str">
        <f>HYPERLINK("https://www.biovista.com/db/link/%5B%5B%22Disease%7CSSADH%20Deficiency%22%5D,%20%5B%22Human%20Phenotype%7CCerebral%20palsy%22%5D%5D?strength-weight-map=%257B%2522MEDLINE_STRENGTH_AB%2522:1.0,%2522HPO%2522:100.0%257D", "Show Evidence...")</f>
        <v>Show Evidence...</v>
      </c>
    </row>
    <row r="3120" spans="1:10" ht="12.75">
      <c r="A3120" s="2" t="s">
        <v>50</v>
      </c>
      <c r="B3120" s="2" t="s">
        <v>4216</v>
      </c>
      <c r="C3120" s="2" t="s">
        <v>24</v>
      </c>
      <c r="D3120" s="2" t="s">
        <v>4217</v>
      </c>
      <c r="E3120" s="2" t="s">
        <v>431</v>
      </c>
      <c r="F3120" s="11" t="s">
        <v>1739</v>
      </c>
      <c r="G3120" t="s">
        <v>38</v>
      </c>
      <c r="H3120" t="s">
        <v>1740</v>
      </c>
      <c r="I3120" t="s">
        <v>4233</v>
      </c>
      <c r="J3120" s="6" t="str">
        <f>HYPERLINK("https://www.biovista.com/db/link/%5B%5B%22Disease%7CSSADH%20Deficiency%22%5D,%20%5B%22Human%20Phenotype%7CCleft%20lip%22%5D%5D?strength-weight-map=%257B%2522MEDLINE_STRENGTH_AB%2522:1.0,%2522HPO%2522:100.0%257D", "Show Evidence...")</f>
        <v>Show Evidence...</v>
      </c>
    </row>
    <row r="3121" spans="1:10" ht="12.75">
      <c r="A3121" s="2" t="s">
        <v>50</v>
      </c>
      <c r="B3121" s="2" t="s">
        <v>4216</v>
      </c>
      <c r="C3121" s="2" t="s">
        <v>24</v>
      </c>
      <c r="D3121" s="2" t="s">
        <v>4217</v>
      </c>
      <c r="E3121" s="2" t="s">
        <v>431</v>
      </c>
      <c r="F3121" s="11" t="s">
        <v>4402</v>
      </c>
      <c r="G3121" t="s">
        <v>38</v>
      </c>
      <c r="H3121" t="s">
        <v>4403</v>
      </c>
      <c r="I3121" t="s">
        <v>4233</v>
      </c>
      <c r="J3121" s="6" t="str">
        <f>HYPERLINK("https://www.biovista.com/db/link/%5B%5B%22Disease%7CSSADH%20Deficiency%22%5D,%20%5B%22Human%20Phenotype%7CCutaneous%20photosensitivity%22%5D%5D?strength-weight-map=%257B%2522MEDLINE_STRENGTH_AB%2522:1.0,%2522HPO%2522:100.0%257D", "Show Evidence...")</f>
        <v>Show Evidence...</v>
      </c>
    </row>
    <row r="3122" spans="1:10" ht="12.75">
      <c r="A3122" s="2" t="s">
        <v>50</v>
      </c>
      <c r="B3122" s="2" t="s">
        <v>4216</v>
      </c>
      <c r="C3122" s="2" t="s">
        <v>24</v>
      </c>
      <c r="D3122" s="2" t="s">
        <v>4217</v>
      </c>
      <c r="E3122" s="2" t="s">
        <v>431</v>
      </c>
      <c r="F3122" s="11" t="s">
        <v>2127</v>
      </c>
      <c r="G3122" t="s">
        <v>38</v>
      </c>
      <c r="H3122" t="s">
        <v>2128</v>
      </c>
      <c r="I3122" t="s">
        <v>4233</v>
      </c>
      <c r="J3122" s="6" t="s">
        <v>4404</v>
      </c>
    </row>
    <row r="3123" spans="1:10" ht="12.75">
      <c r="A3123" s="2" t="s">
        <v>50</v>
      </c>
      <c r="B3123" s="2" t="s">
        <v>4216</v>
      </c>
      <c r="C3123" s="2" t="s">
        <v>24</v>
      </c>
      <c r="D3123" s="2" t="s">
        <v>4217</v>
      </c>
      <c r="E3123" s="2" t="s">
        <v>431</v>
      </c>
      <c r="F3123" s="11" t="s">
        <v>4405</v>
      </c>
      <c r="G3123" t="s">
        <v>38</v>
      </c>
      <c r="H3123" t="s">
        <v>4406</v>
      </c>
      <c r="I3123" t="s">
        <v>4233</v>
      </c>
      <c r="J3123" s="6" t="str">
        <f>HYPERLINK("https://www.biovista.com/db/link/%5B%5B%22Disease%7CSSADH%20Deficiency%22%5D,%20%5B%22Human%20Phenotype%7CExpressive%20aphasia%22%5D%5D?strength-weight-map=%257B%2522MEDLINE_STRENGTH_AB%2522:1.0,%2522HPO%2522:100.0%257D", "Show Evidence...")</f>
        <v>Show Evidence...</v>
      </c>
    </row>
    <row r="3124" spans="1:10" ht="12.75">
      <c r="A3124" s="2" t="s">
        <v>50</v>
      </c>
      <c r="B3124" s="2" t="s">
        <v>4216</v>
      </c>
      <c r="C3124" s="2" t="s">
        <v>24</v>
      </c>
      <c r="D3124" s="2" t="s">
        <v>4217</v>
      </c>
      <c r="E3124" s="2" t="s">
        <v>431</v>
      </c>
      <c r="F3124" s="11" t="s">
        <v>3610</v>
      </c>
      <c r="G3124" t="s">
        <v>38</v>
      </c>
      <c r="H3124" t="s">
        <v>3611</v>
      </c>
      <c r="I3124" t="s">
        <v>4233</v>
      </c>
      <c r="J3124" s="6" t="str">
        <f>HYPERLINK("https://www.biovista.com/db/link/%5B%5B%22Disease%7CSSADH%20Deficiency%22%5D,%20%5B%22Human%20Phenotype%7CFocal-onset%20seizure%22%5D%5D?strength-weight-map=%257B%2522MEDLINE_STRENGTH_AB%2522:1.0,%2522HPO%2522:100.0%257D", "Show Evidence...")</f>
        <v>Show Evidence...</v>
      </c>
    </row>
    <row r="3125" spans="1:10" ht="12.75">
      <c r="A3125" s="2" t="s">
        <v>50</v>
      </c>
      <c r="B3125" s="2" t="s">
        <v>4216</v>
      </c>
      <c r="C3125" s="2" t="s">
        <v>24</v>
      </c>
      <c r="D3125" s="2" t="s">
        <v>4217</v>
      </c>
      <c r="E3125" s="2" t="s">
        <v>431</v>
      </c>
      <c r="F3125" s="11" t="s">
        <v>4407</v>
      </c>
      <c r="G3125" t="s">
        <v>38</v>
      </c>
      <c r="H3125" t="s">
        <v>4408</v>
      </c>
      <c r="I3125" t="s">
        <v>4233</v>
      </c>
      <c r="J3125" s="6" t="str">
        <f>HYPERLINK("https://www.biovista.com/db/link/%5B%5B%22Disease%7CSSADH%20Deficiency%22%5D,%20%5B%22Human%20Phenotype%7CHearing%20impairment%22%5D%5D?strength-weight-map=%257B%2522MEDLINE_STRENGTH_AB%2522:1.0,%2522HPO%2522:100.0%257D", "Show Evidence...")</f>
        <v>Show Evidence...</v>
      </c>
    </row>
    <row r="3126" spans="1:10" ht="12.75">
      <c r="A3126" s="2" t="s">
        <v>50</v>
      </c>
      <c r="B3126" s="2" t="s">
        <v>4216</v>
      </c>
      <c r="C3126" s="2" t="s">
        <v>24</v>
      </c>
      <c r="D3126" s="2" t="s">
        <v>4217</v>
      </c>
      <c r="E3126" s="2" t="s">
        <v>431</v>
      </c>
      <c r="F3126" s="11" t="s">
        <v>3721</v>
      </c>
      <c r="G3126" t="s">
        <v>38</v>
      </c>
      <c r="H3126" t="s">
        <v>3722</v>
      </c>
      <c r="I3126" t="s">
        <v>4233</v>
      </c>
      <c r="J3126" s="6" t="str">
        <f>HYPERLINK("https://www.biovista.com/db/link/%5B%5B%22Disease%7CSSADH%20Deficiency%22%5D,%20%5B%22Human%20Phenotype%7CHyperammonemia%22%5D%5D?strength-weight-map=%257B%2522MEDLINE_STRENGTH_AB%2522:1.0,%2522HPO%2522:100.0%257D", "Show Evidence...")</f>
        <v>Show Evidence...</v>
      </c>
    </row>
    <row r="3127" spans="1:10" ht="12.75">
      <c r="A3127" s="2" t="s">
        <v>50</v>
      </c>
      <c r="B3127" s="2" t="s">
        <v>4216</v>
      </c>
      <c r="C3127" s="2" t="s">
        <v>24</v>
      </c>
      <c r="D3127" s="2" t="s">
        <v>4217</v>
      </c>
      <c r="E3127" s="2" t="s">
        <v>431</v>
      </c>
      <c r="F3127" s="11" t="s">
        <v>1753</v>
      </c>
      <c r="G3127" t="s">
        <v>38</v>
      </c>
      <c r="H3127" t="s">
        <v>1754</v>
      </c>
      <c r="I3127" t="s">
        <v>4233</v>
      </c>
      <c r="J3127" s="6" t="str">
        <f>HYPERLINK("https://www.biovista.com/db/link/%5B%5B%22Disease%7CSSADH%20Deficiency%22%5D,%20%5B%22Human%20Phenotype%7CHypertyrosinemia%22%5D%5D?strength-weight-map=%257B%2522MEDLINE_STRENGTH_AB%2522:1.0,%2522HPO%2522:100.0%257D", "Show Evidence...")</f>
        <v>Show Evidence...</v>
      </c>
    </row>
    <row r="3128" spans="1:10" ht="12.75">
      <c r="A3128" s="2" t="s">
        <v>50</v>
      </c>
      <c r="B3128" s="2" t="s">
        <v>4216</v>
      </c>
      <c r="C3128" s="2" t="s">
        <v>24</v>
      </c>
      <c r="D3128" s="2" t="s">
        <v>4217</v>
      </c>
      <c r="E3128" s="2" t="s">
        <v>431</v>
      </c>
      <c r="F3128" s="11" t="s">
        <v>696</v>
      </c>
      <c r="G3128" t="s">
        <v>38</v>
      </c>
      <c r="H3128" t="s">
        <v>697</v>
      </c>
      <c r="I3128" t="s">
        <v>4233</v>
      </c>
      <c r="J3128" s="6" t="str">
        <f>HYPERLINK("https://www.biovista.com/db/link/%5B%5B%22Disease%7CSSADH%20Deficiency%22%5D,%20%5B%22Human%20Phenotype%7CIncreased%20body%20weight%22%5D%5D?strength-weight-map=%257B%2522MEDLINE_STRENGTH_AB%2522:1.0,%2522HPO%2522:100.0%257D", "Show Evidence...")</f>
        <v>Show Evidence...</v>
      </c>
    </row>
    <row r="3129" spans="1:10" ht="12.75">
      <c r="A3129" s="2" t="s">
        <v>50</v>
      </c>
      <c r="B3129" s="2" t="s">
        <v>4216</v>
      </c>
      <c r="C3129" s="2" t="s">
        <v>24</v>
      </c>
      <c r="D3129" s="2" t="s">
        <v>4217</v>
      </c>
      <c r="E3129" s="2" t="s">
        <v>431</v>
      </c>
      <c r="F3129" s="11" t="s">
        <v>4409</v>
      </c>
      <c r="G3129" t="s">
        <v>38</v>
      </c>
      <c r="H3129" t="s">
        <v>4410</v>
      </c>
      <c r="I3129" t="s">
        <v>4233</v>
      </c>
      <c r="J3129" s="6" t="str">
        <f>HYPERLINK("https://www.biovista.com/db/link/%5B%5B%22Disease%7CSSADH%20Deficiency%22%5D,%20%5B%22Human%20Phenotype%7CKernicterus%22%5D%5D?strength-weight-map=%257B%2522MEDLINE_STRENGTH_AB%2522:1.0,%2522HPO%2522:100.0%257D", "Show Evidence...")</f>
        <v>Show Evidence...</v>
      </c>
    </row>
    <row r="3130" spans="1:10" ht="12.75">
      <c r="A3130" s="2" t="s">
        <v>50</v>
      </c>
      <c r="B3130" s="2" t="s">
        <v>4216</v>
      </c>
      <c r="C3130" s="2" t="s">
        <v>24</v>
      </c>
      <c r="D3130" s="2" t="s">
        <v>4217</v>
      </c>
      <c r="E3130" s="2" t="s">
        <v>431</v>
      </c>
      <c r="F3130" s="11" t="s">
        <v>1790</v>
      </c>
      <c r="G3130" t="s">
        <v>38</v>
      </c>
      <c r="H3130" t="s">
        <v>1791</v>
      </c>
      <c r="I3130" t="s">
        <v>4233</v>
      </c>
      <c r="J3130" s="6" t="str">
        <f>HYPERLINK("https://www.biovista.com/db/link/%5B%5B%22Disease%7CSSADH%20Deficiency%22%5D,%20%5B%22Human%20Phenotype%7CLethargy%22%5D%5D?strength-weight-map=%257B%2522MEDLINE_STRENGTH_AB%2522:1.0,%2522HPO%2522:100.0%257D", "Show Evidence...")</f>
        <v>Show Evidence...</v>
      </c>
    </row>
    <row r="3131" spans="1:10" ht="12.75">
      <c r="A3131" s="2" t="s">
        <v>50</v>
      </c>
      <c r="B3131" s="2" t="s">
        <v>4216</v>
      </c>
      <c r="C3131" s="2" t="s">
        <v>24</v>
      </c>
      <c r="D3131" s="2" t="s">
        <v>4217</v>
      </c>
      <c r="E3131" s="2" t="s">
        <v>431</v>
      </c>
      <c r="F3131" s="11" t="s">
        <v>1390</v>
      </c>
      <c r="G3131" t="s">
        <v>38</v>
      </c>
      <c r="H3131" t="s">
        <v>1391</v>
      </c>
      <c r="I3131" t="s">
        <v>4233</v>
      </c>
      <c r="J3131" s="6" t="str">
        <f>HYPERLINK("https://www.biovista.com/db/link/%5B%5B%22Disease%7CSSADH%20Deficiency%22%5D,%20%5B%22Human%20Phenotype%7CMethylmalonic%20acidemia%22%5D%5D?strength-weight-map=%257B%2522MEDLINE_STRENGTH_AB%2522:1.0,%2522HPO%2522:100.0%257D", "Show Evidence...")</f>
        <v>Show Evidence...</v>
      </c>
    </row>
    <row r="3132" spans="1:10" ht="12.75">
      <c r="A3132" s="2" t="s">
        <v>50</v>
      </c>
      <c r="B3132" s="2" t="s">
        <v>4216</v>
      </c>
      <c r="C3132" s="2" t="s">
        <v>24</v>
      </c>
      <c r="D3132" s="2" t="s">
        <v>4217</v>
      </c>
      <c r="E3132" s="2" t="s">
        <v>431</v>
      </c>
      <c r="F3132" s="11" t="s">
        <v>1394</v>
      </c>
      <c r="G3132" t="s">
        <v>38</v>
      </c>
      <c r="H3132" t="s">
        <v>1395</v>
      </c>
      <c r="I3132" t="s">
        <v>4233</v>
      </c>
      <c r="J3132" s="6" t="str">
        <f>HYPERLINK("https://www.biovista.com/db/link/%5B%5B%22Disease%7CSSADH%20Deficiency%22%5D,%20%5B%22Human%20Phenotype%7CMethylmalonic%20aciduria%22%5D%5D?strength-weight-map=%257B%2522MEDLINE_STRENGTH_AB%2522:1.0,%2522HPO%2522:100.0%257D", "Show Evidence...")</f>
        <v>Show Evidence...</v>
      </c>
    </row>
    <row r="3133" spans="1:10" ht="12.75">
      <c r="A3133" s="2" t="s">
        <v>50</v>
      </c>
      <c r="B3133" s="2" t="s">
        <v>4216</v>
      </c>
      <c r="C3133" s="2" t="s">
        <v>24</v>
      </c>
      <c r="D3133" s="2" t="s">
        <v>4217</v>
      </c>
      <c r="E3133" s="2" t="s">
        <v>431</v>
      </c>
      <c r="F3133" s="11" t="s">
        <v>4411</v>
      </c>
      <c r="G3133" t="s">
        <v>38</v>
      </c>
      <c r="H3133" t="s">
        <v>4412</v>
      </c>
      <c r="I3133" t="s">
        <v>4233</v>
      </c>
      <c r="J3133" s="6" t="str">
        <f>HYPERLINK("https://www.biovista.com/db/link/%5B%5B%22Disease%7CSSADH%20Deficiency%22%5D,%20%5B%22Human%20Phenotype%7CNarcolepsy%22%5D%5D?strength-weight-map=%257B%2522MEDLINE_STRENGTH_AB%2522:1.0,%2522HPO%2522:100.0%257D", "Show Evidence...")</f>
        <v>Show Evidence...</v>
      </c>
    </row>
    <row r="3134" spans="1:10" ht="12.75">
      <c r="A3134" s="2" t="s">
        <v>50</v>
      </c>
      <c r="B3134" s="2" t="s">
        <v>4216</v>
      </c>
      <c r="C3134" s="2" t="s">
        <v>24</v>
      </c>
      <c r="D3134" s="2" t="s">
        <v>4217</v>
      </c>
      <c r="E3134" s="2" t="s">
        <v>431</v>
      </c>
      <c r="F3134" s="11" t="s">
        <v>1376</v>
      </c>
      <c r="G3134" t="s">
        <v>38</v>
      </c>
      <c r="H3134" t="s">
        <v>1377</v>
      </c>
      <c r="I3134" t="s">
        <v>4233</v>
      </c>
      <c r="J3134" s="6" t="str">
        <f>HYPERLINK("https://www.biovista.com/db/link/%5B%5B%22Disease%7CSSADH%20Deficiency%22%5D,%20%5B%22Human%20Phenotype%7CNeurodegeneration%22%5D%5D?strength-weight-map=%257B%2522MEDLINE_STRENGTH_AB%2522:1.0,%2522HPO%2522:100.0%257D", "Show Evidence...")</f>
        <v>Show Evidence...</v>
      </c>
    </row>
    <row r="3135" spans="1:10" ht="12.75">
      <c r="A3135" s="2" t="s">
        <v>50</v>
      </c>
      <c r="B3135" s="2" t="s">
        <v>4216</v>
      </c>
      <c r="C3135" s="2" t="s">
        <v>24</v>
      </c>
      <c r="D3135" s="2" t="s">
        <v>4217</v>
      </c>
      <c r="E3135" s="2" t="s">
        <v>431</v>
      </c>
      <c r="F3135" s="11" t="s">
        <v>1401</v>
      </c>
      <c r="G3135" t="s">
        <v>38</v>
      </c>
      <c r="H3135" t="s">
        <v>1402</v>
      </c>
      <c r="I3135" t="s">
        <v>4233</v>
      </c>
      <c r="J3135" s="6" t="str">
        <f>HYPERLINK("https://www.biovista.com/db/link/%5B%5B%22Disease%7CSSADH%20Deficiency%22%5D,%20%5B%22Human%20Phenotype%7COrganic%20aciduria%22%5D%5D?strength-weight-map=%257B%2522MEDLINE_STRENGTH_AB%2522:1.0,%2522HPO%2522:100.0%257D", "Show Evidence...")</f>
        <v>Show Evidence...</v>
      </c>
    </row>
    <row r="3136" spans="1:10" ht="12.75">
      <c r="A3136" s="2" t="s">
        <v>50</v>
      </c>
      <c r="B3136" s="2" t="s">
        <v>4216</v>
      </c>
      <c r="C3136" s="2" t="s">
        <v>24</v>
      </c>
      <c r="D3136" s="2" t="s">
        <v>4217</v>
      </c>
      <c r="E3136" s="2" t="s">
        <v>431</v>
      </c>
      <c r="F3136" s="11" t="s">
        <v>4413</v>
      </c>
      <c r="G3136" t="s">
        <v>38</v>
      </c>
      <c r="H3136" t="s">
        <v>4414</v>
      </c>
      <c r="I3136" t="s">
        <v>4233</v>
      </c>
      <c r="J3136" s="6" t="str">
        <f>HYPERLINK("https://www.biovista.com/db/link/%5B%5B%22Disease%7CSSADH%20Deficiency%22%5D,%20%5B%22Human%20Phenotype%7CPolygenic%20inheritance%22%5D%5D?strength-weight-map=%257B%2522MEDLINE_STRENGTH_AB%2522:1.0,%2522HPO%2522:100.0%257D", "Show Evidence...")</f>
        <v>Show Evidence...</v>
      </c>
    </row>
    <row r="3137" spans="1:10" ht="12.75">
      <c r="A3137" s="2" t="s">
        <v>50</v>
      </c>
      <c r="B3137" s="2" t="s">
        <v>4216</v>
      </c>
      <c r="C3137" s="2" t="s">
        <v>24</v>
      </c>
      <c r="D3137" s="2" t="s">
        <v>4217</v>
      </c>
      <c r="E3137" s="2" t="s">
        <v>431</v>
      </c>
      <c r="F3137" s="11" t="s">
        <v>1392</v>
      </c>
      <c r="G3137" t="s">
        <v>38</v>
      </c>
      <c r="H3137" t="s">
        <v>1393</v>
      </c>
      <c r="I3137" t="s">
        <v>4233</v>
      </c>
      <c r="J3137" s="6" t="str">
        <f>HYPERLINK("https://www.biovista.com/db/link/%5B%5B%22Disease%7CSSADH%20Deficiency%22%5D,%20%5B%22Human%20Phenotype%7CPropionic%20acidemia%22%5D%5D?strength-weight-map=%257B%2522MEDLINE_STRENGTH_AB%2522:1.0,%2522HPO%2522:100.0%257D", "Show Evidence...")</f>
        <v>Show Evidence...</v>
      </c>
    </row>
    <row r="3138" spans="1:10" ht="12.75">
      <c r="A3138" s="2" t="s">
        <v>50</v>
      </c>
      <c r="B3138" s="2" t="s">
        <v>4216</v>
      </c>
      <c r="C3138" s="2" t="s">
        <v>24</v>
      </c>
      <c r="D3138" s="2" t="s">
        <v>4217</v>
      </c>
      <c r="E3138" s="2" t="s">
        <v>431</v>
      </c>
      <c r="F3138" s="11" t="s">
        <v>2831</v>
      </c>
      <c r="G3138" t="s">
        <v>38</v>
      </c>
      <c r="H3138" t="s">
        <v>2832</v>
      </c>
      <c r="I3138" t="s">
        <v>4233</v>
      </c>
      <c r="J3138" s="6" t="str">
        <f>HYPERLINK("https://www.biovista.com/db/link/%5B%5B%22Disease%7CSSADH%20Deficiency%22%5D,%20%5B%22Human%20Phenotype%7CShort%20attention%20span%22%5D%5D?strength-weight-map=%257B%2522MEDLINE_STRENGTH_AB%2522:1.0,%2522HPO%2522:100.0%257D", "Show Evidence...")</f>
        <v>Show Evidence...</v>
      </c>
    </row>
    <row r="3139" spans="1:10" ht="12.75">
      <c r="A3139" s="2" t="s">
        <v>50</v>
      </c>
      <c r="B3139" s="2" t="s">
        <v>4216</v>
      </c>
      <c r="C3139" s="2" t="s">
        <v>24</v>
      </c>
      <c r="D3139" s="2" t="s">
        <v>4217</v>
      </c>
      <c r="E3139" s="2" t="s">
        <v>431</v>
      </c>
      <c r="F3139" s="11" t="s">
        <v>1427</v>
      </c>
      <c r="G3139" t="s">
        <v>38</v>
      </c>
      <c r="H3139" t="s">
        <v>1428</v>
      </c>
      <c r="I3139" t="s">
        <v>4233</v>
      </c>
      <c r="J3139" s="6" t="str">
        <f>HYPERLINK("https://www.biovista.com/db/link/%5B%5B%22Disease%7CSSADH%20Deficiency%22%5D,%20%5B%22Human%20Phenotype%7CSpasticity%22%5D%5D?strength-weight-map=%257B%2522MEDLINE_STRENGTH_AB%2522:1.0,%2522HPO%2522:100.0%257D", "Show Evidence...")</f>
        <v>Show Evidence...</v>
      </c>
    </row>
    <row r="3140" spans="1:10" ht="12.75">
      <c r="A3140" s="2" t="s">
        <v>50</v>
      </c>
      <c r="B3140" s="2" t="s">
        <v>4216</v>
      </c>
      <c r="C3140" s="2" t="s">
        <v>24</v>
      </c>
      <c r="D3140" s="2" t="s">
        <v>4217</v>
      </c>
      <c r="E3140" s="2" t="s">
        <v>431</v>
      </c>
      <c r="F3140" s="11" t="s">
        <v>4415</v>
      </c>
      <c r="G3140" t="s">
        <v>38</v>
      </c>
      <c r="H3140" t="s">
        <v>4416</v>
      </c>
      <c r="I3140" t="s">
        <v>4233</v>
      </c>
      <c r="J3140" s="6" t="str">
        <f>HYPERLINK("https://www.biovista.com/db/link/%5B%5B%22Disease%7CSSADH%20Deficiency%22%5D,%20%5B%22Human%20Phenotype%7CTypical%20absence%20seizure%22%5D%5D?strength-weight-map=%257B%2522MEDLINE_STRENGTH_AB%2522:1.0,%2522HPO%2522:100.0%257D", "Show Evidence...")</f>
        <v>Show Evidence...</v>
      </c>
    </row>
    <row r="3141" spans="1:10" ht="12.75">
      <c r="A3141" s="2" t="s">
        <v>50</v>
      </c>
      <c r="B3141" s="2" t="s">
        <v>4216</v>
      </c>
      <c r="C3141" s="2" t="s">
        <v>24</v>
      </c>
      <c r="D3141" s="2" t="s">
        <v>4217</v>
      </c>
      <c r="E3141" s="2" t="s">
        <v>431</v>
      </c>
      <c r="F3141" s="11" t="s">
        <v>4417</v>
      </c>
      <c r="G3141" t="s">
        <v>38</v>
      </c>
      <c r="H3141" t="s">
        <v>4418</v>
      </c>
      <c r="I3141" t="s">
        <v>4233</v>
      </c>
      <c r="J3141" s="6" t="str">
        <f>HYPERLINK("https://www.biovista.com/db/link/%5B%5B%22Disease%7CSSADH%20Deficiency%22%5D,%20%5B%22Human%20Phenotype%7CVisual%20hallucination%22%5D%5D?strength-weight-map=%257B%2522MEDLINE_STRENGTH_AB%2522:1.0,%2522HPO%2522:100.0%257D", "Show Evidence...")</f>
        <v>Show Evidence...</v>
      </c>
    </row>
    <row r="3142" spans="1:10" ht="12.75">
      <c r="A3142" s="2" t="s">
        <v>50</v>
      </c>
      <c r="B3142" s="2" t="s">
        <v>4216</v>
      </c>
      <c r="C3142" s="2" t="s">
        <v>24</v>
      </c>
      <c r="D3142" s="2" t="s">
        <v>4217</v>
      </c>
      <c r="E3142" s="2" t="s">
        <v>431</v>
      </c>
      <c r="F3142" s="11" t="s">
        <v>1240</v>
      </c>
      <c r="G3142" t="s">
        <v>38</v>
      </c>
      <c r="H3142" t="s">
        <v>1241</v>
      </c>
      <c r="I3142" t="s">
        <v>4242</v>
      </c>
      <c r="J3142" s="6" t="str">
        <f>HYPERLINK("https://www.biovista.com/db/link/%5B%5B%22Disease%7CSSADH%20Deficiency%22%5D,%20%5B%22Human%20Phenotype%7CAbnormal%20basal%20ganglia%20morphology%22%5D%5D?strength-weight-map=%257B%2522MEDLINE_STRENGTH_AB%2522:1.0,%2522HPO%2522:100.0%257D", "Show Evidence...")</f>
        <v>Show Evidence...</v>
      </c>
    </row>
    <row r="3143" spans="1:10" ht="12.75">
      <c r="A3143" s="2" t="s">
        <v>50</v>
      </c>
      <c r="B3143" s="2" t="s">
        <v>4216</v>
      </c>
      <c r="C3143" s="2" t="s">
        <v>24</v>
      </c>
      <c r="D3143" s="2" t="s">
        <v>4217</v>
      </c>
      <c r="E3143" s="2" t="s">
        <v>431</v>
      </c>
      <c r="F3143" s="11" t="s">
        <v>4419</v>
      </c>
      <c r="G3143" t="s">
        <v>38</v>
      </c>
      <c r="H3143" t="s">
        <v>4420</v>
      </c>
      <c r="I3143" t="s">
        <v>4242</v>
      </c>
      <c r="J3143" s="6" t="str">
        <f>HYPERLINK("https://www.biovista.com/db/link/%5B%5B%22Disease%7CSSADH%20Deficiency%22%5D,%20%5B%22Human%20Phenotype%7CAniridia%22%5D%5D?strength-weight-map=%257B%2522MEDLINE_STRENGTH_AB%2522:1.0,%2522HPO%2522:100.0%257D", "Show Evidence...")</f>
        <v>Show Evidence...</v>
      </c>
    </row>
    <row r="3144" spans="1:10" ht="12.75">
      <c r="A3144" s="2" t="s">
        <v>50</v>
      </c>
      <c r="B3144" s="2" t="s">
        <v>4216</v>
      </c>
      <c r="C3144" s="2" t="s">
        <v>24</v>
      </c>
      <c r="D3144" s="2" t="s">
        <v>4217</v>
      </c>
      <c r="E3144" s="2" t="s">
        <v>431</v>
      </c>
      <c r="F3144" s="11" t="s">
        <v>3702</v>
      </c>
      <c r="G3144" t="s">
        <v>38</v>
      </c>
      <c r="H3144" t="s">
        <v>3703</v>
      </c>
      <c r="I3144" t="s">
        <v>4242</v>
      </c>
      <c r="J3144" s="6" t="str">
        <f>HYPERLINK("https://www.biovista.com/db/link/%5B%5B%22Disease%7CSSADH%20Deficiency%22%5D,%20%5B%22Human%20Phenotype%7CApnea%22%5D%5D?strength-weight-map=%257B%2522MEDLINE_STRENGTH_AB%2522:1.0,%2522HPO%2522:100.0%257D", "Show Evidence...")</f>
        <v>Show Evidence...</v>
      </c>
    </row>
    <row r="3145" spans="1:10" ht="12.75">
      <c r="A3145" s="2" t="s">
        <v>50</v>
      </c>
      <c r="B3145" s="2" t="s">
        <v>4216</v>
      </c>
      <c r="C3145" s="2" t="s">
        <v>24</v>
      </c>
      <c r="D3145" s="2" t="s">
        <v>4217</v>
      </c>
      <c r="E3145" s="2" t="s">
        <v>431</v>
      </c>
      <c r="F3145" s="11" t="s">
        <v>529</v>
      </c>
      <c r="G3145" t="s">
        <v>38</v>
      </c>
      <c r="H3145" t="s">
        <v>530</v>
      </c>
      <c r="I3145" t="s">
        <v>4242</v>
      </c>
      <c r="J3145" s="6" t="str">
        <f>HYPERLINK("https://www.biovista.com/db/link/%5B%5B%22Disease%7CSSADH%20Deficiency%22%5D,%20%5B%22Human%20Phenotype%7CAreflexia%22%5D%5D?strength-weight-map=%257B%2522MEDLINE_STRENGTH_AB%2522:1.0,%2522HPO%2522:100.0%257D", "Show Evidence...")</f>
        <v>Show Evidence...</v>
      </c>
    </row>
    <row r="3146" spans="1:10" ht="12.75">
      <c r="A3146" s="2" t="s">
        <v>50</v>
      </c>
      <c r="B3146" s="2" t="s">
        <v>4216</v>
      </c>
      <c r="C3146" s="2" t="s">
        <v>24</v>
      </c>
      <c r="D3146" s="2" t="s">
        <v>4217</v>
      </c>
      <c r="E3146" s="2" t="s">
        <v>431</v>
      </c>
      <c r="F3146" s="11" t="s">
        <v>1713</v>
      </c>
      <c r="G3146" t="s">
        <v>38</v>
      </c>
      <c r="H3146" t="s">
        <v>1714</v>
      </c>
      <c r="I3146" t="s">
        <v>4242</v>
      </c>
      <c r="J3146" s="6" t="str">
        <f>HYPERLINK("https://www.biovista.com/db/link/%5B%5B%22Disease%7CSSADH%20Deficiency%22%5D,%20%5B%22Human%20Phenotype%7CAxial%20hypotonia%22%5D%5D?strength-weight-map=%257B%2522MEDLINE_STRENGTH_AB%2522:1.0,%2522HPO%2522:100.0%257D", "Show Evidence...")</f>
        <v>Show Evidence...</v>
      </c>
    </row>
    <row r="3147" spans="1:10" ht="12.75">
      <c r="A3147" s="2" t="s">
        <v>50</v>
      </c>
      <c r="B3147" s="2" t="s">
        <v>4216</v>
      </c>
      <c r="C3147" s="2" t="s">
        <v>24</v>
      </c>
      <c r="D3147" s="2" t="s">
        <v>4217</v>
      </c>
      <c r="E3147" s="2" t="s">
        <v>431</v>
      </c>
      <c r="F3147" s="11" t="s">
        <v>2761</v>
      </c>
      <c r="G3147" t="s">
        <v>38</v>
      </c>
      <c r="H3147" t="s">
        <v>2762</v>
      </c>
      <c r="I3147" t="s">
        <v>4242</v>
      </c>
      <c r="J3147" s="6" t="str">
        <f>HYPERLINK("https://www.biovista.com/db/link/%5B%5B%22Disease%7CSSADH%20Deficiency%22%5D,%20%5B%22Human%20Phenotype%7CCerebral%20cortical%20atrophy%22%5D%5D?strength-weight-map=%257B%2522MEDLINE_STRENGTH_AB%2522:1.0,%2522HPO%2522:100.0%257D", "Show Evidence...")</f>
        <v>Show Evidence...</v>
      </c>
    </row>
    <row r="3148" spans="1:10" ht="12.75">
      <c r="A3148" s="2" t="s">
        <v>50</v>
      </c>
      <c r="B3148" s="2" t="s">
        <v>4216</v>
      </c>
      <c r="C3148" s="2" t="s">
        <v>24</v>
      </c>
      <c r="D3148" s="2" t="s">
        <v>4217</v>
      </c>
      <c r="E3148" s="2" t="s">
        <v>431</v>
      </c>
      <c r="F3148" s="11" t="s">
        <v>4421</v>
      </c>
      <c r="G3148" t="s">
        <v>38</v>
      </c>
      <c r="H3148" t="s">
        <v>4422</v>
      </c>
      <c r="I3148" t="s">
        <v>4242</v>
      </c>
      <c r="J3148" s="6" t="str">
        <f>HYPERLINK("https://www.biovista.com/db/link/%5B%5B%22Disease%7CSSADH%20Deficiency%22%5D,%20%5B%22Human%20Phenotype%7CCongenital%20nystagmus%22%5D%5D?strength-weight-map=%257B%2522MEDLINE_STRENGTH_AB%2522:1.0,%2522HPO%2522:100.0%257D", "Show Evidence...")</f>
        <v>Show Evidence...</v>
      </c>
    </row>
    <row r="3149" spans="1:10" ht="12.75">
      <c r="A3149" s="2" t="s">
        <v>50</v>
      </c>
      <c r="B3149" s="2" t="s">
        <v>4216</v>
      </c>
      <c r="C3149" s="2" t="s">
        <v>24</v>
      </c>
      <c r="D3149" s="2" t="s">
        <v>4217</v>
      </c>
      <c r="E3149" s="2" t="s">
        <v>431</v>
      </c>
      <c r="F3149" s="11" t="s">
        <v>4423</v>
      </c>
      <c r="G3149" t="s">
        <v>38</v>
      </c>
      <c r="H3149" t="s">
        <v>4424</v>
      </c>
      <c r="I3149" t="s">
        <v>4242</v>
      </c>
      <c r="J3149" s="6" t="str">
        <f>HYPERLINK("https://www.biovista.com/db/link/%5B%5B%22Disease%7CSSADH%20Deficiency%22%5D,%20%5B%22Human%20Phenotype%7CD-2-hydroxyglutaric%20aciduria%22%5D%5D?strength-weight-map=%257B%2522MEDLINE_STRENGTH_AB%2522:1.0,%2522HPO%2522:100.0%257D", "Show Evidence...")</f>
        <v>Show Evidence...</v>
      </c>
    </row>
    <row r="3150" spans="1:10" ht="12.75">
      <c r="A3150" s="2" t="s">
        <v>50</v>
      </c>
      <c r="B3150" s="2" t="s">
        <v>4216</v>
      </c>
      <c r="C3150" s="2" t="s">
        <v>24</v>
      </c>
      <c r="D3150" s="2" t="s">
        <v>4217</v>
      </c>
      <c r="E3150" s="2" t="s">
        <v>431</v>
      </c>
      <c r="F3150" s="11" t="s">
        <v>4425</v>
      </c>
      <c r="G3150" t="s">
        <v>38</v>
      </c>
      <c r="H3150" t="s">
        <v>4426</v>
      </c>
      <c r="I3150" t="s">
        <v>4242</v>
      </c>
      <c r="J3150" s="6" t="str">
        <f>HYPERLINK("https://www.biovista.com/db/link/%5B%5B%22Disease%7CSSADH%20Deficiency%22%5D,%20%5B%22Human%20Phenotype%7CEuphoria%22%5D%5D?strength-weight-map=%257B%2522MEDLINE_STRENGTH_AB%2522:1.0,%2522HPO%2522:100.0%257D", "Show Evidence...")</f>
        <v>Show Evidence...</v>
      </c>
    </row>
    <row r="3151" spans="1:10" ht="12.75">
      <c r="A3151" s="2" t="s">
        <v>50</v>
      </c>
      <c r="B3151" s="2" t="s">
        <v>4216</v>
      </c>
      <c r="C3151" s="2" t="s">
        <v>24</v>
      </c>
      <c r="D3151" s="2" t="s">
        <v>4217</v>
      </c>
      <c r="E3151" s="2" t="s">
        <v>431</v>
      </c>
      <c r="F3151" s="11" t="s">
        <v>2696</v>
      </c>
      <c r="G3151" t="s">
        <v>38</v>
      </c>
      <c r="H3151" t="s">
        <v>2697</v>
      </c>
      <c r="I3151" t="s">
        <v>4242</v>
      </c>
      <c r="J3151" s="6" t="str">
        <f>HYPERLINK("https://www.biovista.com/db/link/%5B%5B%22Disease%7CSSADH%20Deficiency%22%5D,%20%5B%22Human%20Phenotype%7CExcessive%20daytime%20somnolence%22%5D%5D?strength-weight-map=%257B%2522MEDLINE_STRENGTH_AB%2522:1.0,%2522HPO%2522:100.0%257D", "Show Evidence...")</f>
        <v>Show Evidence...</v>
      </c>
    </row>
    <row r="3152" spans="1:10" ht="12.75">
      <c r="A3152" s="2" t="s">
        <v>50</v>
      </c>
      <c r="B3152" s="2" t="s">
        <v>4216</v>
      </c>
      <c r="C3152" s="2" t="s">
        <v>24</v>
      </c>
      <c r="D3152" s="2" t="s">
        <v>4217</v>
      </c>
      <c r="E3152" s="2" t="s">
        <v>431</v>
      </c>
      <c r="F3152" s="11" t="s">
        <v>493</v>
      </c>
      <c r="G3152" t="s">
        <v>38</v>
      </c>
      <c r="H3152" t="s">
        <v>494</v>
      </c>
      <c r="I3152" t="s">
        <v>4242</v>
      </c>
      <c r="J3152" s="6" t="str">
        <f>HYPERLINK("https://www.biovista.com/db/link/%5B%5B%22Disease%7CSSADH%20Deficiency%22%5D,%20%5B%22Human%20Phenotype%7CGait%20disturbance%22%5D%5D?strength-weight-map=%257B%2522MEDLINE_STRENGTH_AB%2522:1.0,%2522HPO%2522:100.0%257D", "Show Evidence...")</f>
        <v>Show Evidence...</v>
      </c>
    </row>
    <row r="3153" spans="1:10" ht="12.75">
      <c r="A3153" s="2" t="s">
        <v>50</v>
      </c>
      <c r="B3153" s="2" t="s">
        <v>4216</v>
      </c>
      <c r="C3153" s="2" t="s">
        <v>24</v>
      </c>
      <c r="D3153" s="2" t="s">
        <v>4217</v>
      </c>
      <c r="E3153" s="2" t="s">
        <v>431</v>
      </c>
      <c r="F3153" s="11" t="s">
        <v>4427</v>
      </c>
      <c r="G3153" t="s">
        <v>38</v>
      </c>
      <c r="H3153" t="s">
        <v>4428</v>
      </c>
      <c r="I3153" t="s">
        <v>4242</v>
      </c>
      <c r="J3153" s="6" t="str">
        <f>HYPERLINK("https://www.biovista.com/db/link/%5B%5B%22Disease%7CSSADH%20Deficiency%22%5D,%20%5B%22Human%20Phenotype%7CL-2-hydroxyglutaric%20aciduria%22%5D%5D?strength-weight-map=%257B%2522MEDLINE_STRENGTH_AB%2522:1.0,%2522HPO%2522:100.0%257D", "Show Evidence...")</f>
        <v>Show Evidence...</v>
      </c>
    </row>
    <row r="3154" spans="1:10" ht="12.75">
      <c r="A3154" s="2" t="s">
        <v>50</v>
      </c>
      <c r="B3154" s="2" t="s">
        <v>4216</v>
      </c>
      <c r="C3154" s="2" t="s">
        <v>24</v>
      </c>
      <c r="D3154" s="2" t="s">
        <v>4217</v>
      </c>
      <c r="E3154" s="2" t="s">
        <v>431</v>
      </c>
      <c r="F3154" s="11" t="s">
        <v>3309</v>
      </c>
      <c r="G3154" t="s">
        <v>38</v>
      </c>
      <c r="H3154" t="s">
        <v>3310</v>
      </c>
      <c r="I3154" t="s">
        <v>4242</v>
      </c>
      <c r="J3154" s="6" t="str">
        <f>HYPERLINK("https://www.biovista.com/db/link/%5B%5B%22Disease%7CSSADH%20Deficiency%22%5D,%20%5B%22Human%20Phenotype%7CRespiratory%20distress%22%5D%5D?strength-weight-map=%257B%2522MEDLINE_STRENGTH_AB%2522:1.0,%2522HPO%2522:100.0%257D", "Show Evidence...")</f>
        <v>Show Evidence...</v>
      </c>
    </row>
    <row r="3155" spans="1:10" ht="12.75">
      <c r="A3155" s="2" t="s">
        <v>50</v>
      </c>
      <c r="B3155" s="2" t="s">
        <v>4216</v>
      </c>
      <c r="C3155" s="2" t="s">
        <v>24</v>
      </c>
      <c r="D3155" s="2" t="s">
        <v>4217</v>
      </c>
      <c r="E3155" s="2" t="s">
        <v>431</v>
      </c>
      <c r="F3155" s="11" t="s">
        <v>4429</v>
      </c>
      <c r="G3155" t="s">
        <v>38</v>
      </c>
      <c r="H3155" t="s">
        <v>4430</v>
      </c>
      <c r="I3155" t="s">
        <v>4242</v>
      </c>
      <c r="J3155" s="6" t="str">
        <f>HYPERLINK("https://www.biovista.com/db/link/%5B%5B%22Disease%7CSSADH%20Deficiency%22%5D,%20%5B%22Human%20Phenotype%7CSchizophrenia%22%5D%5D?strength-weight-map=%257B%2522MEDLINE_STRENGTH_AB%2522:1.0,%2522HPO%2522:100.0%257D", "Show Evidence...")</f>
        <v>Show Evidence...</v>
      </c>
    </row>
    <row r="3156" spans="1:10" ht="12.75">
      <c r="A3156" s="2" t="s">
        <v>50</v>
      </c>
      <c r="B3156" s="2" t="s">
        <v>4216</v>
      </c>
      <c r="C3156" s="2" t="s">
        <v>24</v>
      </c>
      <c r="D3156" s="2" t="s">
        <v>4217</v>
      </c>
      <c r="E3156" s="2" t="s">
        <v>704</v>
      </c>
      <c r="F3156" s="11" t="s">
        <v>3753</v>
      </c>
      <c r="G3156" t="s">
        <v>37</v>
      </c>
      <c r="H3156" t="s">
        <v>3754</v>
      </c>
      <c r="I3156" t="s">
        <v>4431</v>
      </c>
      <c r="J3156" s="6" t="str">
        <f>HYPERLINK("https://www.biovista.com/db/link/%5B%5B%22Disease%7CSSADH%20Deficiency%22%5D,%20%5B%22Pathway%7Cgamma-aminobutyric%20acid%20metabolic%20process%22%5D%5D?strength-weight-map=%257B%2522MEDLINE_STRENGTH_AB%2522:1.0,%2522HPO%2522:100.0%257D", "Show Evidence...")</f>
        <v>Show Evidence...</v>
      </c>
    </row>
    <row r="3157" spans="1:10" ht="12.75">
      <c r="A3157" s="2" t="s">
        <v>50</v>
      </c>
      <c r="B3157" s="2" t="s">
        <v>4216</v>
      </c>
      <c r="C3157" s="2" t="s">
        <v>24</v>
      </c>
      <c r="D3157" s="2" t="s">
        <v>4217</v>
      </c>
      <c r="E3157" s="2" t="s">
        <v>704</v>
      </c>
      <c r="F3157" s="11" t="s">
        <v>708</v>
      </c>
      <c r="G3157" t="s">
        <v>37</v>
      </c>
      <c r="H3157" t="s">
        <v>709</v>
      </c>
      <c r="I3157" t="s">
        <v>4432</v>
      </c>
      <c r="J3157" s="6" t="str">
        <f>HYPERLINK("https://www.biovista.com/db/link/%5B%5B%22Disease%7CSSADH%20Deficiency%22%5D,%20%5B%22Pathway%7Cchemical%20synaptic%20transmission%22%5D%5D?strength-weight-map=%257B%2522MEDLINE_STRENGTH_AB%2522:1.0,%2522HPO%2522:100.0%257D", "Show Evidence...")</f>
        <v>Show Evidence...</v>
      </c>
    </row>
    <row r="3158" spans="1:10" ht="12.75">
      <c r="A3158" s="2" t="s">
        <v>50</v>
      </c>
      <c r="B3158" s="2" t="s">
        <v>4216</v>
      </c>
      <c r="C3158" s="2" t="s">
        <v>24</v>
      </c>
      <c r="D3158" s="2" t="s">
        <v>4217</v>
      </c>
      <c r="E3158" s="2" t="s">
        <v>704</v>
      </c>
      <c r="F3158" s="11" t="s">
        <v>1460</v>
      </c>
      <c r="G3158" t="s">
        <v>37</v>
      </c>
      <c r="H3158" t="s">
        <v>1461</v>
      </c>
      <c r="I3158" t="s">
        <v>4433</v>
      </c>
      <c r="J3158" s="6" t="str">
        <f>HYPERLINK("https://www.biovista.com/db/link/%5B%5B%22Disease%7CSSADH%20Deficiency%22%5D,%20%5B%22Pathway%7Ccatabolic%20process%22%5D%5D?strength-weight-map=%257B%2522MEDLINE_STRENGTH_AB%2522:1.0,%2522HPO%2522:100.0%257D", "Show Evidence...")</f>
        <v>Show Evidence...</v>
      </c>
    </row>
    <row r="3159" spans="1:10" ht="12.75">
      <c r="A3159" s="2" t="s">
        <v>50</v>
      </c>
      <c r="B3159" s="2" t="s">
        <v>4216</v>
      </c>
      <c r="C3159" s="2" t="s">
        <v>24</v>
      </c>
      <c r="D3159" s="2" t="s">
        <v>4217</v>
      </c>
      <c r="E3159" s="2" t="s">
        <v>704</v>
      </c>
      <c r="F3159" s="11" t="s">
        <v>4434</v>
      </c>
      <c r="G3159" t="s">
        <v>37</v>
      </c>
      <c r="H3159" t="s">
        <v>4435</v>
      </c>
      <c r="I3159" t="s">
        <v>4372</v>
      </c>
      <c r="J3159" s="6" t="str">
        <f>HYPERLINK("https://www.biovista.com/db/link/%5B%5B%22Disease%7CSSADH%20Deficiency%22%5D,%20%5B%22Pathway%7Cgamma-aminobutyric%20acid%20catabolic%20process%22%5D%5D?strength-weight-map=%257B%2522MEDLINE_STRENGTH_AB%2522:1.0,%2522HPO%2522:100.0%257D", "Show Evidence...")</f>
        <v>Show Evidence...</v>
      </c>
    </row>
    <row r="3160" spans="1:10" ht="12.75">
      <c r="A3160" s="2" t="s">
        <v>50</v>
      </c>
      <c r="B3160" s="2" t="s">
        <v>4216</v>
      </c>
      <c r="C3160" s="2" t="s">
        <v>24</v>
      </c>
      <c r="D3160" s="2" t="s">
        <v>4217</v>
      </c>
      <c r="E3160" s="2" t="s">
        <v>704</v>
      </c>
      <c r="F3160" s="11" t="s">
        <v>1454</v>
      </c>
      <c r="G3160" t="s">
        <v>37</v>
      </c>
      <c r="H3160" t="s">
        <v>1455</v>
      </c>
      <c r="I3160" t="s">
        <v>4436</v>
      </c>
      <c r="J3160" s="6" t="str">
        <f>HYPERLINK("https://www.biovista.com/db/link/%5B%5B%22Disease%7CSSADH%20Deficiency%22%5D,%20%5B%22Pathway%7Cexcretion%22%5D%5D?strength-weight-map=%257B%2522MEDLINE_STRENGTH_AB%2522:1.0,%2522HPO%2522:100.0%257D", "Show Evidence...")</f>
        <v>Show Evidence...</v>
      </c>
    </row>
    <row r="3161" spans="1:10" ht="12.75">
      <c r="A3161" s="2" t="s">
        <v>50</v>
      </c>
      <c r="B3161" s="2" t="s">
        <v>4216</v>
      </c>
      <c r="C3161" s="2" t="s">
        <v>24</v>
      </c>
      <c r="D3161" s="2" t="s">
        <v>4217</v>
      </c>
      <c r="E3161" s="2" t="s">
        <v>704</v>
      </c>
      <c r="F3161" s="11" t="s">
        <v>836</v>
      </c>
      <c r="G3161" t="s">
        <v>37</v>
      </c>
      <c r="H3161" t="s">
        <v>837</v>
      </c>
      <c r="I3161" t="s">
        <v>4284</v>
      </c>
      <c r="J3161" s="6" t="str">
        <f>HYPERLINK("https://www.biovista.com/db/link/%5B%5B%22Disease%7CSSADH%20Deficiency%22%5D,%20%5B%22Pathway%7Cautophagy%22%5D%5D?strength-weight-map=%257B%2522MEDLINE_STRENGTH_AB%2522:1.0,%2522HPO%2522:100.0%257D", "Show Evidence...")</f>
        <v>Show Evidence...</v>
      </c>
    </row>
    <row r="3162" spans="1:10" ht="12.75">
      <c r="A3162" s="2" t="s">
        <v>50</v>
      </c>
      <c r="B3162" s="2" t="s">
        <v>4216</v>
      </c>
      <c r="C3162" s="2" t="s">
        <v>24</v>
      </c>
      <c r="D3162" s="2" t="s">
        <v>4217</v>
      </c>
      <c r="E3162" s="2" t="s">
        <v>704</v>
      </c>
      <c r="F3162" s="11" t="s">
        <v>811</v>
      </c>
      <c r="G3162" t="s">
        <v>37</v>
      </c>
      <c r="H3162" t="s">
        <v>812</v>
      </c>
      <c r="I3162" t="s">
        <v>4224</v>
      </c>
      <c r="J3162" s="6" t="str">
        <f>HYPERLINK("https://www.biovista.com/db/link/%5B%5B%22Disease%7CSSADH%20Deficiency%22%5D,%20%5B%22Pathway%7Ctricarboxylic%20acid%20cycle%22%5D%5D?strength-weight-map=%257B%2522MEDLINE_STRENGTH_AB%2522:1.0,%2522HPO%2522:100.0%257D", "Show Evidence...")</f>
        <v>Show Evidence...</v>
      </c>
    </row>
    <row r="3163" spans="1:10" ht="12.75">
      <c r="A3163" s="2" t="s">
        <v>50</v>
      </c>
      <c r="B3163" s="2" t="s">
        <v>4216</v>
      </c>
      <c r="C3163" s="2" t="s">
        <v>24</v>
      </c>
      <c r="D3163" s="2" t="s">
        <v>4217</v>
      </c>
      <c r="E3163" s="2" t="s">
        <v>704</v>
      </c>
      <c r="F3163" s="11" t="s">
        <v>1806</v>
      </c>
      <c r="G3163" t="s">
        <v>37</v>
      </c>
      <c r="H3163" t="s">
        <v>1807</v>
      </c>
      <c r="I3163" t="s">
        <v>4227</v>
      </c>
      <c r="J3163" s="6" t="str">
        <f>HYPERLINK("https://www.biovista.com/db/link/%5B%5B%22Disease%7CSSADH%20Deficiency%22%5D,%20%5B%22Pathway%7Caggressive%20behavior%22%5D%5D?strength-weight-map=%257B%2522MEDLINE_STRENGTH_AB%2522:1.0,%2522HPO%2522:100.0%257D", "Show Evidence...")</f>
        <v>Show Evidence...</v>
      </c>
    </row>
    <row r="3164" spans="1:10" ht="12.75">
      <c r="A3164" s="2" t="s">
        <v>50</v>
      </c>
      <c r="B3164" s="2" t="s">
        <v>4216</v>
      </c>
      <c r="C3164" s="2" t="s">
        <v>24</v>
      </c>
      <c r="D3164" s="2" t="s">
        <v>4217</v>
      </c>
      <c r="E3164" s="2" t="s">
        <v>704</v>
      </c>
      <c r="F3164" s="11" t="s">
        <v>733</v>
      </c>
      <c r="G3164" t="s">
        <v>37</v>
      </c>
      <c r="H3164" t="s">
        <v>734</v>
      </c>
      <c r="I3164" t="s">
        <v>4227</v>
      </c>
      <c r="J3164" s="6" t="str">
        <f>HYPERLINK("https://www.biovista.com/db/link/%5B%5B%22Disease%7CSSADH%20Deficiency%22%5D,%20%5B%22Pathway%7Ccellular%20respiration%22%5D%5D?strength-weight-map=%257B%2522MEDLINE_STRENGTH_AB%2522:1.0,%2522HPO%2522:100.0%257D", "Show Evidence...")</f>
        <v>Show Evidence...</v>
      </c>
    </row>
    <row r="3165" spans="1:10" ht="12.75">
      <c r="A3165" s="2" t="s">
        <v>50</v>
      </c>
      <c r="B3165" s="2" t="s">
        <v>4216</v>
      </c>
      <c r="C3165" s="2" t="s">
        <v>24</v>
      </c>
      <c r="D3165" s="2" t="s">
        <v>4217</v>
      </c>
      <c r="E3165" s="2" t="s">
        <v>704</v>
      </c>
      <c r="F3165" s="11" t="s">
        <v>726</v>
      </c>
      <c r="G3165" t="s">
        <v>37</v>
      </c>
      <c r="H3165" t="s">
        <v>727</v>
      </c>
      <c r="I3165" t="s">
        <v>4227</v>
      </c>
      <c r="J3165" s="6" t="str">
        <f>HYPERLINK("https://www.biovista.com/db/link/%5B%5B%22Disease%7CSSADH%20Deficiency%22%5D,%20%5B%22Pathway%7Ccognition%22%5D%5D?strength-weight-map=%257B%2522MEDLINE_STRENGTH_AB%2522:1.0,%2522HPO%2522:100.0%257D", "Show Evidence...")</f>
        <v>Show Evidence...</v>
      </c>
    </row>
    <row r="3166" spans="1:10" ht="12.75">
      <c r="A3166" s="2" t="s">
        <v>50</v>
      </c>
      <c r="B3166" s="2" t="s">
        <v>4216</v>
      </c>
      <c r="C3166" s="2" t="s">
        <v>24</v>
      </c>
      <c r="D3166" s="2" t="s">
        <v>4217</v>
      </c>
      <c r="E3166" s="2" t="s">
        <v>704</v>
      </c>
      <c r="F3166" s="11" t="s">
        <v>1502</v>
      </c>
      <c r="G3166" t="s">
        <v>37</v>
      </c>
      <c r="H3166" t="s">
        <v>1503</v>
      </c>
      <c r="I3166" t="s">
        <v>4227</v>
      </c>
      <c r="J3166" s="6" t="str">
        <f>HYPERLINK("https://www.biovista.com/db/link/%5B%5B%22Disease%7CSSADH%20Deficiency%22%5D,%20%5B%22Pathway%7Cdetoxification%22%5D%5D?strength-weight-map=%257B%2522MEDLINE_STRENGTH_AB%2522:1.0,%2522HPO%2522:100.0%257D", "Show Evidence...")</f>
        <v>Show Evidence...</v>
      </c>
    </row>
    <row r="3167" spans="1:10" ht="12.75">
      <c r="A3167" s="2" t="s">
        <v>50</v>
      </c>
      <c r="B3167" s="2" t="s">
        <v>4216</v>
      </c>
      <c r="C3167" s="2" t="s">
        <v>24</v>
      </c>
      <c r="D3167" s="2" t="s">
        <v>4217</v>
      </c>
      <c r="E3167" s="2" t="s">
        <v>704</v>
      </c>
      <c r="F3167" s="11" t="s">
        <v>760</v>
      </c>
      <c r="G3167" t="s">
        <v>37</v>
      </c>
      <c r="H3167" t="s">
        <v>761</v>
      </c>
      <c r="I3167" t="s">
        <v>4227</v>
      </c>
      <c r="J3167" s="6" t="str">
        <f>HYPERLINK("https://www.biovista.com/db/link/%5B%5B%22Disease%7CSSADH%20Deficiency%22%5D,%20%5B%22Pathway%7Chomeostatic%20process%22%5D%5D?strength-weight-map=%257B%2522MEDLINE_STRENGTH_AB%2522:1.0,%2522HPO%2522:100.0%257D", "Show Evidence...")</f>
        <v>Show Evidence...</v>
      </c>
    </row>
    <row r="3168" spans="1:10" ht="12.75">
      <c r="A3168" s="2" t="s">
        <v>50</v>
      </c>
      <c r="B3168" s="2" t="s">
        <v>4216</v>
      </c>
      <c r="C3168" s="2" t="s">
        <v>24</v>
      </c>
      <c r="D3168" s="2" t="s">
        <v>4217</v>
      </c>
      <c r="E3168" s="2" t="s">
        <v>704</v>
      </c>
      <c r="F3168" s="11" t="s">
        <v>2338</v>
      </c>
      <c r="G3168" t="s">
        <v>37</v>
      </c>
      <c r="H3168" t="s">
        <v>2339</v>
      </c>
      <c r="I3168" t="s">
        <v>4227</v>
      </c>
      <c r="J3168" s="6" t="str">
        <f>HYPERLINK("https://www.biovista.com/db/link/%5B%5B%22Disease%7CSSADH%20Deficiency%22%5D,%20%5B%22Pathway%7Cmitophagy%22%5D%5D?strength-weight-map=%257B%2522MEDLINE_STRENGTH_AB%2522:1.0,%2522HPO%2522:100.0%257D", "Show Evidence...")</f>
        <v>Show Evidence...</v>
      </c>
    </row>
    <row r="3169" spans="1:10" ht="12.75">
      <c r="A3169" s="2" t="s">
        <v>50</v>
      </c>
      <c r="B3169" s="2" t="s">
        <v>4216</v>
      </c>
      <c r="C3169" s="2" t="s">
        <v>24</v>
      </c>
      <c r="D3169" s="2" t="s">
        <v>4217</v>
      </c>
      <c r="E3169" s="2" t="s">
        <v>704</v>
      </c>
      <c r="F3169" s="11" t="s">
        <v>737</v>
      </c>
      <c r="G3169" t="s">
        <v>37</v>
      </c>
      <c r="H3169" t="s">
        <v>738</v>
      </c>
      <c r="I3169" t="s">
        <v>4227</v>
      </c>
      <c r="J3169" s="6" t="str">
        <f>HYPERLINK("https://www.biovista.com/db/link/%5B%5B%22Disease%7CSSADH%20Deficiency%22%5D,%20%5B%22Pathway%7CmRNA%20cis%20splicing,%20via%20spliceosome%22%5D%5D?strength-weight-map=%257B%2522MEDLINE_STRENGTH_AB%2522:1.0,%2522HPO%2522:100.0%257D", "Show Evidence...")</f>
        <v>Show Evidence...</v>
      </c>
    </row>
    <row r="3170" spans="1:10" ht="12.75">
      <c r="A3170" s="2" t="s">
        <v>50</v>
      </c>
      <c r="B3170" s="2" t="s">
        <v>4216</v>
      </c>
      <c r="C3170" s="2" t="s">
        <v>24</v>
      </c>
      <c r="D3170" s="2" t="s">
        <v>4217</v>
      </c>
      <c r="E3170" s="2" t="s">
        <v>704</v>
      </c>
      <c r="F3170" s="11" t="s">
        <v>1472</v>
      </c>
      <c r="G3170" t="s">
        <v>37</v>
      </c>
      <c r="H3170" t="s">
        <v>1473</v>
      </c>
      <c r="I3170" t="s">
        <v>4227</v>
      </c>
      <c r="J3170" s="6" t="str">
        <f>HYPERLINK("https://www.biovista.com/db/link/%5B%5B%22Disease%7CSSADH%20Deficiency%22%5D,%20%5B%22Pathway%7Cmyelination%22%5D%5D?strength-weight-map=%257B%2522MEDLINE_STRENGTH_AB%2522:1.0,%2522HPO%2522:100.0%257D", "Show Evidence...")</f>
        <v>Show Evidence...</v>
      </c>
    </row>
    <row r="3171" spans="1:10" ht="12.75">
      <c r="A3171" s="2" t="s">
        <v>50</v>
      </c>
      <c r="B3171" s="2" t="s">
        <v>4216</v>
      </c>
      <c r="C3171" s="2" t="s">
        <v>24</v>
      </c>
      <c r="D3171" s="2" t="s">
        <v>4217</v>
      </c>
      <c r="E3171" s="2" t="s">
        <v>717</v>
      </c>
      <c r="F3171" s="11" t="s">
        <v>1798</v>
      </c>
      <c r="G3171" t="s">
        <v>37</v>
      </c>
      <c r="H3171" t="s">
        <v>1799</v>
      </c>
      <c r="I3171" t="s">
        <v>4227</v>
      </c>
      <c r="J3171" s="6" t="str">
        <f>HYPERLINK("https://www.biovista.com/db/link/%5B%5B%22Disease%7CSSADH%20Deficiency%22%5D,%20%5B%22Pathway%7Cneurotransmitter%20metabolic%20process%22%5D%5D?strength-weight-map=%257B%2522MEDLINE_STRENGTH_AB%2522:1.0,%2522HPO%2522:100.0%257D", "Show Evidence...")</f>
        <v>Show Evidence...</v>
      </c>
    </row>
    <row r="3172" spans="1:10" ht="12.75">
      <c r="A3172" s="2" t="s">
        <v>50</v>
      </c>
      <c r="B3172" s="2" t="s">
        <v>4216</v>
      </c>
      <c r="C3172" s="2" t="s">
        <v>24</v>
      </c>
      <c r="D3172" s="2" t="s">
        <v>4217</v>
      </c>
      <c r="E3172" s="2" t="s">
        <v>704</v>
      </c>
      <c r="F3172" s="11" t="s">
        <v>3732</v>
      </c>
      <c r="G3172" t="s">
        <v>37</v>
      </c>
      <c r="H3172" t="s">
        <v>3733</v>
      </c>
      <c r="I3172" t="s">
        <v>4230</v>
      </c>
      <c r="J3172" s="6" t="str">
        <f>HYPERLINK("https://www.biovista.com/db/link/%5B%5B%22Disease%7CSSADH%20Deficiency%22%5D,%20%5B%22Pathway%7Ccellular%20aldehyde%20metabolic%20process%22%5D%5D?strength-weight-map=%257B%2522MEDLINE_STRENGTH_AB%2522:1.0,%2522HPO%2522:100.0%257D", "Show Evidence...")</f>
        <v>Show Evidence...</v>
      </c>
    </row>
    <row r="3173" spans="1:10" ht="12.75">
      <c r="A3173" s="2" t="s">
        <v>50</v>
      </c>
      <c r="B3173" s="2" t="s">
        <v>4216</v>
      </c>
      <c r="C3173" s="2" t="s">
        <v>24</v>
      </c>
      <c r="D3173" s="2" t="s">
        <v>4217</v>
      </c>
      <c r="E3173" s="2" t="s">
        <v>704</v>
      </c>
      <c r="F3173" s="11" t="s">
        <v>4437</v>
      </c>
      <c r="G3173" t="s">
        <v>37</v>
      </c>
      <c r="H3173" t="s">
        <v>4438</v>
      </c>
      <c r="I3173" t="s">
        <v>4230</v>
      </c>
      <c r="J3173" s="6" t="str">
        <f>HYPERLINK("https://www.biovista.com/db/link/%5B%5B%22Disease%7CSSADH%20Deficiency%22%5D,%20%5B%22Pathway%7Cglutamine%20metabolic%20process%22%5D%5D?strength-weight-map=%257B%2522MEDLINE_STRENGTH_AB%2522:1.0,%2522HPO%2522:100.0%257D", "Show Evidence...")</f>
        <v>Show Evidence...</v>
      </c>
    </row>
    <row r="3174" spans="1:10" ht="12.75">
      <c r="A3174" s="2" t="s">
        <v>50</v>
      </c>
      <c r="B3174" s="2" t="s">
        <v>4216</v>
      </c>
      <c r="C3174" s="2" t="s">
        <v>24</v>
      </c>
      <c r="D3174" s="2" t="s">
        <v>4217</v>
      </c>
      <c r="E3174" s="2" t="s">
        <v>704</v>
      </c>
      <c r="F3174" s="11" t="s">
        <v>1518</v>
      </c>
      <c r="G3174" t="s">
        <v>37</v>
      </c>
      <c r="H3174" t="s">
        <v>1519</v>
      </c>
      <c r="I3174" t="s">
        <v>4230</v>
      </c>
      <c r="J3174" s="6" t="str">
        <f>HYPERLINK("https://www.biovista.com/db/link/%5B%5B%22Disease%7CSSADH%20Deficiency%22%5D,%20%5B%22Pathway%7Curea%20cycle%22%5D%5D?strength-weight-map=%257B%2522MEDLINE_STRENGTH_AB%2522:1.0,%2522HPO%2522:100.0%257D", "Show Evidence...")</f>
        <v>Show Evidence...</v>
      </c>
    </row>
    <row r="3175" spans="1:10" ht="12.75">
      <c r="A3175" s="2" t="s">
        <v>50</v>
      </c>
      <c r="B3175" s="2" t="s">
        <v>4216</v>
      </c>
      <c r="C3175" s="2" t="s">
        <v>24</v>
      </c>
      <c r="D3175" s="2" t="s">
        <v>4217</v>
      </c>
      <c r="E3175" s="2" t="s">
        <v>704</v>
      </c>
      <c r="F3175" s="11" t="s">
        <v>720</v>
      </c>
      <c r="G3175" t="s">
        <v>37</v>
      </c>
      <c r="H3175" t="s">
        <v>721</v>
      </c>
      <c r="I3175" t="s">
        <v>4233</v>
      </c>
      <c r="J3175" s="6" t="str">
        <f>HYPERLINK("https://www.biovista.com/db/link/%5B%5B%22Disease%7CSSADH%20Deficiency%22%5D,%20%5B%22Pathway%7Capoptotic%20process%22%5D%5D?strength-weight-map=%257B%2522MEDLINE_STRENGTH_AB%2522:1.0,%2522HPO%2522:100.0%257D", "Show Evidence...")</f>
        <v>Show Evidence...</v>
      </c>
    </row>
    <row r="3176" spans="1:10" ht="12.75">
      <c r="A3176" s="2" t="s">
        <v>50</v>
      </c>
      <c r="B3176" s="2" t="s">
        <v>4216</v>
      </c>
      <c r="C3176" s="2" t="s">
        <v>24</v>
      </c>
      <c r="D3176" s="2" t="s">
        <v>4217</v>
      </c>
      <c r="E3176" s="2" t="s">
        <v>704</v>
      </c>
      <c r="F3176" s="11" t="s">
        <v>750</v>
      </c>
      <c r="G3176" t="s">
        <v>37</v>
      </c>
      <c r="H3176" t="s">
        <v>751</v>
      </c>
      <c r="I3176" t="s">
        <v>4233</v>
      </c>
      <c r="J3176" s="6" t="str">
        <f>HYPERLINK("https://www.biovista.com/db/link/%5B%5B%22Disease%7CSSADH%20Deficiency%22%5D,%20%5B%22Pathway%7Ccell%20death%22%5D%5D?strength-weight-map=%257B%2522MEDLINE_STRENGTH_AB%2522:1.0,%2522HPO%2522:100.0%257D", "Show Evidence...")</f>
        <v>Show Evidence...</v>
      </c>
    </row>
    <row r="3177" spans="1:10" ht="12.75">
      <c r="A3177" s="2" t="s">
        <v>50</v>
      </c>
      <c r="B3177" s="2" t="s">
        <v>4216</v>
      </c>
      <c r="C3177" s="2" t="s">
        <v>24</v>
      </c>
      <c r="D3177" s="2" t="s">
        <v>4217</v>
      </c>
      <c r="E3177" s="2" t="s">
        <v>704</v>
      </c>
      <c r="F3177" s="11" t="s">
        <v>3748</v>
      </c>
      <c r="G3177" t="s">
        <v>37</v>
      </c>
      <c r="H3177" t="s">
        <v>3749</v>
      </c>
      <c r="I3177" t="s">
        <v>4233</v>
      </c>
      <c r="J3177" s="6" t="str">
        <f>HYPERLINK("https://www.biovista.com/db/link/%5B%5B%22Disease%7CSSADH%20Deficiency%22%5D,%20%5B%22Pathway%7Ccreatine%20metabolic%20process%22%5D%5D?strength-weight-map=%257B%2522MEDLINE_STRENGTH_AB%2522:1.0,%2522HPO%2522:100.0%257D", "Show Evidence...")</f>
        <v>Show Evidence...</v>
      </c>
    </row>
    <row r="3178" spans="1:10" ht="12.75">
      <c r="A3178" s="2" t="s">
        <v>50</v>
      </c>
      <c r="B3178" s="2" t="s">
        <v>4216</v>
      </c>
      <c r="C3178" s="2" t="s">
        <v>24</v>
      </c>
      <c r="D3178" s="2" t="s">
        <v>4217</v>
      </c>
      <c r="E3178" s="2" t="s">
        <v>704</v>
      </c>
      <c r="F3178" s="11" t="s">
        <v>4439</v>
      </c>
      <c r="G3178" t="s">
        <v>37</v>
      </c>
      <c r="H3178" t="s">
        <v>4440</v>
      </c>
      <c r="I3178" t="s">
        <v>4233</v>
      </c>
      <c r="J3178" s="6" t="str">
        <f>HYPERLINK("https://www.biovista.com/db/link/%5B%5B%22Disease%7CSSADH%20Deficiency%22%5D,%20%5B%22Pathway%7Ccreatine%20transmembrane%20transport%22%5D%5D?strength-weight-map=%257B%2522MEDLINE_STRENGTH_AB%2522:1.0,%2522HPO%2522:100.0%257D", "Show Evidence...")</f>
        <v>Show Evidence...</v>
      </c>
    </row>
    <row r="3179" spans="1:10" ht="12.75">
      <c r="A3179" s="2" t="s">
        <v>50</v>
      </c>
      <c r="B3179" s="2" t="s">
        <v>4216</v>
      </c>
      <c r="C3179" s="2" t="s">
        <v>24</v>
      </c>
      <c r="D3179" s="2" t="s">
        <v>4217</v>
      </c>
      <c r="E3179" s="2" t="s">
        <v>704</v>
      </c>
      <c r="F3179" s="11" t="s">
        <v>890</v>
      </c>
      <c r="G3179" t="s">
        <v>37</v>
      </c>
      <c r="H3179" t="s">
        <v>891</v>
      </c>
      <c r="I3179" t="s">
        <v>4233</v>
      </c>
      <c r="J3179" s="6" t="str">
        <f>HYPERLINK("https://www.biovista.com/db/link/%5B%5B%22Disease%7CSSADH%20Deficiency%22%5D,%20%5B%22Pathway%7Cembryo%20development%22%5D%5D?strength-weight-map=%257B%2522MEDLINE_STRENGTH_AB%2522:1.0,%2522HPO%2522:100.0%257D", "Show Evidence...")</f>
        <v>Show Evidence...</v>
      </c>
    </row>
    <row r="3180" spans="1:10" ht="12.75">
      <c r="A3180" s="2" t="s">
        <v>50</v>
      </c>
      <c r="B3180" s="2" t="s">
        <v>4216</v>
      </c>
      <c r="C3180" s="2" t="s">
        <v>24</v>
      </c>
      <c r="D3180" s="2" t="s">
        <v>4217</v>
      </c>
      <c r="E3180" s="2" t="s">
        <v>704</v>
      </c>
      <c r="F3180" s="11" t="s">
        <v>4441</v>
      </c>
      <c r="G3180" t="s">
        <v>37</v>
      </c>
      <c r="H3180" t="s">
        <v>4442</v>
      </c>
      <c r="I3180" t="s">
        <v>4233</v>
      </c>
      <c r="J3180" s="6" t="str">
        <f>HYPERLINK("https://www.biovista.com/db/link/%5B%5B%22Disease%7CSSADH%20Deficiency%22%5D,%20%5B%22Pathway%7Cglutamate%20decarboxylation%20to%20succinate%22%5D%5D?strength-weight-map=%257B%2522MEDLINE_STRENGTH_AB%2522:1.0,%2522HPO%2522:100.0%257D", "Show Evidence...")</f>
        <v>Show Evidence...</v>
      </c>
    </row>
    <row r="3181" spans="1:10" ht="12.75">
      <c r="A3181" s="2" t="s">
        <v>50</v>
      </c>
      <c r="B3181" s="2" t="s">
        <v>4216</v>
      </c>
      <c r="C3181" s="2" t="s">
        <v>24</v>
      </c>
      <c r="D3181" s="2" t="s">
        <v>4217</v>
      </c>
      <c r="E3181" s="2" t="s">
        <v>704</v>
      </c>
      <c r="F3181" s="11" t="s">
        <v>739</v>
      </c>
      <c r="G3181" t="s">
        <v>37</v>
      </c>
      <c r="H3181" t="s">
        <v>740</v>
      </c>
      <c r="I3181" t="s">
        <v>4233</v>
      </c>
      <c r="J3181" s="6" t="str">
        <f>HYPERLINK("https://www.biovista.com/db/link/%5B%5B%22Disease%7CSSADH%20Deficiency%22%5D,%20%5B%22Pathway%7Cglycosylation%22%5D%5D?strength-weight-map=%257B%2522MEDLINE_STRENGTH_AB%2522:1.0,%2522HPO%2522:100.0%257D", "Show Evidence...")</f>
        <v>Show Evidence...</v>
      </c>
    </row>
    <row r="3182" spans="1:10" ht="12.75">
      <c r="A3182" s="2" t="s">
        <v>50</v>
      </c>
      <c r="B3182" s="2" t="s">
        <v>4216</v>
      </c>
      <c r="C3182" s="2" t="s">
        <v>24</v>
      </c>
      <c r="D3182" s="2" t="s">
        <v>4217</v>
      </c>
      <c r="E3182" s="2" t="s">
        <v>704</v>
      </c>
      <c r="F3182" s="11" t="s">
        <v>1536</v>
      </c>
      <c r="G3182" t="s">
        <v>37</v>
      </c>
      <c r="H3182" t="s">
        <v>1537</v>
      </c>
      <c r="I3182" t="s">
        <v>4233</v>
      </c>
      <c r="J3182" s="6" t="str">
        <f>HYPERLINK("https://www.biovista.com/db/link/%5B%5B%22Disease%7CSSADH%20Deficiency%22%5D,%20%5B%22Pathway%7Cprotein%20folding%22%5D%5D?strength-weight-map=%257B%2522MEDLINE_STRENGTH_AB%2522:1.0,%2522HPO%2522:100.0%257D", "Show Evidence...")</f>
        <v>Show Evidence...</v>
      </c>
    </row>
    <row r="3183" spans="1:10" ht="12.75">
      <c r="A3183" s="2" t="s">
        <v>50</v>
      </c>
      <c r="B3183" s="2" t="s">
        <v>4216</v>
      </c>
      <c r="C3183" s="2" t="s">
        <v>24</v>
      </c>
      <c r="D3183" s="2" t="s">
        <v>4217</v>
      </c>
      <c r="E3183" s="2" t="s">
        <v>704</v>
      </c>
      <c r="F3183" s="11" t="s">
        <v>1802</v>
      </c>
      <c r="G3183" t="s">
        <v>37</v>
      </c>
      <c r="H3183" t="s">
        <v>1803</v>
      </c>
      <c r="I3183" t="s">
        <v>4233</v>
      </c>
      <c r="J3183" s="6" t="str">
        <f>HYPERLINK("https://www.biovista.com/db/link/%5B%5B%22Disease%7CSSADH%20Deficiency%22%5D,%20%5B%22Pathway%7Csequestering%20of%20neurotransmitter%22%5D%5D?strength-weight-map=%257B%2522MEDLINE_STRENGTH_AB%2522:1.0,%2522HPO%2522:100.0%257D", "Show Evidence...")</f>
        <v>Show Evidence...</v>
      </c>
    </row>
    <row r="3184" spans="1:10" ht="12.75">
      <c r="A3184" s="2" t="s">
        <v>50</v>
      </c>
      <c r="B3184" s="2" t="s">
        <v>4216</v>
      </c>
      <c r="C3184" s="2" t="s">
        <v>24</v>
      </c>
      <c r="D3184" s="2" t="s">
        <v>4217</v>
      </c>
      <c r="E3184" s="2" t="s">
        <v>704</v>
      </c>
      <c r="F3184" s="11" t="s">
        <v>723</v>
      </c>
      <c r="G3184" t="s">
        <v>37</v>
      </c>
      <c r="H3184" t="s">
        <v>724</v>
      </c>
      <c r="I3184" t="s">
        <v>4233</v>
      </c>
      <c r="J3184" s="6" t="str">
        <f>HYPERLINK("https://www.biovista.com/db/link/%5B%5B%22Disease%7CSSADH%20Deficiency%22%5D,%20%5B%22Pathway%7Ctranslation%22%5D%5D?strength-weight-map=%257B%2522MEDLINE_STRENGTH_AB%2522:1.0,%2522HPO%2522:100.0%257D", "Show Evidence...")</f>
        <v>Show Evidence...</v>
      </c>
    </row>
    <row r="3185" spans="1:10" ht="12.75">
      <c r="A3185" s="2" t="s">
        <v>50</v>
      </c>
      <c r="B3185" s="2" t="s">
        <v>4216</v>
      </c>
      <c r="C3185" s="2" t="s">
        <v>24</v>
      </c>
      <c r="D3185" s="2" t="s">
        <v>4217</v>
      </c>
      <c r="E3185" s="2" t="s">
        <v>704</v>
      </c>
      <c r="F3185" s="11" t="s">
        <v>4443</v>
      </c>
      <c r="G3185" t="s">
        <v>37</v>
      </c>
      <c r="H3185" t="s">
        <v>4444</v>
      </c>
      <c r="I3185" t="s">
        <v>4242</v>
      </c>
      <c r="J3185" s="6" t="str">
        <f>HYPERLINK("https://www.biovista.com/db/link/%5B%5B%22Disease%7CSSADH%20Deficiency%22%5D,%20%5B%22Pathway%7Cacetaldehyde%20metabolic%20process%22%5D%5D?strength-weight-map=%257B%2522MEDLINE_STRENGTH_AB%2522:1.0,%2522HPO%2522:100.0%257D", "Show Evidence...")</f>
        <v>Show Evidence...</v>
      </c>
    </row>
    <row r="3186" spans="1:10" ht="12.75">
      <c r="A3186" s="2" t="s">
        <v>50</v>
      </c>
      <c r="B3186" s="2" t="s">
        <v>4216</v>
      </c>
      <c r="C3186" s="2" t="s">
        <v>24</v>
      </c>
      <c r="D3186" s="2" t="s">
        <v>4217</v>
      </c>
      <c r="E3186" s="2" t="s">
        <v>704</v>
      </c>
      <c r="F3186" s="11" t="s">
        <v>4445</v>
      </c>
      <c r="G3186" t="s">
        <v>37</v>
      </c>
      <c r="H3186" t="s">
        <v>4446</v>
      </c>
      <c r="I3186" t="s">
        <v>4242</v>
      </c>
      <c r="J3186" s="6" t="str">
        <f>HYPERLINK("https://www.biovista.com/db/link/%5B%5B%22Disease%7CSSADH%20Deficiency%22%5D,%20%5B%22Pathway%7Cacetate%20metabolic%20process%22%5D%5D?strength-weight-map=%257B%2522MEDLINE_STRENGTH_AB%2522:1.0,%2522HPO%2522:100.0%257D", "Show Evidence...")</f>
        <v>Show Evidence...</v>
      </c>
    </row>
    <row r="3187" spans="1:10" ht="12.75">
      <c r="A3187" s="2" t="s">
        <v>50</v>
      </c>
      <c r="B3187" s="2" t="s">
        <v>4216</v>
      </c>
      <c r="C3187" s="2" t="s">
        <v>24</v>
      </c>
      <c r="D3187" s="2" t="s">
        <v>4217</v>
      </c>
      <c r="E3187" s="2" t="s">
        <v>704</v>
      </c>
      <c r="F3187" s="11" t="s">
        <v>4447</v>
      </c>
      <c r="G3187" t="s">
        <v>37</v>
      </c>
      <c r="H3187" t="s">
        <v>4448</v>
      </c>
      <c r="I3187" t="s">
        <v>4242</v>
      </c>
      <c r="J3187" s="6" t="str">
        <f>HYPERLINK("https://www.biovista.com/db/link/%5B%5B%22Disease%7CSSADH%20Deficiency%22%5D,%20%5B%22Pathway%7Cacetyl-CoA%20biosynthetic%20process%20from%20pyruvate%22%5D%5D?strength-weight-map=%257B%2522MEDLINE_STRENGTH_AB%2522:1.0,%2522HPO%2522:100.0%257D", "Show Evidence...")</f>
        <v>Show Evidence...</v>
      </c>
    </row>
    <row r="3188" spans="1:10" ht="12.75">
      <c r="A3188" s="2" t="s">
        <v>50</v>
      </c>
      <c r="B3188" s="2" t="s">
        <v>4216</v>
      </c>
      <c r="C3188" s="2" t="s">
        <v>24</v>
      </c>
      <c r="D3188" s="2" t="s">
        <v>4217</v>
      </c>
      <c r="E3188" s="2" t="s">
        <v>704</v>
      </c>
      <c r="F3188" s="11" t="s">
        <v>1470</v>
      </c>
      <c r="G3188" t="s">
        <v>37</v>
      </c>
      <c r="H3188" t="s">
        <v>1471</v>
      </c>
      <c r="I3188" t="s">
        <v>4242</v>
      </c>
      <c r="J3188" s="6" t="str">
        <f>HYPERLINK("https://www.biovista.com/db/link/%5B%5B%22Disease%7CSSADH%20Deficiency%22%5D,%20%5B%22Pathway%7Cbrain%20development%22%5D%5D?strength-weight-map=%257B%2522MEDLINE_STRENGTH_AB%2522:1.0,%2522HPO%2522:100.0%257D", "Show Evidence...")</f>
        <v>Show Evidence...</v>
      </c>
    </row>
    <row r="3189" spans="1:10" ht="12.75">
      <c r="A3189" s="2" t="s">
        <v>50</v>
      </c>
      <c r="B3189" s="2" t="s">
        <v>4216</v>
      </c>
      <c r="C3189" s="2" t="s">
        <v>24</v>
      </c>
      <c r="D3189" s="2" t="s">
        <v>4217</v>
      </c>
      <c r="E3189" s="2" t="s">
        <v>704</v>
      </c>
      <c r="F3189" s="11" t="s">
        <v>2314</v>
      </c>
      <c r="G3189" t="s">
        <v>37</v>
      </c>
      <c r="H3189" t="s">
        <v>2315</v>
      </c>
      <c r="I3189" t="s">
        <v>4242</v>
      </c>
      <c r="J3189" s="6" t="str">
        <f>HYPERLINK("https://www.biovista.com/db/link/%5B%5B%22Disease%7CSSADH%20Deficiency%22%5D,%20%5B%22Pathway%7Ccellular%20metabolic%20process%22%5D%5D?strength-weight-map=%257B%2522MEDLINE_STRENGTH_AB%2522:1.0,%2522HPO%2522:100.0%257D", "Show Evidence...")</f>
        <v>Show Evidence...</v>
      </c>
    </row>
    <row r="3190" spans="1:10" ht="12.75">
      <c r="A3190" s="2" t="s">
        <v>50</v>
      </c>
      <c r="B3190" s="2" t="s">
        <v>4216</v>
      </c>
      <c r="C3190" s="2" t="s">
        <v>24</v>
      </c>
      <c r="D3190" s="2" t="s">
        <v>4217</v>
      </c>
      <c r="E3190" s="2" t="s">
        <v>704</v>
      </c>
      <c r="F3190" s="11" t="s">
        <v>2346</v>
      </c>
      <c r="G3190" t="s">
        <v>37</v>
      </c>
      <c r="H3190" t="s">
        <v>2347</v>
      </c>
      <c r="I3190" t="s">
        <v>4242</v>
      </c>
      <c r="J3190" s="6" t="str">
        <f>HYPERLINK("https://www.biovista.com/db/link/%5B%5B%22Disease%7CSSADH%20Deficiency%22%5D,%20%5B%22Pathway%7Ccentral%20nervous%20system%20development%22%5D%5D?strength-weight-map=%257B%2522MEDLINE_STRENGTH_AB%2522:1.0,%2522HPO%2522:100.0%257D", "Show Evidence...")</f>
        <v>Show Evidence...</v>
      </c>
    </row>
    <row r="3191" spans="1:10" ht="12.75">
      <c r="A3191" s="2" t="s">
        <v>50</v>
      </c>
      <c r="B3191" s="2" t="s">
        <v>4216</v>
      </c>
      <c r="C3191" s="2" t="s">
        <v>24</v>
      </c>
      <c r="D3191" s="2" t="s">
        <v>4217</v>
      </c>
      <c r="E3191" s="2" t="s">
        <v>704</v>
      </c>
      <c r="F3191" s="11" t="s">
        <v>4449</v>
      </c>
      <c r="G3191" t="s">
        <v>37</v>
      </c>
      <c r="H3191" t="s">
        <v>4450</v>
      </c>
      <c r="I3191" t="s">
        <v>4242</v>
      </c>
      <c r="J3191" s="6" t="str">
        <f>HYPERLINK("https://www.biovista.com/db/link/%5B%5B%22Disease%7CSSADH%20Deficiency%22%5D,%20%5B%22Pathway%7Ccholesterol%20biosynthetic%20process%22%5D%5D?strength-weight-map=%257B%2522MEDLINE_STRENGTH_AB%2522:1.0,%2522HPO%2522:100.0%257D", "Show Evidence...")</f>
        <v>Show Evidence...</v>
      </c>
    </row>
    <row r="3192" spans="1:10" ht="12.75">
      <c r="A3192" s="2" t="s">
        <v>50</v>
      </c>
      <c r="B3192" s="2" t="s">
        <v>4216</v>
      </c>
      <c r="C3192" s="2" t="s">
        <v>24</v>
      </c>
      <c r="D3192" s="2" t="s">
        <v>4217</v>
      </c>
      <c r="E3192" s="2" t="s">
        <v>704</v>
      </c>
      <c r="F3192" s="11" t="s">
        <v>815</v>
      </c>
      <c r="G3192" t="s">
        <v>37</v>
      </c>
      <c r="H3192" t="s">
        <v>816</v>
      </c>
      <c r="I3192" t="s">
        <v>4242</v>
      </c>
      <c r="J3192" s="6" t="str">
        <f>HYPERLINK("https://www.biovista.com/db/link/%5B%5B%22Disease%7CSSADH%20Deficiency%22%5D,%20%5B%22Pathway%7Ccircadian%20rhythm%22%5D%5D?strength-weight-map=%257B%2522MEDLINE_STRENGTH_AB%2522:1.0,%2522HPO%2522:100.0%257D", "Show Evidence...")</f>
        <v>Show Evidence...</v>
      </c>
    </row>
    <row r="3193" spans="1:10" ht="12.75">
      <c r="A3193" s="2" t="s">
        <v>50</v>
      </c>
      <c r="B3193" s="2" t="s">
        <v>4216</v>
      </c>
      <c r="C3193" s="2" t="s">
        <v>24</v>
      </c>
      <c r="D3193" s="2" t="s">
        <v>4217</v>
      </c>
      <c r="E3193" s="2" t="s">
        <v>704</v>
      </c>
      <c r="F3193" s="11" t="s">
        <v>4451</v>
      </c>
      <c r="G3193" t="s">
        <v>37</v>
      </c>
      <c r="H3193" t="s">
        <v>4452</v>
      </c>
      <c r="I3193" t="s">
        <v>4242</v>
      </c>
      <c r="J3193" s="6" t="str">
        <f>HYPERLINK("https://www.biovista.com/db/link/%5B%5B%22Disease%7CSSADH%20Deficiency%22%5D,%20%5B%22Pathway%7Cdetection%20of%20nutrient%22%5D%5D?strength-weight-map=%257B%2522MEDLINE_STRENGTH_AB%2522:1.0,%2522HPO%2522:100.0%257D", "Show Evidence...")</f>
        <v>Show Evidence...</v>
      </c>
    </row>
    <row r="3194" spans="1:10" ht="12.75">
      <c r="A3194" s="2" t="s">
        <v>50</v>
      </c>
      <c r="B3194" s="2" t="s">
        <v>4216</v>
      </c>
      <c r="C3194" s="2" t="s">
        <v>24</v>
      </c>
      <c r="D3194" s="2" t="s">
        <v>4217</v>
      </c>
      <c r="E3194" s="2" t="s">
        <v>704</v>
      </c>
      <c r="F3194" s="11" t="s">
        <v>4453</v>
      </c>
      <c r="G3194" t="s">
        <v>37</v>
      </c>
      <c r="H3194" t="s">
        <v>4454</v>
      </c>
      <c r="I3194" t="s">
        <v>4242</v>
      </c>
      <c r="J3194" s="6" t="str">
        <f>HYPERLINK("https://www.biovista.com/db/link/%5B%5B%22Disease%7CSSADH%20Deficiency%22%5D,%20%5B%22Pathway%7CDNA%20amplification%22%5D%5D?strength-weight-map=%257B%2522MEDLINE_STRENGTH_AB%2522:1.0,%2522HPO%2522:100.0%257D", "Show Evidence...")</f>
        <v>Show Evidence...</v>
      </c>
    </row>
    <row r="3195" spans="1:10" ht="12.75">
      <c r="A3195" s="2" t="s">
        <v>50</v>
      </c>
      <c r="B3195" s="2" t="s">
        <v>4216</v>
      </c>
      <c r="C3195" s="2" t="s">
        <v>24</v>
      </c>
      <c r="D3195" s="2" t="s">
        <v>4217</v>
      </c>
      <c r="E3195" s="2" t="s">
        <v>704</v>
      </c>
      <c r="F3195" s="11" t="s">
        <v>4455</v>
      </c>
      <c r="G3195" t="s">
        <v>37</v>
      </c>
      <c r="H3195" t="s">
        <v>4456</v>
      </c>
      <c r="I3195" t="s">
        <v>4242</v>
      </c>
      <c r="J3195" s="6" t="str">
        <f>HYPERLINK("https://www.biovista.com/db/link/%5B%5B%22Disease%7CSSADH%20Deficiency%22%5D,%20%5B%22Pathway%7Cdopamine%20metabolic%20process%22%5D%5D?strength-weight-map=%257B%2522MEDLINE_STRENGTH_AB%2522:1.0,%2522HPO%2522:100.0%257D", "Show Evidence...")</f>
        <v>Show Evidence...</v>
      </c>
    </row>
    <row r="3196" spans="1:10" ht="12.75">
      <c r="A3196" s="2" t="s">
        <v>50</v>
      </c>
      <c r="B3196" s="2" t="s">
        <v>4216</v>
      </c>
      <c r="C3196" s="2" t="s">
        <v>24</v>
      </c>
      <c r="D3196" s="2" t="s">
        <v>4217</v>
      </c>
      <c r="E3196" s="2" t="s">
        <v>704</v>
      </c>
      <c r="F3196" s="11" t="s">
        <v>791</v>
      </c>
      <c r="G3196" t="s">
        <v>37</v>
      </c>
      <c r="H3196" t="s">
        <v>792</v>
      </c>
      <c r="I3196" t="s">
        <v>4242</v>
      </c>
      <c r="J3196" s="6" t="str">
        <f>HYPERLINK("https://www.biovista.com/db/link/%5B%5B%22Disease%7CSSADH%20Deficiency%22%5D,%20%5B%22Pathway%7Celectron%20transport%20chain%22%5D%5D?strength-weight-map=%257B%2522MEDLINE_STRENGTH_AB%2522:1.0,%2522HPO%2522:100.0%257D", "Show Evidence...")</f>
        <v>Show Evidence...</v>
      </c>
    </row>
    <row r="3197" spans="1:10" ht="12.75">
      <c r="A3197" s="2" t="s">
        <v>50</v>
      </c>
      <c r="B3197" s="2" t="s">
        <v>4216</v>
      </c>
      <c r="C3197" s="2" t="s">
        <v>24</v>
      </c>
      <c r="D3197" s="2" t="s">
        <v>4217</v>
      </c>
      <c r="E3197" s="2" t="s">
        <v>704</v>
      </c>
      <c r="F3197" s="11" t="s">
        <v>1520</v>
      </c>
      <c r="G3197" t="s">
        <v>37</v>
      </c>
      <c r="H3197" t="s">
        <v>1521</v>
      </c>
      <c r="I3197" t="s">
        <v>4242</v>
      </c>
      <c r="J3197" s="6" t="str">
        <f>HYPERLINK("https://www.biovista.com/db/link/%5B%5B%22Disease%7CSSADH%20Deficiency%22%5D,%20%5B%22Pathway%7Cexport%20across%20plasma%20membrane%22%5D%5D?strength-weight-map=%257B%2522MEDLINE_STRENGTH_AB%2522:1.0,%2522HPO%2522:100.0%257D", "Show Evidence...")</f>
        <v>Show Evidence...</v>
      </c>
    </row>
    <row r="3198" spans="1:10" ht="12.75">
      <c r="A3198" s="2" t="s">
        <v>50</v>
      </c>
      <c r="B3198" s="2" t="s">
        <v>4216</v>
      </c>
      <c r="C3198" s="2" t="s">
        <v>24</v>
      </c>
      <c r="D3198" s="2" t="s">
        <v>4217</v>
      </c>
      <c r="E3198" s="2" t="s">
        <v>704</v>
      </c>
      <c r="F3198" s="11" t="s">
        <v>1478</v>
      </c>
      <c r="G3198" t="s">
        <v>37</v>
      </c>
      <c r="H3198" t="s">
        <v>1479</v>
      </c>
      <c r="I3198" t="s">
        <v>4242</v>
      </c>
      <c r="J3198" s="6" t="str">
        <f>HYPERLINK("https://www.biovista.com/db/link/%5B%5B%22Disease%7CSSADH%20Deficiency%22%5D,%20%5B%22Pathway%7Cfatty%20acid%20oxidation%22%5D%5D?strength-weight-map=%257B%2522MEDLINE_STRENGTH_AB%2522:1.0,%2522HPO%2522:100.0%257D", "Show Evidence...")</f>
        <v>Show Evidence...</v>
      </c>
    </row>
    <row r="3199" spans="1:10" ht="12.75">
      <c r="A3199" s="2" t="s">
        <v>50</v>
      </c>
      <c r="B3199" s="2" t="s">
        <v>4216</v>
      </c>
      <c r="C3199" s="2" t="s">
        <v>24</v>
      </c>
      <c r="D3199" s="2" t="s">
        <v>4217</v>
      </c>
      <c r="E3199" s="2" t="s">
        <v>704</v>
      </c>
      <c r="F3199" s="11" t="s">
        <v>821</v>
      </c>
      <c r="G3199" t="s">
        <v>37</v>
      </c>
      <c r="H3199" t="s">
        <v>822</v>
      </c>
      <c r="I3199" t="s">
        <v>4242</v>
      </c>
      <c r="J3199" s="6" t="str">
        <f>HYPERLINK("https://www.biovista.com/db/link/%5B%5B%22Disease%7CSSADH%20Deficiency%22%5D,%20%5B%22Pathway%7Cfemale%20pregnancy%22%5D%5D?strength-weight-map=%257B%2522MEDLINE_STRENGTH_AB%2522:1.0,%2522HPO%2522:100.0%257D", "Show Evidence...")</f>
        <v>Show Evidence...</v>
      </c>
    </row>
    <row r="3200" spans="1:10" ht="12.75">
      <c r="A3200" s="2" t="s">
        <v>50</v>
      </c>
      <c r="B3200" s="2" t="s">
        <v>4216</v>
      </c>
      <c r="C3200" s="2" t="s">
        <v>24</v>
      </c>
      <c r="D3200" s="2" t="s">
        <v>4217</v>
      </c>
      <c r="E3200" s="2" t="s">
        <v>704</v>
      </c>
      <c r="F3200" s="11" t="s">
        <v>3734</v>
      </c>
      <c r="G3200" t="s">
        <v>37</v>
      </c>
      <c r="H3200" t="s">
        <v>3735</v>
      </c>
      <c r="I3200" t="s">
        <v>4242</v>
      </c>
      <c r="J3200" s="6" t="str">
        <f>HYPERLINK("https://www.biovista.com/db/link/%5B%5B%22Disease%7CSSADH%20Deficiency%22%5D,%20%5B%22Pathway%7Cfolic%20acid%20transport%22%5D%5D?strength-weight-map=%257B%2522MEDLINE_STRENGTH_AB%2522:1.0,%2522HPO%2522:100.0%257D", "Show Evidence...")</f>
        <v>Show Evidence...</v>
      </c>
    </row>
    <row r="3201" spans="1:10" ht="12.75">
      <c r="A3201" s="2" t="s">
        <v>50</v>
      </c>
      <c r="B3201" s="2" t="s">
        <v>4216</v>
      </c>
      <c r="C3201" s="2" t="s">
        <v>24</v>
      </c>
      <c r="D3201" s="2" t="s">
        <v>4217</v>
      </c>
      <c r="E3201" s="2" t="s">
        <v>704</v>
      </c>
      <c r="F3201" s="11" t="s">
        <v>4457</v>
      </c>
      <c r="G3201" t="s">
        <v>37</v>
      </c>
      <c r="H3201" t="s">
        <v>4458</v>
      </c>
      <c r="I3201" t="s">
        <v>4242</v>
      </c>
      <c r="J3201" s="6" t="str">
        <f>HYPERLINK("https://www.biovista.com/db/link/%5B%5B%22Disease%7CSSADH%20Deficiency%22%5D,%20%5B%22Pathway%7Cglutamine%20biosynthetic%20process%22%5D%5D?strength-weight-map=%257B%2522MEDLINE_STRENGTH_AB%2522:1.0,%2522HPO%2522:100.0%257D", "Show Evidence...")</f>
        <v>Show Evidence...</v>
      </c>
    </row>
    <row r="3202" spans="1:10" ht="12.75">
      <c r="A3202" s="2" t="s">
        <v>50</v>
      </c>
      <c r="B3202" s="2" t="s">
        <v>4216</v>
      </c>
      <c r="C3202" s="2" t="s">
        <v>24</v>
      </c>
      <c r="D3202" s="2" t="s">
        <v>4217</v>
      </c>
      <c r="E3202" s="2" t="s">
        <v>704</v>
      </c>
      <c r="F3202" s="11" t="s">
        <v>3757</v>
      </c>
      <c r="G3202" t="s">
        <v>37</v>
      </c>
      <c r="H3202" t="s">
        <v>3758</v>
      </c>
      <c r="I3202" t="s">
        <v>4242</v>
      </c>
      <c r="J3202" s="6" t="str">
        <f>HYPERLINK("https://www.biovista.com/db/link/%5B%5B%22Disease%7CSSADH%20Deficiency%22%5D,%20%5B%22Pathway%7Cglycine%20catabolic%20process%22%5D%5D?strength-weight-map=%257B%2522MEDLINE_STRENGTH_AB%2522:1.0,%2522HPO%2522:100.0%257D", "Show Evidence...")</f>
        <v>Show Evidence...</v>
      </c>
    </row>
    <row r="3203" spans="1:10" ht="12.75">
      <c r="A3203" s="2" t="s">
        <v>50</v>
      </c>
      <c r="B3203" s="2" t="s">
        <v>4216</v>
      </c>
      <c r="C3203" s="2" t="s">
        <v>24</v>
      </c>
      <c r="D3203" s="2" t="s">
        <v>4217</v>
      </c>
      <c r="E3203" s="2" t="s">
        <v>704</v>
      </c>
      <c r="F3203" s="11" t="s">
        <v>4459</v>
      </c>
      <c r="G3203" t="s">
        <v>37</v>
      </c>
      <c r="H3203" t="s">
        <v>4460</v>
      </c>
      <c r="I3203" t="s">
        <v>4242</v>
      </c>
      <c r="J3203" s="6" t="str">
        <f>HYPERLINK("https://www.biovista.com/db/link/%5B%5B%22Disease%7CSSADH%20Deficiency%22%5D,%20%5B%22Pathway%7Cheme%20biosynthetic%20process%22%5D%5D?strength-weight-map=%257B%2522MEDLINE_STRENGTH_AB%2522:1.0,%2522HPO%2522:100.0%257D", "Show Evidence...")</f>
        <v>Show Evidence...</v>
      </c>
    </row>
    <row r="3204" spans="1:10" ht="12.75">
      <c r="A3204" s="2" t="s">
        <v>50</v>
      </c>
      <c r="B3204" s="2" t="s">
        <v>4216</v>
      </c>
      <c r="C3204" s="2" t="s">
        <v>24</v>
      </c>
      <c r="D3204" s="2" t="s">
        <v>4217</v>
      </c>
      <c r="E3204" s="2" t="s">
        <v>704</v>
      </c>
      <c r="F3204" s="11" t="s">
        <v>711</v>
      </c>
      <c r="G3204" t="s">
        <v>37</v>
      </c>
      <c r="H3204" t="s">
        <v>712</v>
      </c>
      <c r="I3204" t="s">
        <v>4242</v>
      </c>
      <c r="J3204" s="6" t="str">
        <f>HYPERLINK("https://www.biovista.com/db/link/%5B%5B%22Disease%7CSSADH%20Deficiency%22%5D,%20%5B%22Pathway%7Cinflammatory%20response%22%5D%5D?strength-weight-map=%257B%2522MEDLINE_STRENGTH_AB%2522:1.0,%2522HPO%2522:100.0%257D", "Show Evidence...")</f>
        <v>Show Evidence...</v>
      </c>
    </row>
    <row r="3205" spans="1:10" ht="12.75">
      <c r="A3205" s="2" t="s">
        <v>50</v>
      </c>
      <c r="B3205" s="2" t="s">
        <v>4216</v>
      </c>
      <c r="C3205" s="2" t="s">
        <v>24</v>
      </c>
      <c r="D3205" s="2" t="s">
        <v>4217</v>
      </c>
      <c r="E3205" s="2" t="s">
        <v>704</v>
      </c>
      <c r="F3205" s="11" t="s">
        <v>4461</v>
      </c>
      <c r="G3205" t="s">
        <v>37</v>
      </c>
      <c r="H3205" t="s">
        <v>4462</v>
      </c>
      <c r="I3205" t="s">
        <v>4242</v>
      </c>
      <c r="J3205" s="6" t="str">
        <f>HYPERLINK("https://www.biovista.com/db/link/%5B%5B%22Disease%7CSSADH%20Deficiency%22%5D,%20%5B%22Pathway%7Cintracellular%20amino%20acid%20homeostasis%22%5D%5D?strength-weight-map=%257B%2522MEDLINE_STRENGTH_AB%2522:1.0,%2522HPO%2522:100.0%257D", "Show Evidence...")</f>
        <v>Show Evidence...</v>
      </c>
    </row>
    <row r="3206" spans="1:10" ht="12.75">
      <c r="A3206" s="2" t="s">
        <v>50</v>
      </c>
      <c r="B3206" s="2" t="s">
        <v>4216</v>
      </c>
      <c r="C3206" s="2" t="s">
        <v>24</v>
      </c>
      <c r="D3206" s="2" t="s">
        <v>4217</v>
      </c>
      <c r="E3206" s="2" t="s">
        <v>704</v>
      </c>
      <c r="F3206" s="11" t="s">
        <v>4463</v>
      </c>
      <c r="G3206" t="s">
        <v>37</v>
      </c>
      <c r="H3206" t="s">
        <v>4464</v>
      </c>
      <c r="I3206" t="s">
        <v>4242</v>
      </c>
      <c r="J3206" s="6" t="str">
        <f>HYPERLINK("https://www.biovista.com/db/link/%5B%5B%22Disease%7CSSADH%20Deficiency%22%5D,%20%5B%22Pathway%7Clactone%20biosynthetic%20process%22%5D%5D?strength-weight-map=%257B%2522MEDLINE_STRENGTH_AB%2522:1.0,%2522HPO%2522:100.0%257D", "Show Evidence...")</f>
        <v>Show Evidence...</v>
      </c>
    </row>
    <row r="3207" spans="1:10" ht="12.75">
      <c r="A3207" s="2" t="s">
        <v>50</v>
      </c>
      <c r="B3207" s="2" t="s">
        <v>4216</v>
      </c>
      <c r="C3207" s="2" t="s">
        <v>24</v>
      </c>
      <c r="D3207" s="2" t="s">
        <v>4217</v>
      </c>
      <c r="E3207" s="2" t="s">
        <v>704</v>
      </c>
      <c r="F3207" s="11" t="s">
        <v>3763</v>
      </c>
      <c r="G3207" t="s">
        <v>37</v>
      </c>
      <c r="H3207" t="s">
        <v>3764</v>
      </c>
      <c r="I3207" t="s">
        <v>4242</v>
      </c>
      <c r="J3207" s="6" t="str">
        <f>HYPERLINK("https://www.biovista.com/db/link/%5B%5B%22Disease%7CSSADH%20Deficiency%22%5D,%20%5B%22Pathway%7Clight%20absorption%22%5D%5D?strength-weight-map=%257B%2522MEDLINE_STRENGTH_AB%2522:1.0,%2522HPO%2522:100.0%257D", "Show Evidence...")</f>
        <v>Show Evidence...</v>
      </c>
    </row>
    <row r="3208" spans="1:10" ht="12.75">
      <c r="A3208" s="2" t="s">
        <v>50</v>
      </c>
      <c r="B3208" s="2" t="s">
        <v>4216</v>
      </c>
      <c r="C3208" s="2" t="s">
        <v>24</v>
      </c>
      <c r="D3208" s="2" t="s">
        <v>4217</v>
      </c>
      <c r="E3208" s="2" t="s">
        <v>704</v>
      </c>
      <c r="F3208" s="11" t="s">
        <v>2332</v>
      </c>
      <c r="G3208" t="s">
        <v>37</v>
      </c>
      <c r="H3208" t="s">
        <v>2333</v>
      </c>
      <c r="I3208" t="s">
        <v>4242</v>
      </c>
      <c r="J3208" s="6" t="str">
        <f>HYPERLINK("https://www.biovista.com/db/link/%5B%5B%22Disease%7CSSADH%20Deficiency%22%5D,%20%5B%22Pathway%7Clipid%20biosynthetic%20process%22%5D%5D?strength-weight-map=%257B%2522MEDLINE_STRENGTH_AB%2522:1.0,%2522HPO%2522:100.0%257D", "Show Evidence...")</f>
        <v>Show Evidence...</v>
      </c>
    </row>
    <row r="3209" spans="1:10" ht="12.75">
      <c r="A3209" s="2" t="s">
        <v>50</v>
      </c>
      <c r="B3209" s="2" t="s">
        <v>4216</v>
      </c>
      <c r="C3209" s="2" t="s">
        <v>24</v>
      </c>
      <c r="D3209" s="2" t="s">
        <v>4217</v>
      </c>
      <c r="E3209" s="2" t="s">
        <v>704</v>
      </c>
      <c r="F3209" s="11" t="s">
        <v>799</v>
      </c>
      <c r="G3209" t="s">
        <v>37</v>
      </c>
      <c r="H3209" t="s">
        <v>800</v>
      </c>
      <c r="I3209" t="s">
        <v>4242</v>
      </c>
      <c r="J3209" s="6" t="str">
        <f>HYPERLINK("https://www.biovista.com/db/link/%5B%5B%22Disease%7CSSADH%20Deficiency%22%5D,%20%5B%22Pathway%7Clipid%20metabolic%20process%22%5D%5D?strength-weight-map=%257B%2522MEDLINE_STRENGTH_AB%2522:1.0,%2522HPO%2522:100.0%257D", "Show Evidence...")</f>
        <v>Show Evidence...</v>
      </c>
    </row>
    <row r="3210" spans="1:10" ht="12.75">
      <c r="A3210" s="2" t="s">
        <v>50</v>
      </c>
      <c r="B3210" s="2" t="s">
        <v>4216</v>
      </c>
      <c r="C3210" s="2" t="s">
        <v>24</v>
      </c>
      <c r="D3210" s="2" t="s">
        <v>4217</v>
      </c>
      <c r="E3210" s="2" t="s">
        <v>704</v>
      </c>
      <c r="F3210" s="11" t="s">
        <v>4181</v>
      </c>
      <c r="G3210" t="s">
        <v>37</v>
      </c>
      <c r="H3210" t="s">
        <v>4182</v>
      </c>
      <c r="I3210" t="s">
        <v>4242</v>
      </c>
      <c r="J3210" s="6" t="str">
        <f>HYPERLINK("https://www.biovista.com/db/link/%5B%5B%22Disease%7CSSADH%20Deficiency%22%5D,%20%5B%22Pathway%7Cmacroautophagy%22%5D%5D?strength-weight-map=%257B%2522MEDLINE_STRENGTH_AB%2522:1.0,%2522HPO%2522:100.0%257D", "Show Evidence...")</f>
        <v>Show Evidence...</v>
      </c>
    </row>
    <row r="3211" spans="1:10" ht="12.75">
      <c r="A3211" s="2" t="s">
        <v>50</v>
      </c>
      <c r="B3211" s="2" t="s">
        <v>4216</v>
      </c>
      <c r="C3211" s="2" t="s">
        <v>24</v>
      </c>
      <c r="D3211" s="2" t="s">
        <v>4217</v>
      </c>
      <c r="E3211" s="2" t="s">
        <v>704</v>
      </c>
      <c r="F3211" s="11" t="s">
        <v>4158</v>
      </c>
      <c r="G3211" t="s">
        <v>37</v>
      </c>
      <c r="H3211" t="s">
        <v>4159</v>
      </c>
      <c r="I3211" t="s">
        <v>4242</v>
      </c>
      <c r="J3211" s="6" t="str">
        <f>HYPERLINK("https://www.biovista.com/db/link/%5B%5B%22Disease%7CSSADH%20Deficiency%22%5D,%20%5B%22Pathway%7Cmotor%20behavior%22%5D%5D?strength-weight-map=%257B%2522MEDLINE_STRENGTH_AB%2522:1.0,%2522HPO%2522:100.0%257D", "Show Evidence...")</f>
        <v>Show Evidence...</v>
      </c>
    </row>
    <row r="3212" spans="1:10" ht="12.75">
      <c r="A3212" s="2" t="s">
        <v>50</v>
      </c>
      <c r="B3212" s="2" t="s">
        <v>4216</v>
      </c>
      <c r="C3212" s="2" t="s">
        <v>24</v>
      </c>
      <c r="D3212" s="2" t="s">
        <v>4217</v>
      </c>
      <c r="E3212" s="2" t="s">
        <v>704</v>
      </c>
      <c r="F3212" s="11" t="s">
        <v>731</v>
      </c>
      <c r="G3212" t="s">
        <v>37</v>
      </c>
      <c r="H3212" t="s">
        <v>732</v>
      </c>
      <c r="I3212" t="s">
        <v>4242</v>
      </c>
      <c r="J3212" s="6" t="str">
        <f>HYPERLINK("https://www.biovista.com/db/link/%5B%5B%22Disease%7CSSADH%20Deficiency%22%5D,%20%5B%22Pathway%7Cneurogenesis%22%5D%5D?strength-weight-map=%257B%2522MEDLINE_STRENGTH_AB%2522:1.0,%2522HPO%2522:100.0%257D", "Show Evidence...")</f>
        <v>Show Evidence...</v>
      </c>
    </row>
    <row r="3213" spans="1:10" ht="12.75">
      <c r="A3213" s="2" t="s">
        <v>50</v>
      </c>
      <c r="B3213" s="2" t="s">
        <v>4216</v>
      </c>
      <c r="C3213" s="2" t="s">
        <v>24</v>
      </c>
      <c r="D3213" s="2" t="s">
        <v>4217</v>
      </c>
      <c r="E3213" s="2" t="s">
        <v>704</v>
      </c>
      <c r="F3213" s="11" t="s">
        <v>1482</v>
      </c>
      <c r="G3213" t="s">
        <v>37</v>
      </c>
      <c r="H3213" t="s">
        <v>1483</v>
      </c>
      <c r="I3213" t="s">
        <v>4242</v>
      </c>
      <c r="J3213" s="6" t="str">
        <f>HYPERLINK("https://www.biovista.com/db/link/%5B%5B%22Disease%7CSSADH%20Deficiency%22%5D,%20%5B%22Pathway%7Corganic%20acid%20metabolic%20process%22%5D%5D?strength-weight-map=%257B%2522MEDLINE_STRENGTH_AB%2522:1.0,%2522HPO%2522:100.0%257D", "Show Evidence...")</f>
        <v>Show Evidence...</v>
      </c>
    </row>
    <row r="3214" spans="1:10" ht="12.75">
      <c r="A3214" s="2" t="s">
        <v>50</v>
      </c>
      <c r="B3214" s="2" t="s">
        <v>4216</v>
      </c>
      <c r="C3214" s="2" t="s">
        <v>24</v>
      </c>
      <c r="D3214" s="2" t="s">
        <v>4217</v>
      </c>
      <c r="E3214" s="2" t="s">
        <v>704</v>
      </c>
      <c r="F3214" s="11" t="s">
        <v>4465</v>
      </c>
      <c r="G3214" t="s">
        <v>37</v>
      </c>
      <c r="H3214" t="s">
        <v>4466</v>
      </c>
      <c r="I3214" t="s">
        <v>4242</v>
      </c>
      <c r="J3214" s="6" t="str">
        <f>HYPERLINK("https://www.biovista.com/db/link/%5B%5B%22Disease%7CSSADH%20Deficiency%22%5D,%20%5B%22Pathway%7Cpexophagy%22%5D%5D?strength-weight-map=%257B%2522MEDLINE_STRENGTH_AB%2522:1.0,%2522HPO%2522:100.0%257D", "Show Evidence...")</f>
        <v>Show Evidence...</v>
      </c>
    </row>
    <row r="3215" spans="1:10" ht="12.75">
      <c r="A3215" s="2" t="s">
        <v>50</v>
      </c>
      <c r="B3215" s="2" t="s">
        <v>4216</v>
      </c>
      <c r="C3215" s="2" t="s">
        <v>24</v>
      </c>
      <c r="D3215" s="2" t="s">
        <v>4217</v>
      </c>
      <c r="E3215" s="2" t="s">
        <v>717</v>
      </c>
      <c r="F3215" s="11" t="s">
        <v>2340</v>
      </c>
      <c r="G3215" t="s">
        <v>37</v>
      </c>
      <c r="H3215" t="s">
        <v>2341</v>
      </c>
      <c r="I3215" t="s">
        <v>4242</v>
      </c>
      <c r="J3215" s="6" t="str">
        <f>HYPERLINK("https://www.biovista.com/db/link/%5B%5B%22Disease%7CSSADH%20Deficiency%22%5D,%20%5B%22Pathway%7Cpyruvate%20oxidation%22%5D%5D?strength-weight-map=%257B%2522MEDLINE_STRENGTH_AB%2522:1.0,%2522HPO%2522:100.0%257D", "Show Evidence...")</f>
        <v>Show Evidence...</v>
      </c>
    </row>
    <row r="3216" spans="1:10" ht="12.75">
      <c r="A3216" s="2" t="s">
        <v>50</v>
      </c>
      <c r="B3216" s="2" t="s">
        <v>4216</v>
      </c>
      <c r="C3216" s="2" t="s">
        <v>24</v>
      </c>
      <c r="D3216" s="2" t="s">
        <v>4217</v>
      </c>
      <c r="E3216" s="2" t="s">
        <v>704</v>
      </c>
      <c r="F3216" s="11" t="s">
        <v>1491</v>
      </c>
      <c r="G3216" t="s">
        <v>37</v>
      </c>
      <c r="H3216" t="s">
        <v>1492</v>
      </c>
      <c r="I3216" t="s">
        <v>4242</v>
      </c>
      <c r="J3216" s="6" t="str">
        <f>HYPERLINK("https://www.biovista.com/db/link/%5B%5B%22Disease%7CSSADH%20Deficiency%22%5D,%20%5B%22Pathway%7Creactive%20gliosis%22%5D%5D?strength-weight-map=%257B%2522MEDLINE_STRENGTH_AB%2522:1.0,%2522HPO%2522:100.0%257D", "Show Evidence...")</f>
        <v>Show Evidence...</v>
      </c>
    </row>
    <row r="3217" spans="1:10" ht="12.75">
      <c r="A3217" s="2" t="s">
        <v>50</v>
      </c>
      <c r="B3217" s="2" t="s">
        <v>4216</v>
      </c>
      <c r="C3217" s="2" t="s">
        <v>24</v>
      </c>
      <c r="D3217" s="2" t="s">
        <v>4217</v>
      </c>
      <c r="E3217" s="2" t="s">
        <v>704</v>
      </c>
      <c r="F3217" s="11" t="s">
        <v>4467</v>
      </c>
      <c r="G3217" t="s">
        <v>37</v>
      </c>
      <c r="H3217" t="s">
        <v>4468</v>
      </c>
      <c r="I3217" t="s">
        <v>4242</v>
      </c>
      <c r="J3217" s="6" t="str">
        <f>HYPERLINK("https://www.biovista.com/db/link/%5B%5B%22Disease%7CSSADH%20Deficiency%22%5D,%20%5B%22Pathway%7Cresponse%20to%20reactive%20oxygen%20species%22%5D%5D?strength-weight-map=%257B%2522MEDLINE_STRENGTH_AB%2522:1.0,%2522HPO%2522:100.0%257D", "Show Evidence...")</f>
        <v>Show Evidence...</v>
      </c>
    </row>
    <row r="3218" spans="1:10" ht="12.75">
      <c r="A3218" s="2" t="s">
        <v>50</v>
      </c>
      <c r="B3218" s="2" t="s">
        <v>4216</v>
      </c>
      <c r="C3218" s="2" t="s">
        <v>24</v>
      </c>
      <c r="D3218" s="2" t="s">
        <v>4217</v>
      </c>
      <c r="E3218" s="2" t="s">
        <v>704</v>
      </c>
      <c r="F3218" s="11" t="s">
        <v>872</v>
      </c>
      <c r="G3218" t="s">
        <v>37</v>
      </c>
      <c r="H3218" t="s">
        <v>873</v>
      </c>
      <c r="I3218" t="s">
        <v>4242</v>
      </c>
      <c r="J3218" s="6" t="str">
        <f>HYPERLINK("https://www.biovista.com/db/link/%5B%5B%22Disease%7CSSADH%20Deficiency%22%5D,%20%5B%22Pathway%7Creverse%20transcription%22%5D%5D?strength-weight-map=%257B%2522MEDLINE_STRENGTH_AB%2522:1.0,%2522HPO%2522:100.0%257D", "Show Evidence...")</f>
        <v>Show Evidence...</v>
      </c>
    </row>
    <row r="3219" spans="1:10" ht="12.75">
      <c r="A3219" s="2" t="s">
        <v>50</v>
      </c>
      <c r="B3219" s="2" t="s">
        <v>4216</v>
      </c>
      <c r="C3219" s="2" t="s">
        <v>24</v>
      </c>
      <c r="D3219" s="2" t="s">
        <v>4217</v>
      </c>
      <c r="E3219" s="2" t="s">
        <v>704</v>
      </c>
      <c r="F3219" s="11" t="s">
        <v>834</v>
      </c>
      <c r="G3219" t="s">
        <v>37</v>
      </c>
      <c r="H3219" t="s">
        <v>835</v>
      </c>
      <c r="I3219" t="s">
        <v>4242</v>
      </c>
      <c r="J3219" s="6" t="str">
        <f>HYPERLINK("https://www.biovista.com/db/link/%5B%5B%22Disease%7CSSADH%20Deficiency%22%5D,%20%5B%22Pathway%7Csensory%20perception%20of%20sound%22%5D%5D?strength-weight-map=%257B%2522MEDLINE_STRENGTH_AB%2522:1.0,%2522HPO%2522:100.0%257D", "Show Evidence...")</f>
        <v>Show Evidence...</v>
      </c>
    </row>
    <row r="3220" spans="1:10" ht="12.75">
      <c r="A3220" s="2" t="s">
        <v>50</v>
      </c>
      <c r="B3220" s="2" t="s">
        <v>4216</v>
      </c>
      <c r="C3220" s="2" t="s">
        <v>24</v>
      </c>
      <c r="D3220" s="2" t="s">
        <v>4217</v>
      </c>
      <c r="E3220" s="2" t="s">
        <v>704</v>
      </c>
      <c r="F3220" s="11" t="s">
        <v>4469</v>
      </c>
      <c r="G3220" t="s">
        <v>37</v>
      </c>
      <c r="H3220" t="s">
        <v>4470</v>
      </c>
      <c r="I3220" t="s">
        <v>4242</v>
      </c>
      <c r="J3220" s="6" t="str">
        <f>HYPERLINK("https://www.biovista.com/db/link/%5B%5B%22Disease%7CSSADH%20Deficiency%22%5D,%20%5B%22Pathway%7Csensory%20processing%22%5D%5D?strength-weight-map=%257B%2522MEDLINE_STRENGTH_AB%2522:1.0,%2522HPO%2522:100.0%257D", "Show Evidence...")</f>
        <v>Show Evidence...</v>
      </c>
    </row>
    <row r="3221" spans="1:10" ht="12.75">
      <c r="A3221" s="2" t="s">
        <v>50</v>
      </c>
      <c r="B3221" s="2" t="s">
        <v>4216</v>
      </c>
      <c r="C3221" s="2" t="s">
        <v>24</v>
      </c>
      <c r="D3221" s="2" t="s">
        <v>4217</v>
      </c>
      <c r="E3221" s="2" t="s">
        <v>704</v>
      </c>
      <c r="F3221" s="11" t="s">
        <v>1804</v>
      </c>
      <c r="G3221" t="s">
        <v>37</v>
      </c>
      <c r="H3221" t="s">
        <v>1805</v>
      </c>
      <c r="I3221" t="s">
        <v>4242</v>
      </c>
      <c r="J3221" s="6" t="str">
        <f>HYPERLINK("https://www.biovista.com/db/link/%5B%5B%22Disease%7CSSADH%20Deficiency%22%5D,%20%5B%22Pathway%7Cserotonin%20biosynthetic%20process%22%5D%5D?strength-weight-map=%257B%2522MEDLINE_STRENGTH_AB%2522:1.0,%2522HPO%2522:100.0%257D", "Show Evidence...")</f>
        <v>Show Evidence...</v>
      </c>
    </row>
    <row r="3222" spans="1:10" ht="12.75">
      <c r="A3222" s="2" t="s">
        <v>50</v>
      </c>
      <c r="B3222" s="2" t="s">
        <v>4216</v>
      </c>
      <c r="C3222" s="2" t="s">
        <v>24</v>
      </c>
      <c r="D3222" s="2" t="s">
        <v>4217</v>
      </c>
      <c r="E3222" s="2" t="s">
        <v>704</v>
      </c>
      <c r="F3222" s="11" t="s">
        <v>4471</v>
      </c>
      <c r="G3222" t="s">
        <v>37</v>
      </c>
      <c r="H3222" t="s">
        <v>4472</v>
      </c>
      <c r="I3222" t="s">
        <v>4242</v>
      </c>
      <c r="J3222" s="6" t="str">
        <f>HYPERLINK("https://www.biovista.com/db/link/%5B%5B%22Disease%7CSSADH%20Deficiency%22%5D,%20%5B%22Pathway%7Cserotonin%20metabolic%20process%22%5D%5D?strength-weight-map=%257B%2522MEDLINE_STRENGTH_AB%2522:1.0,%2522HPO%2522:100.0%257D", "Show Evidence...")</f>
        <v>Show Evidence...</v>
      </c>
    </row>
    <row r="3223" spans="1:10" ht="12.75">
      <c r="A3223" s="2" t="s">
        <v>50</v>
      </c>
      <c r="B3223" s="2" t="s">
        <v>4216</v>
      </c>
      <c r="C3223" s="2" t="s">
        <v>24</v>
      </c>
      <c r="D3223" s="2" t="s">
        <v>4217</v>
      </c>
      <c r="E3223" s="2" t="s">
        <v>704</v>
      </c>
      <c r="F3223" s="11" t="s">
        <v>4473</v>
      </c>
      <c r="G3223" t="s">
        <v>37</v>
      </c>
      <c r="H3223" t="s">
        <v>4474</v>
      </c>
      <c r="I3223" t="s">
        <v>4242</v>
      </c>
      <c r="J3223" s="6" t="str">
        <f>HYPERLINK("https://www.biovista.com/db/link/%5B%5B%22Disease%7CSSADH%20Deficiency%22%5D,%20%5B%22Pathway%7Cshort-chain%20fatty%20acid%20metabolic%20process%22%5D%5D?strength-weight-map=%257B%2522MEDLINE_STRENGTH_AB%2522:1.0,%2522HPO%2522:100.0%257D", "Show Evidence...")</f>
        <v>Show Evidence...</v>
      </c>
    </row>
    <row r="3224" spans="1:10" ht="12.75">
      <c r="A3224" s="2" t="s">
        <v>50</v>
      </c>
      <c r="B3224" s="2" t="s">
        <v>4216</v>
      </c>
      <c r="C3224" s="2" t="s">
        <v>24</v>
      </c>
      <c r="D3224" s="2" t="s">
        <v>4217</v>
      </c>
      <c r="E3224" s="2" t="s">
        <v>704</v>
      </c>
      <c r="F3224" s="11" t="s">
        <v>850</v>
      </c>
      <c r="G3224" t="s">
        <v>37</v>
      </c>
      <c r="H3224" t="s">
        <v>851</v>
      </c>
      <c r="I3224" t="s">
        <v>4242</v>
      </c>
      <c r="J3224" s="6" t="str">
        <f>HYPERLINK("https://www.biovista.com/db/link/%5B%5B%22Disease%7CSSADH%20Deficiency%22%5D,%20%5B%22Pathway%7Csynapse%20assembly%22%5D%5D?strength-weight-map=%257B%2522MEDLINE_STRENGTH_AB%2522:1.0,%2522HPO%2522:100.0%257D", "Show Evidence...")</f>
        <v>Show Evidence...</v>
      </c>
    </row>
    <row r="3225" spans="1:10" ht="12.75">
      <c r="A3225" s="2" t="s">
        <v>50</v>
      </c>
      <c r="B3225" s="2" t="s">
        <v>4216</v>
      </c>
      <c r="C3225" s="2" t="s">
        <v>24</v>
      </c>
      <c r="D3225" s="2" t="s">
        <v>4217</v>
      </c>
      <c r="E3225" s="2" t="s">
        <v>704</v>
      </c>
      <c r="F3225" s="11" t="s">
        <v>1822</v>
      </c>
      <c r="G3225" t="s">
        <v>37</v>
      </c>
      <c r="H3225" t="s">
        <v>1823</v>
      </c>
      <c r="I3225" t="s">
        <v>4242</v>
      </c>
      <c r="J3225" s="6" t="str">
        <f>HYPERLINK("https://www.biovista.com/db/link/%5B%5B%22Disease%7CSSADH%20Deficiency%22%5D,%20%5B%22Pathway%7Ctetrahydrobiopterin%20biosynthetic%20process%22%5D%5D?strength-weight-map=%257B%2522MEDLINE_STRENGTH_AB%2522:1.0,%2522HPO%2522:100.0%257D", "Show Evidence...")</f>
        <v>Show Evidence...</v>
      </c>
    </row>
    <row r="3226" spans="1:10" ht="12.75">
      <c r="A3226" s="2" t="s">
        <v>50</v>
      </c>
      <c r="B3226" s="2" t="s">
        <v>4216</v>
      </c>
      <c r="C3226" s="2" t="s">
        <v>24</v>
      </c>
      <c r="D3226" s="2" t="s">
        <v>4217</v>
      </c>
      <c r="E3226" s="2" t="s">
        <v>704</v>
      </c>
      <c r="F3226" s="11" t="s">
        <v>3784</v>
      </c>
      <c r="G3226" t="s">
        <v>37</v>
      </c>
      <c r="H3226" t="s">
        <v>3785</v>
      </c>
      <c r="I3226" t="s">
        <v>4242</v>
      </c>
      <c r="J3226" s="6" t="str">
        <f>HYPERLINK("https://www.biovista.com/db/link/%5B%5B%22Disease%7CSSADH%20Deficiency%22%5D,%20%5B%22Pathway%7Cxenobiotic%20metabolic%20process%22%5D%5D?strength-weight-map=%257B%2522MEDLINE_STRENGTH_AB%2522:1.0,%2522HPO%2522:100.0%257D", "Show Evidence...")</f>
        <v>Show Evidence...</v>
      </c>
    </row>
    <row r="3227" spans="1:10" ht="12.75">
      <c r="A3227" s="2" t="s">
        <v>4475</v>
      </c>
      <c r="B3227" s="2" t="s">
        <v>4476</v>
      </c>
      <c r="C3227" s="2" t="s">
        <v>24</v>
      </c>
      <c r="D3227" s="2" t="s">
        <v>4477</v>
      </c>
      <c r="E3227" s="2" t="s">
        <v>53</v>
      </c>
      <c r="F3227" s="11" t="s">
        <v>1899</v>
      </c>
      <c r="G3227" t="s">
        <v>39</v>
      </c>
      <c r="H3227" t="s">
        <v>1900</v>
      </c>
      <c r="I3227" t="s">
        <v>4478</v>
      </c>
      <c r="J3227" s="6" t="str">
        <f>HYPERLINK("https://www.biovista.com/db/link/%5B%5B%22Disease%7CZellweger%20Syndrome%22%5D,%20%5B%22Drug%7CBile%20Acids%20and%20Salts%22%5D%5D?strength-weight-map=%257B%2522MEDLINE_STRENGTH_AB%2522:1.0,%2522HPO%2522:100.0%257D", "Show Evidence...")</f>
        <v>Show Evidence...</v>
      </c>
    </row>
    <row r="3228" spans="1:10" ht="12.75">
      <c r="A3228" s="2" t="s">
        <v>4475</v>
      </c>
      <c r="B3228" s="2" t="s">
        <v>4476</v>
      </c>
      <c r="C3228" s="2" t="s">
        <v>24</v>
      </c>
      <c r="D3228" s="2" t="s">
        <v>4477</v>
      </c>
      <c r="E3228" s="2" t="s">
        <v>53</v>
      </c>
      <c r="F3228" s="11" t="s">
        <v>291</v>
      </c>
      <c r="G3228" t="s">
        <v>39</v>
      </c>
      <c r="H3228" t="s">
        <v>292</v>
      </c>
      <c r="I3228" t="s">
        <v>4479</v>
      </c>
      <c r="J3228" s="6" t="str">
        <f>HYPERLINK("https://www.biovista.com/db/link/%5B%5B%22Disease%7CZellweger%20Syndrome%22%5D,%20%5B%22Drug%7CEther%22%5D%5D?strength-weight-map=%257B%2522MEDLINE_STRENGTH_AB%2522:1.0,%2522HPO%2522:100.0%257D", "Show Evidence...")</f>
        <v>Show Evidence...</v>
      </c>
    </row>
    <row r="3229" spans="1:10" ht="12.75">
      <c r="A3229" s="2" t="s">
        <v>4475</v>
      </c>
      <c r="B3229" s="2" t="s">
        <v>4476</v>
      </c>
      <c r="C3229" s="2" t="s">
        <v>24</v>
      </c>
      <c r="D3229" s="2" t="s">
        <v>4477</v>
      </c>
      <c r="E3229" s="2" t="s">
        <v>53</v>
      </c>
      <c r="F3229" s="11" t="s">
        <v>4480</v>
      </c>
      <c r="G3229" t="s">
        <v>39</v>
      </c>
      <c r="H3229" t="s">
        <v>4481</v>
      </c>
      <c r="I3229" t="s">
        <v>4482</v>
      </c>
      <c r="J3229" s="6" t="str">
        <f>HYPERLINK("https://www.biovista.com/db/link/%5B%5B%22Disease%7CZellweger%20Syndrome%22%5D,%20%5B%22Drug%7CCholic%20Acid%22%5D%5D?strength-weight-map=%257B%2522MEDLINE_STRENGTH_AB%2522:1.0,%2522HPO%2522:100.0%257D", "Show Evidence...")</f>
        <v>Show Evidence...</v>
      </c>
    </row>
    <row r="3230" spans="1:10" ht="12.75">
      <c r="A3230" s="2" t="s">
        <v>4475</v>
      </c>
      <c r="B3230" s="2" t="s">
        <v>4476</v>
      </c>
      <c r="C3230" s="2" t="s">
        <v>24</v>
      </c>
      <c r="D3230" s="2" t="s">
        <v>4477</v>
      </c>
      <c r="E3230" s="2" t="s">
        <v>53</v>
      </c>
      <c r="F3230" s="11" t="s">
        <v>117</v>
      </c>
      <c r="G3230" t="s">
        <v>39</v>
      </c>
      <c r="H3230" t="s">
        <v>118</v>
      </c>
      <c r="I3230" t="s">
        <v>4483</v>
      </c>
      <c r="J3230" s="6" t="str">
        <f>HYPERLINK("https://www.biovista.com/db/link/%5B%5B%22Disease%7CZellweger%20Syndrome%22%5D,%20%5B%22Drug%7CHydrogen%20Peroxide%22%5D%5D?strength-weight-map=%257B%2522MEDLINE_STRENGTH_AB%2522:1.0,%2522HPO%2522:100.0%257D", "Show Evidence...")</f>
        <v>Show Evidence...</v>
      </c>
    </row>
    <row r="3231" spans="1:10" ht="12.75">
      <c r="A3231" s="2" t="s">
        <v>4475</v>
      </c>
      <c r="B3231" s="2" t="s">
        <v>4476</v>
      </c>
      <c r="C3231" s="2" t="s">
        <v>24</v>
      </c>
      <c r="D3231" s="2" t="s">
        <v>4477</v>
      </c>
      <c r="E3231" s="2" t="s">
        <v>53</v>
      </c>
      <c r="F3231" s="11" t="s">
        <v>4484</v>
      </c>
      <c r="G3231" t="s">
        <v>39</v>
      </c>
      <c r="H3231" t="s">
        <v>4485</v>
      </c>
      <c r="I3231" t="s">
        <v>4486</v>
      </c>
      <c r="J3231" s="6" t="str">
        <f>HYPERLINK("https://www.biovista.com/db/link/%5B%5B%22Disease%7CZellweger%20Syndrome%22%5D,%20%5B%22Drug%7CZinc%20Sulfate%22%5D%5D?strength-weight-map=%257B%2522MEDLINE_STRENGTH_AB%2522:1.0,%2522HPO%2522:100.0%257D", "Show Evidence...")</f>
        <v>Show Evidence...</v>
      </c>
    </row>
    <row r="3232" spans="1:10" ht="12.75">
      <c r="A3232" s="2" t="s">
        <v>4475</v>
      </c>
      <c r="B3232" s="2" t="s">
        <v>4476</v>
      </c>
      <c r="C3232" s="2" t="s">
        <v>24</v>
      </c>
      <c r="D3232" s="2" t="s">
        <v>4477</v>
      </c>
      <c r="E3232" s="2" t="s">
        <v>53</v>
      </c>
      <c r="F3232" s="11" t="s">
        <v>1070</v>
      </c>
      <c r="G3232" t="s">
        <v>39</v>
      </c>
      <c r="H3232" t="s">
        <v>1071</v>
      </c>
      <c r="I3232" t="s">
        <v>4487</v>
      </c>
      <c r="J3232" s="6" t="str">
        <f>HYPERLINK("https://www.biovista.com/db/link/%5B%5B%22Disease%7CZellweger%20Syndrome%22%5D,%20%5B%22Drug%7CCholic%20Acids%22%5D%5D?strength-weight-map=%257B%2522MEDLINE_STRENGTH_AB%2522:1.0,%2522HPO%2522:100.0%257D", "Show Evidence...")</f>
        <v>Show Evidence...</v>
      </c>
    </row>
    <row r="3233" spans="1:10" ht="12.75">
      <c r="A3233" s="2" t="s">
        <v>4475</v>
      </c>
      <c r="B3233" s="2" t="s">
        <v>4476</v>
      </c>
      <c r="C3233" s="2" t="s">
        <v>24</v>
      </c>
      <c r="D3233" s="2" t="s">
        <v>4477</v>
      </c>
      <c r="E3233" s="2" t="s">
        <v>53</v>
      </c>
      <c r="F3233" s="11" t="s">
        <v>4488</v>
      </c>
      <c r="G3233" t="s">
        <v>39</v>
      </c>
      <c r="H3233" t="s">
        <v>4489</v>
      </c>
      <c r="I3233" t="s">
        <v>4490</v>
      </c>
      <c r="J3233" s="6" t="str">
        <f>HYPERLINK("https://www.biovista.com/db/link/%5B%5B%22Disease%7CZellweger%20Syndrome%22%5D,%20%5B%22Drug%7CPalmitic%20Acid%22%5D%5D?strength-weight-map=%257B%2522MEDLINE_STRENGTH_AB%2522:1.0,%2522HPO%2522:100.0%257D", "Show Evidence...")</f>
        <v>Show Evidence...</v>
      </c>
    </row>
    <row r="3234" spans="1:10" ht="12.75">
      <c r="A3234" s="2" t="s">
        <v>4475</v>
      </c>
      <c r="B3234" s="2" t="s">
        <v>4476</v>
      </c>
      <c r="C3234" s="2" t="s">
        <v>24</v>
      </c>
      <c r="D3234" s="2" t="s">
        <v>4477</v>
      </c>
      <c r="E3234" s="2" t="s">
        <v>53</v>
      </c>
      <c r="F3234" s="11" t="s">
        <v>4491</v>
      </c>
      <c r="G3234" t="s">
        <v>39</v>
      </c>
      <c r="H3234" t="s">
        <v>4492</v>
      </c>
      <c r="I3234" t="s">
        <v>4493</v>
      </c>
      <c r="J3234" s="6" t="str">
        <f>HYPERLINK("https://www.biovista.com/db/link/%5B%5B%22Disease%7CZellweger%20Syndrome%22%5D,%20%5B%22Drug%7CChenodeoxycholic%20Acid%22%5D%5D?strength-weight-map=%257B%2522MEDLINE_STRENGTH_AB%2522:1.0,%2522HPO%2522:100.0%257D", "Show Evidence...")</f>
        <v>Show Evidence...</v>
      </c>
    </row>
    <row r="3235" spans="1:10" ht="12.75">
      <c r="A3235" s="2" t="s">
        <v>4475</v>
      </c>
      <c r="B3235" s="2" t="s">
        <v>4476</v>
      </c>
      <c r="C3235" s="2" t="s">
        <v>24</v>
      </c>
      <c r="D3235" s="2" t="s">
        <v>4477</v>
      </c>
      <c r="E3235" s="2" t="s">
        <v>53</v>
      </c>
      <c r="F3235" s="11" t="s">
        <v>90</v>
      </c>
      <c r="G3235" t="s">
        <v>39</v>
      </c>
      <c r="H3235" t="s">
        <v>91</v>
      </c>
      <c r="I3235" t="s">
        <v>4493</v>
      </c>
      <c r="J3235" s="6" t="str">
        <f>HYPERLINK("https://www.biovista.com/db/link/%5B%5B%22Disease%7CZellweger%20Syndrome%22%5D,%20%5B%22Drug%7CSuperoxide%20Dismutase%22%5D%5D?strength-weight-map=%257B%2522MEDLINE_STRENGTH_AB%2522:1.0,%2522HPO%2522:100.0%257D", "Show Evidence...")</f>
        <v>Show Evidence...</v>
      </c>
    </row>
    <row r="3236" spans="1:10" ht="12.75">
      <c r="A3236" s="2" t="s">
        <v>4475</v>
      </c>
      <c r="B3236" s="2" t="s">
        <v>4476</v>
      </c>
      <c r="C3236" s="2" t="s">
        <v>24</v>
      </c>
      <c r="D3236" s="2" t="s">
        <v>4477</v>
      </c>
      <c r="E3236" s="2" t="s">
        <v>53</v>
      </c>
      <c r="F3236" s="11" t="s">
        <v>138</v>
      </c>
      <c r="G3236" t="s">
        <v>39</v>
      </c>
      <c r="H3236" t="s">
        <v>139</v>
      </c>
      <c r="I3236" t="s">
        <v>4494</v>
      </c>
      <c r="J3236" s="6" t="str">
        <f>HYPERLINK("https://www.biovista.com/db/link/%5B%5B%22Disease%7CZellweger%20Syndrome%22%5D,%20%5B%22Drug%7CLactic%20Acid%22%5D%5D?strength-weight-map=%257B%2522MEDLINE_STRENGTH_AB%2522:1.0,%2522HPO%2522:100.0%257D", "Show Evidence...")</f>
        <v>Show Evidence...</v>
      </c>
    </row>
    <row r="3237" spans="1:10" ht="12.75">
      <c r="A3237" s="2" t="s">
        <v>4475</v>
      </c>
      <c r="B3237" s="2" t="s">
        <v>4476</v>
      </c>
      <c r="C3237" s="2" t="s">
        <v>24</v>
      </c>
      <c r="D3237" s="2" t="s">
        <v>4477</v>
      </c>
      <c r="E3237" s="2" t="s">
        <v>53</v>
      </c>
      <c r="F3237" s="11" t="s">
        <v>922</v>
      </c>
      <c r="G3237" t="s">
        <v>39</v>
      </c>
      <c r="H3237" t="s">
        <v>923</v>
      </c>
      <c r="I3237" t="s">
        <v>4495</v>
      </c>
      <c r="J3237" s="6" t="str">
        <f>HYPERLINK("https://www.biovista.com/db/link/%5B%5B%22Disease%7CZellweger%20Syndrome%22%5D,%20%5B%22Drug%7CCarnitine%22%5D%5D?strength-weight-map=%257B%2522MEDLINE_STRENGTH_AB%2522:1.0,%2522HPO%2522:100.0%257D", "Show Evidence...")</f>
        <v>Show Evidence...</v>
      </c>
    </row>
    <row r="3238" spans="1:10" ht="12.75">
      <c r="A3238" s="2" t="s">
        <v>4475</v>
      </c>
      <c r="B3238" s="2" t="s">
        <v>4476</v>
      </c>
      <c r="C3238" s="2" t="s">
        <v>24</v>
      </c>
      <c r="D3238" s="2" t="s">
        <v>4477</v>
      </c>
      <c r="E3238" s="2" t="s">
        <v>53</v>
      </c>
      <c r="F3238" s="11" t="s">
        <v>1079</v>
      </c>
      <c r="G3238" t="s">
        <v>39</v>
      </c>
      <c r="H3238" t="s">
        <v>1080</v>
      </c>
      <c r="I3238" t="s">
        <v>4496</v>
      </c>
      <c r="J3238" s="6" t="str">
        <f>HYPERLINK("https://www.biovista.com/db/link/%5B%5B%22Disease%7CZellweger%20Syndrome%22%5D,%20%5B%22Drug%7CClofibrate%22%5D%5D?strength-weight-map=%257B%2522MEDLINE_STRENGTH_AB%2522:1.0,%2522HPO%2522:100.0%257D", "Show Evidence...")</f>
        <v>Show Evidence...</v>
      </c>
    </row>
    <row r="3239" spans="1:10" ht="12.75">
      <c r="A3239" s="2" t="s">
        <v>4475</v>
      </c>
      <c r="B3239" s="2" t="s">
        <v>4476</v>
      </c>
      <c r="C3239" s="2" t="s">
        <v>24</v>
      </c>
      <c r="D3239" s="2" t="s">
        <v>4477</v>
      </c>
      <c r="E3239" s="2" t="s">
        <v>53</v>
      </c>
      <c r="F3239" s="11" t="s">
        <v>4497</v>
      </c>
      <c r="G3239" t="s">
        <v>39</v>
      </c>
      <c r="H3239" t="s">
        <v>4498</v>
      </c>
      <c r="I3239" t="s">
        <v>4496</v>
      </c>
      <c r="J3239" s="6" t="str">
        <f>HYPERLINK("https://www.biovista.com/db/link/%5B%5B%22Disease%7CZellweger%20Syndrome%22%5D,%20%5B%22Drug%7CLorenzo's%20oil%22%5D%5D?strength-weight-map=%257B%2522MEDLINE_STRENGTH_AB%2522:1.0,%2522HPO%2522:100.0%257D", "Show Evidence...")</f>
        <v>Show Evidence...</v>
      </c>
    </row>
    <row r="3240" spans="1:10" ht="12.75">
      <c r="A3240" s="2" t="s">
        <v>4475</v>
      </c>
      <c r="B3240" s="2" t="s">
        <v>4476</v>
      </c>
      <c r="C3240" s="2" t="s">
        <v>24</v>
      </c>
      <c r="D3240" s="2" t="s">
        <v>4477</v>
      </c>
      <c r="E3240" s="2" t="s">
        <v>53</v>
      </c>
      <c r="F3240" s="11" t="s">
        <v>2461</v>
      </c>
      <c r="G3240" t="s">
        <v>39</v>
      </c>
      <c r="H3240" t="s">
        <v>2462</v>
      </c>
      <c r="I3240" t="s">
        <v>4496</v>
      </c>
      <c r="J3240" s="6" t="str">
        <f>HYPERLINK("https://www.biovista.com/db/link/%5B%5B%22Disease%7CZellweger%20Syndrome%22%5D,%20%5B%22Drug%7CSelenium%22%5D%5D?strength-weight-map=%257B%2522MEDLINE_STRENGTH_AB%2522:1.0,%2522HPO%2522:100.0%257D", "Show Evidence...")</f>
        <v>Show Evidence...</v>
      </c>
    </row>
    <row r="3241" spans="1:10" ht="12.75">
      <c r="A3241" s="2" t="s">
        <v>4475</v>
      </c>
      <c r="B3241" s="2" t="s">
        <v>4476</v>
      </c>
      <c r="C3241" s="2" t="s">
        <v>24</v>
      </c>
      <c r="D3241" s="2" t="s">
        <v>4477</v>
      </c>
      <c r="E3241" s="2" t="s">
        <v>53</v>
      </c>
      <c r="F3241" s="11" t="s">
        <v>99</v>
      </c>
      <c r="G3241" t="s">
        <v>39</v>
      </c>
      <c r="H3241" t="s">
        <v>100</v>
      </c>
      <c r="I3241" t="s">
        <v>4499</v>
      </c>
      <c r="J3241" s="6" t="str">
        <f>HYPERLINK("https://www.biovista.com/db/link/%5B%5B%22Disease%7CZellweger%20Syndrome%22%5D,%20%5B%22Drug%7Cgamma-Aminobutyric%20Acid%22%5D%5D?strength-weight-map=%257B%2522MEDLINE_STRENGTH_AB%2522:1.0,%2522HPO%2522:100.0%257D", "Show Evidence...")</f>
        <v>Show Evidence...</v>
      </c>
    </row>
    <row r="3242" spans="1:10" ht="12.75">
      <c r="A3242" s="2" t="s">
        <v>4475</v>
      </c>
      <c r="B3242" s="2" t="s">
        <v>4476</v>
      </c>
      <c r="C3242" s="2" t="s">
        <v>24</v>
      </c>
      <c r="D3242" s="2" t="s">
        <v>4477</v>
      </c>
      <c r="E3242" s="2" t="s">
        <v>53</v>
      </c>
      <c r="F3242" s="11" t="s">
        <v>4500</v>
      </c>
      <c r="G3242" t="s">
        <v>39</v>
      </c>
      <c r="H3242" t="s">
        <v>4501</v>
      </c>
      <c r="I3242" t="s">
        <v>4502</v>
      </c>
      <c r="J3242" s="6" t="str">
        <f>HYPERLINK("https://www.biovista.com/db/link/%5B%5B%22Disease%7CZellweger%20Syndrome%22%5D,%20%5B%22Drug%7Calpha-Tocopherol%22%5D%5D?strength-weight-map=%257B%2522MEDLINE_STRENGTH_AB%2522:1.0,%2522HPO%2522:100.0%257D", "Show Evidence...")</f>
        <v>Show Evidence...</v>
      </c>
    </row>
    <row r="3243" spans="1:10" ht="12.75">
      <c r="A3243" s="2" t="s">
        <v>4475</v>
      </c>
      <c r="B3243" s="2" t="s">
        <v>4476</v>
      </c>
      <c r="C3243" s="2" t="s">
        <v>24</v>
      </c>
      <c r="D3243" s="2" t="s">
        <v>4477</v>
      </c>
      <c r="E3243" s="2" t="s">
        <v>53</v>
      </c>
      <c r="F3243" s="11" t="s">
        <v>155</v>
      </c>
      <c r="G3243" t="s">
        <v>39</v>
      </c>
      <c r="H3243" t="s">
        <v>156</v>
      </c>
      <c r="I3243" t="s">
        <v>4502</v>
      </c>
      <c r="J3243" s="6" t="str">
        <f>HYPERLINK("https://www.biovista.com/db/link/%5B%5B%22Disease%7CZellweger%20Syndrome%22%5D,%20%5B%22Drug%7CCholine%22%5D%5D?strength-weight-map=%257B%2522MEDLINE_STRENGTH_AB%2522:1.0,%2522HPO%2522:100.0%257D", "Show Evidence...")</f>
        <v>Show Evidence...</v>
      </c>
    </row>
    <row r="3244" spans="1:10" ht="12.75">
      <c r="A3244" s="2" t="s">
        <v>4475</v>
      </c>
      <c r="B3244" s="2" t="s">
        <v>4476</v>
      </c>
      <c r="C3244" s="2" t="s">
        <v>24</v>
      </c>
      <c r="D3244" s="2" t="s">
        <v>4477</v>
      </c>
      <c r="E3244" s="2" t="s">
        <v>53</v>
      </c>
      <c r="F3244" s="11" t="s">
        <v>2474</v>
      </c>
      <c r="G3244" t="s">
        <v>39</v>
      </c>
      <c r="H3244" t="s">
        <v>2475</v>
      </c>
      <c r="I3244" t="s">
        <v>4502</v>
      </c>
      <c r="J3244" s="6" t="str">
        <f>HYPERLINK("https://www.biovista.com/db/link/%5B%5B%22Disease%7CZellweger%20Syndrome%22%5D,%20%5B%22Drug%7CCyclin-Dependent%20Kinase%20Inhibitor%20p21%22%5D%5D?strength-weight-map=%257B%2522MEDLINE_STRENGTH_AB%2522:1.0,%2522HPO%2522:100.0%257D", "Show Evidence...")</f>
        <v>Show Evidence...</v>
      </c>
    </row>
    <row r="3245" spans="1:10" ht="12.75">
      <c r="A3245" s="2" t="s">
        <v>4475</v>
      </c>
      <c r="B3245" s="2" t="s">
        <v>4476</v>
      </c>
      <c r="C3245" s="2" t="s">
        <v>24</v>
      </c>
      <c r="D3245" s="2" t="s">
        <v>4477</v>
      </c>
      <c r="E3245" s="2" t="s">
        <v>53</v>
      </c>
      <c r="F3245" s="11" t="s">
        <v>249</v>
      </c>
      <c r="G3245" t="s">
        <v>39</v>
      </c>
      <c r="H3245" t="s">
        <v>250</v>
      </c>
      <c r="I3245" t="s">
        <v>4502</v>
      </c>
      <c r="J3245" s="6" t="str">
        <f>HYPERLINK("https://www.biovista.com/db/link/%5B%5B%22Disease%7CZellweger%20Syndrome%22%5D,%20%5B%22Drug%7CDimethyl%20Sulfoxide%22%5D%5D?strength-weight-map=%257B%2522MEDLINE_STRENGTH_AB%2522:1.0,%2522HPO%2522:100.0%257D", "Show Evidence...")</f>
        <v>Show Evidence...</v>
      </c>
    </row>
    <row r="3246" spans="1:10" ht="12.75">
      <c r="A3246" s="2" t="s">
        <v>4475</v>
      </c>
      <c r="B3246" s="2" t="s">
        <v>4476</v>
      </c>
      <c r="C3246" s="2" t="s">
        <v>24</v>
      </c>
      <c r="D3246" s="2" t="s">
        <v>4477</v>
      </c>
      <c r="E3246" s="2" t="s">
        <v>53</v>
      </c>
      <c r="F3246" s="11" t="s">
        <v>4503</v>
      </c>
      <c r="G3246" t="s">
        <v>39</v>
      </c>
      <c r="H3246" t="s">
        <v>4504</v>
      </c>
      <c r="I3246" t="s">
        <v>4502</v>
      </c>
      <c r="J3246" s="6" t="str">
        <f>HYPERLINK("https://www.biovista.com/db/link/%5B%5B%22Disease%7CZellweger%20Syndrome%22%5D,%20%5B%22Drug%7CDinoprost%22%5D%5D?strength-weight-map=%257B%2522MEDLINE_STRENGTH_AB%2522:1.0,%2522HPO%2522:100.0%257D", "Show Evidence...")</f>
        <v>Show Evidence...</v>
      </c>
    </row>
    <row r="3247" spans="1:10" ht="12.75">
      <c r="A3247" s="2" t="s">
        <v>4475</v>
      </c>
      <c r="B3247" s="2" t="s">
        <v>4476</v>
      </c>
      <c r="C3247" s="2" t="s">
        <v>24</v>
      </c>
      <c r="D3247" s="2" t="s">
        <v>4477</v>
      </c>
      <c r="E3247" s="2" t="s">
        <v>53</v>
      </c>
      <c r="F3247" s="11" t="s">
        <v>265</v>
      </c>
      <c r="G3247" t="s">
        <v>39</v>
      </c>
      <c r="H3247" t="s">
        <v>266</v>
      </c>
      <c r="I3247" t="s">
        <v>4502</v>
      </c>
      <c r="J3247" s="6" t="str">
        <f>HYPERLINK("https://www.biovista.com/db/link/%5B%5B%22Disease%7CZellweger%20Syndrome%22%5D,%20%5B%22Drug%7CDinoprostone%22%5D%5D?strength-weight-map=%257B%2522MEDLINE_STRENGTH_AB%2522:1.0,%2522HPO%2522:100.0%257D", "Show Evidence...")</f>
        <v>Show Evidence...</v>
      </c>
    </row>
    <row r="3248" spans="1:10" ht="12.75">
      <c r="A3248" s="2" t="s">
        <v>4475</v>
      </c>
      <c r="B3248" s="2" t="s">
        <v>4476</v>
      </c>
      <c r="C3248" s="2" t="s">
        <v>24</v>
      </c>
      <c r="D3248" s="2" t="s">
        <v>4477</v>
      </c>
      <c r="E3248" s="2" t="s">
        <v>53</v>
      </c>
      <c r="F3248" s="11" t="s">
        <v>171</v>
      </c>
      <c r="G3248" t="s">
        <v>39</v>
      </c>
      <c r="H3248" t="s">
        <v>172</v>
      </c>
      <c r="I3248" t="s">
        <v>4502</v>
      </c>
      <c r="J3248" s="6" t="str">
        <f>HYPERLINK("https://www.biovista.com/db/link/%5B%5B%22Disease%7CZellweger%20Syndrome%22%5D,%20%5B%22Drug%7CEstradiol%22%5D%5D?strength-weight-map=%257B%2522MEDLINE_STRENGTH_AB%2522:1.0,%2522HPO%2522:100.0%257D", "Show Evidence...")</f>
        <v>Show Evidence...</v>
      </c>
    </row>
    <row r="3249" spans="1:10" ht="12.75">
      <c r="A3249" s="2" t="s">
        <v>4475</v>
      </c>
      <c r="B3249" s="2" t="s">
        <v>4476</v>
      </c>
      <c r="C3249" s="2" t="s">
        <v>24</v>
      </c>
      <c r="D3249" s="2" t="s">
        <v>4477</v>
      </c>
      <c r="E3249" s="2" t="s">
        <v>53</v>
      </c>
      <c r="F3249" s="11" t="s">
        <v>108</v>
      </c>
      <c r="G3249" t="s">
        <v>39</v>
      </c>
      <c r="H3249" t="s">
        <v>109</v>
      </c>
      <c r="I3249" t="s">
        <v>4502</v>
      </c>
      <c r="J3249" s="6" t="str">
        <f>HYPERLINK("https://www.biovista.com/db/link/%5B%5B%22Disease%7CZellweger%20Syndrome%22%5D,%20%5B%22Drug%7CNitric%20Oxide%22%5D%5D?strength-weight-map=%257B%2522MEDLINE_STRENGTH_AB%2522:1.0,%2522HPO%2522:100.0%257D", "Show Evidence...")</f>
        <v>Show Evidence...</v>
      </c>
    </row>
    <row r="3250" spans="1:10" ht="12.75">
      <c r="A3250" s="2" t="s">
        <v>4475</v>
      </c>
      <c r="B3250" s="2" t="s">
        <v>4476</v>
      </c>
      <c r="C3250" s="2" t="s">
        <v>24</v>
      </c>
      <c r="D3250" s="2" t="s">
        <v>4477</v>
      </c>
      <c r="E3250" s="2" t="s">
        <v>53</v>
      </c>
      <c r="F3250" s="11" t="s">
        <v>152</v>
      </c>
      <c r="G3250" t="s">
        <v>39</v>
      </c>
      <c r="H3250" t="s">
        <v>153</v>
      </c>
      <c r="I3250" t="s">
        <v>4502</v>
      </c>
      <c r="J3250" s="6" t="str">
        <f>HYPERLINK("https://www.biovista.com/db/link/%5B%5B%22Disease%7CZellweger%20Syndrome%22%5D,%20%5B%22Drug%7CTryptophan%22%5D%5D?strength-weight-map=%257B%2522MEDLINE_STRENGTH_AB%2522:1.0,%2522HPO%2522:100.0%257D", "Show Evidence...")</f>
        <v>Show Evidence...</v>
      </c>
    </row>
    <row r="3251" spans="1:10" ht="12.75">
      <c r="A3251" s="2" t="s">
        <v>4475</v>
      </c>
      <c r="B3251" s="2" t="s">
        <v>4476</v>
      </c>
      <c r="C3251" s="2" t="s">
        <v>24</v>
      </c>
      <c r="D3251" s="2" t="s">
        <v>4477</v>
      </c>
      <c r="E3251" s="2" t="s">
        <v>53</v>
      </c>
      <c r="F3251" s="11" t="s">
        <v>1877</v>
      </c>
      <c r="G3251" t="s">
        <v>39</v>
      </c>
      <c r="H3251" t="s">
        <v>1878</v>
      </c>
      <c r="I3251" t="s">
        <v>4502</v>
      </c>
      <c r="J3251" s="6" t="str">
        <f>HYPERLINK("https://www.biovista.com/db/link/%5B%5B%22Disease%7CZellweger%20Syndrome%22%5D,%20%5B%22Drug%7CVitamin%20E%22%5D%5D?strength-weight-map=%257B%2522MEDLINE_STRENGTH_AB%2522:1.0,%2522HPO%2522:100.0%257D", "Show Evidence...")</f>
        <v>Show Evidence...</v>
      </c>
    </row>
    <row r="3252" spans="1:10" ht="12.75">
      <c r="A3252" s="2" t="s">
        <v>4475</v>
      </c>
      <c r="B3252" s="2" t="s">
        <v>4476</v>
      </c>
      <c r="C3252" s="2" t="s">
        <v>24</v>
      </c>
      <c r="D3252" s="2" t="s">
        <v>4477</v>
      </c>
      <c r="E3252" s="2" t="s">
        <v>53</v>
      </c>
      <c r="F3252" s="11" t="s">
        <v>182</v>
      </c>
      <c r="G3252" t="s">
        <v>39</v>
      </c>
      <c r="H3252" t="s">
        <v>183</v>
      </c>
      <c r="I3252" t="s">
        <v>4502</v>
      </c>
      <c r="J3252" s="6" t="str">
        <f>HYPERLINK("https://www.biovista.com/db/link/%5B%5B%22Disease%7CZellweger%20Syndrome%22%5D,%20%5B%22Drug%7CWarfarin%22%5D%5D?strength-weight-map=%257B%2522MEDLINE_STRENGTH_AB%2522:1.0,%2522HPO%2522:100.0%257D", "Show Evidence...")</f>
        <v>Show Evidence...</v>
      </c>
    </row>
    <row r="3253" spans="1:10" ht="12.75">
      <c r="A3253" s="2" t="s">
        <v>4475</v>
      </c>
      <c r="B3253" s="2" t="s">
        <v>4476</v>
      </c>
      <c r="C3253" s="2" t="s">
        <v>24</v>
      </c>
      <c r="D3253" s="2" t="s">
        <v>4477</v>
      </c>
      <c r="E3253" s="2" t="s">
        <v>53</v>
      </c>
      <c r="F3253" s="11" t="s">
        <v>4505</v>
      </c>
      <c r="G3253" t="s">
        <v>39</v>
      </c>
      <c r="H3253" t="s">
        <v>4506</v>
      </c>
      <c r="I3253" t="s">
        <v>4502</v>
      </c>
      <c r="J3253" s="6" t="str">
        <f>HYPERLINK("https://www.biovista.com/db/link/%5B%5B%22Disease%7CZellweger%20Syndrome%22%5D,%20%5B%22Drug%7CZinc%20Oxide%22%5D%5D?strength-weight-map=%257B%2522MEDLINE_STRENGTH_AB%2522:1.0,%2522HPO%2522:100.0%257D", "Show Evidence...")</f>
        <v>Show Evidence...</v>
      </c>
    </row>
    <row r="3254" spans="1:10" ht="12.75">
      <c r="A3254" s="2" t="s">
        <v>4475</v>
      </c>
      <c r="B3254" s="2" t="s">
        <v>4476</v>
      </c>
      <c r="C3254" s="2" t="s">
        <v>24</v>
      </c>
      <c r="D3254" s="2" t="s">
        <v>4477</v>
      </c>
      <c r="E3254" s="2" t="s">
        <v>53</v>
      </c>
      <c r="F3254" s="11" t="s">
        <v>4507</v>
      </c>
      <c r="G3254" t="s">
        <v>39</v>
      </c>
      <c r="H3254" t="s">
        <v>4508</v>
      </c>
      <c r="I3254" t="s">
        <v>4509</v>
      </c>
      <c r="J3254" s="6" t="str">
        <f>HYPERLINK("https://www.biovista.com/db/link/%5B%5B%22Disease%7CZellweger%20Syndrome%22%5D,%20%5B%22Drug%7C4-phenylbutyric%20acid%22%5D%5D?strength-weight-map=%257B%2522MEDLINE_STRENGTH_AB%2522:1.0,%2522HPO%2522:100.0%257D", "Show Evidence...")</f>
        <v>Show Evidence...</v>
      </c>
    </row>
    <row r="3255" spans="1:10" ht="12.75">
      <c r="A3255" s="2" t="s">
        <v>4475</v>
      </c>
      <c r="B3255" s="2" t="s">
        <v>4476</v>
      </c>
      <c r="C3255" s="2" t="s">
        <v>24</v>
      </c>
      <c r="D3255" s="2" t="s">
        <v>4477</v>
      </c>
      <c r="E3255" s="2" t="s">
        <v>53</v>
      </c>
      <c r="F3255" s="11" t="s">
        <v>110</v>
      </c>
      <c r="G3255" t="s">
        <v>39</v>
      </c>
      <c r="H3255" t="s">
        <v>111</v>
      </c>
      <c r="I3255" t="s">
        <v>4509</v>
      </c>
      <c r="J3255" s="6" t="str">
        <f>HYPERLINK("https://www.biovista.com/db/link/%5B%5B%22Disease%7CZellweger%20Syndrome%22%5D,%20%5B%22Drug%7CAdrenocorticotropic%20Hormone%22%5D%5D?strength-weight-map=%257B%2522MEDLINE_STRENGTH_AB%2522:1.0,%2522HPO%2522:100.0%257D", "Show Evidence...")</f>
        <v>Show Evidence...</v>
      </c>
    </row>
    <row r="3256" spans="1:10" ht="12.75">
      <c r="A3256" s="2" t="s">
        <v>4475</v>
      </c>
      <c r="B3256" s="2" t="s">
        <v>4476</v>
      </c>
      <c r="C3256" s="2" t="s">
        <v>24</v>
      </c>
      <c r="D3256" s="2" t="s">
        <v>4477</v>
      </c>
      <c r="E3256" s="2" t="s">
        <v>53</v>
      </c>
      <c r="F3256" s="11" t="s">
        <v>4510</v>
      </c>
      <c r="G3256" t="s">
        <v>39</v>
      </c>
      <c r="H3256" t="s">
        <v>4511</v>
      </c>
      <c r="I3256" t="s">
        <v>4509</v>
      </c>
      <c r="J3256" s="6" t="str">
        <f>HYPERLINK("https://www.biovista.com/db/link/%5B%5B%22Disease%7CZellweger%20Syndrome%22%5D,%20%5B%22Drug%7CAmitrole%22%5D%5D?strength-weight-map=%257B%2522MEDLINE_STRENGTH_AB%2522:1.0,%2522HPO%2522:100.0%257D", "Show Evidence...")</f>
        <v>Show Evidence...</v>
      </c>
    </row>
    <row r="3257" spans="1:10" ht="12.75">
      <c r="A3257" s="2" t="s">
        <v>4475</v>
      </c>
      <c r="B3257" s="2" t="s">
        <v>4476</v>
      </c>
      <c r="C3257" s="2" t="s">
        <v>24</v>
      </c>
      <c r="D3257" s="2" t="s">
        <v>4477</v>
      </c>
      <c r="E3257" s="2" t="s">
        <v>53</v>
      </c>
      <c r="F3257" s="11" t="s">
        <v>4512</v>
      </c>
      <c r="G3257" t="s">
        <v>39</v>
      </c>
      <c r="H3257" t="s">
        <v>4513</v>
      </c>
      <c r="I3257" t="s">
        <v>4509</v>
      </c>
      <c r="J3257" s="6" t="str">
        <f>HYPERLINK("https://www.biovista.com/db/link/%5B%5B%22Disease%7CZellweger%20Syndrome%22%5D,%20%5B%22Drug%7CAntimycin%20A%22%5D%5D?strength-weight-map=%257B%2522MEDLINE_STRENGTH_AB%2522:1.0,%2522HPO%2522:100.0%257D", "Show Evidence...")</f>
        <v>Show Evidence...</v>
      </c>
    </row>
    <row r="3258" spans="1:10" ht="12.75">
      <c r="A3258" s="2" t="s">
        <v>4475</v>
      </c>
      <c r="B3258" s="2" t="s">
        <v>4476</v>
      </c>
      <c r="C3258" s="2" t="s">
        <v>24</v>
      </c>
      <c r="D3258" s="2" t="s">
        <v>4477</v>
      </c>
      <c r="E3258" s="2" t="s">
        <v>53</v>
      </c>
      <c r="F3258" s="11" t="s">
        <v>184</v>
      </c>
      <c r="G3258" t="s">
        <v>39</v>
      </c>
      <c r="H3258" t="s">
        <v>185</v>
      </c>
      <c r="I3258" t="s">
        <v>4509</v>
      </c>
      <c r="J3258" s="6" t="str">
        <f>HYPERLINK("https://www.biovista.com/db/link/%5B%5B%22Disease%7CZellweger%20Syndrome%22%5D,%20%5B%22Drug%7CAscorbic%20Acid%22%5D%5D?strength-weight-map=%257B%2522MEDLINE_STRENGTH_AB%2522:1.0,%2522HPO%2522:100.0%257D", "Show Evidence...")</f>
        <v>Show Evidence...</v>
      </c>
    </row>
    <row r="3259" spans="1:10" ht="12.75">
      <c r="A3259" s="2" t="s">
        <v>4475</v>
      </c>
      <c r="B3259" s="2" t="s">
        <v>4476</v>
      </c>
      <c r="C3259" s="2" t="s">
        <v>24</v>
      </c>
      <c r="D3259" s="2" t="s">
        <v>4477</v>
      </c>
      <c r="E3259" s="2" t="s">
        <v>53</v>
      </c>
      <c r="F3259" s="11" t="s">
        <v>3437</v>
      </c>
      <c r="G3259" t="s">
        <v>39</v>
      </c>
      <c r="H3259" t="s">
        <v>3438</v>
      </c>
      <c r="I3259" t="s">
        <v>4509</v>
      </c>
      <c r="J3259" s="6" t="str">
        <f>HYPERLINK("https://www.biovista.com/db/link/%5B%5B%22Disease%7CZellweger%20Syndrome%22%5D,%20%5B%22Drug%7CBetaine%22%5D%5D?strength-weight-map=%257B%2522MEDLINE_STRENGTH_AB%2522:1.0,%2522HPO%2522:100.0%257D", "Show Evidence...")</f>
        <v>Show Evidence...</v>
      </c>
    </row>
    <row r="3260" spans="1:10" ht="12.75">
      <c r="A3260" s="2" t="s">
        <v>4475</v>
      </c>
      <c r="B3260" s="2" t="s">
        <v>4476</v>
      </c>
      <c r="C3260" s="2" t="s">
        <v>24</v>
      </c>
      <c r="D3260" s="2" t="s">
        <v>4477</v>
      </c>
      <c r="E3260" s="2" t="s">
        <v>53</v>
      </c>
      <c r="F3260" s="11" t="s">
        <v>113</v>
      </c>
      <c r="G3260" t="s">
        <v>39</v>
      </c>
      <c r="H3260" t="s">
        <v>114</v>
      </c>
      <c r="I3260" t="s">
        <v>4509</v>
      </c>
      <c r="J3260" s="6" t="str">
        <f>HYPERLINK("https://www.biovista.com/db/link/%5B%5B%22Disease%7CZellweger%20Syndrome%22%5D,%20%5B%22Drug%7CChitosan%22%5D%5D?strength-weight-map=%257B%2522MEDLINE_STRENGTH_AB%2522:1.0,%2522HPO%2522:100.0%257D", "Show Evidence...")</f>
        <v>Show Evidence...</v>
      </c>
    </row>
    <row r="3261" spans="1:10" ht="12.75">
      <c r="A3261" s="2" t="s">
        <v>4475</v>
      </c>
      <c r="B3261" s="2" t="s">
        <v>4476</v>
      </c>
      <c r="C3261" s="2" t="s">
        <v>24</v>
      </c>
      <c r="D3261" s="2" t="s">
        <v>4477</v>
      </c>
      <c r="E3261" s="2" t="s">
        <v>53</v>
      </c>
      <c r="F3261" s="11" t="s">
        <v>4514</v>
      </c>
      <c r="G3261" t="s">
        <v>39</v>
      </c>
      <c r="H3261" t="s">
        <v>4515</v>
      </c>
      <c r="I3261" t="s">
        <v>4509</v>
      </c>
      <c r="J3261" s="6" t="str">
        <f>HYPERLINK("https://www.biovista.com/db/link/%5B%5B%22Disease%7CZellweger%20Syndrome%22%5D,%20%5B%22Drug%7CCycloheximide%22%5D%5D?strength-weight-map=%257B%2522MEDLINE_STRENGTH_AB%2522:1.0,%2522HPO%2522:100.0%257D", "Show Evidence...")</f>
        <v>Show Evidence...</v>
      </c>
    </row>
    <row r="3262" spans="1:10" ht="12.75">
      <c r="A3262" s="2" t="s">
        <v>4475</v>
      </c>
      <c r="B3262" s="2" t="s">
        <v>4476</v>
      </c>
      <c r="C3262" s="2" t="s">
        <v>24</v>
      </c>
      <c r="D3262" s="2" t="s">
        <v>4477</v>
      </c>
      <c r="E3262" s="2" t="s">
        <v>53</v>
      </c>
      <c r="F3262" s="11" t="s">
        <v>4516</v>
      </c>
      <c r="G3262" t="s">
        <v>39</v>
      </c>
      <c r="H3262" t="s">
        <v>4517</v>
      </c>
      <c r="I3262" t="s">
        <v>4509</v>
      </c>
      <c r="J3262" s="6" t="str">
        <f>HYPERLINK("https://www.biovista.com/db/link/%5B%5B%22Disease%7CZellweger%20Syndrome%22%5D,%20%5B%22Drug%7Cethyl%202-(5-(4-chlorophenyl)pentyl)oxiran-2-carboxylate%22%5D%5D?strength-weight-map=%257B%2522MEDLINE_STRENGTH_AB%2522:1.0,%2522HPO%2522:100.0%257D", "Show Evidence...")</f>
        <v>Show Evidence...</v>
      </c>
    </row>
    <row r="3263" spans="1:10" ht="12.75">
      <c r="A3263" s="2" t="s">
        <v>4475</v>
      </c>
      <c r="B3263" s="2" t="s">
        <v>4476</v>
      </c>
      <c r="C3263" s="2" t="s">
        <v>24</v>
      </c>
      <c r="D3263" s="2" t="s">
        <v>4477</v>
      </c>
      <c r="E3263" s="2" t="s">
        <v>53</v>
      </c>
      <c r="F3263" s="11" t="s">
        <v>4518</v>
      </c>
      <c r="G3263" t="s">
        <v>39</v>
      </c>
      <c r="H3263" t="s">
        <v>4519</v>
      </c>
      <c r="I3263" t="s">
        <v>4509</v>
      </c>
      <c r="J3263" s="6" t="str">
        <f>HYPERLINK("https://www.biovista.com/db/link/%5B%5B%22Disease%7CZellweger%20Syndrome%22%5D,%20%5B%22Drug%7CEthylmaleimide%22%5D%5D?strength-weight-map=%257B%2522MEDLINE_STRENGTH_AB%2522:1.0,%2522HPO%2522:100.0%257D", "Show Evidence...")</f>
        <v>Show Evidence...</v>
      </c>
    </row>
    <row r="3264" spans="1:10" ht="12.75">
      <c r="A3264" s="2" t="s">
        <v>4475</v>
      </c>
      <c r="B3264" s="2" t="s">
        <v>4476</v>
      </c>
      <c r="C3264" s="2" t="s">
        <v>24</v>
      </c>
      <c r="D3264" s="2" t="s">
        <v>4477</v>
      </c>
      <c r="E3264" s="2" t="s">
        <v>53</v>
      </c>
      <c r="F3264" s="11" t="s">
        <v>2380</v>
      </c>
      <c r="G3264" t="s">
        <v>39</v>
      </c>
      <c r="H3264" t="s">
        <v>2381</v>
      </c>
      <c r="I3264" t="s">
        <v>4509</v>
      </c>
      <c r="J3264" s="6" t="str">
        <f>HYPERLINK("https://www.biovista.com/db/link/%5B%5B%22Disease%7CZellweger%20Syndrome%22%5D,%20%5B%22Drug%7CFollicle%20Stimulating%20Hormone%22%5D%5D?strength-weight-map=%257B%2522MEDLINE_STRENGTH_AB%2522:1.0,%2522HPO%2522:100.0%257D", "Show Evidence...")</f>
        <v>Show Evidence...</v>
      </c>
    </row>
    <row r="3265" spans="1:10" ht="12.75">
      <c r="A3265" s="2" t="s">
        <v>4475</v>
      </c>
      <c r="B3265" s="2" t="s">
        <v>4476</v>
      </c>
      <c r="C3265" s="2" t="s">
        <v>24</v>
      </c>
      <c r="D3265" s="2" t="s">
        <v>4477</v>
      </c>
      <c r="E3265" s="2" t="s">
        <v>53</v>
      </c>
      <c r="F3265" s="11" t="s">
        <v>4520</v>
      </c>
      <c r="G3265" t="s">
        <v>39</v>
      </c>
      <c r="H3265" t="s">
        <v>4521</v>
      </c>
      <c r="I3265" t="s">
        <v>4509</v>
      </c>
      <c r="J3265" s="6" t="str">
        <f>HYPERLINK("https://www.biovista.com/db/link/%5B%5B%22Disease%7CZellweger%20Syndrome%22%5D,%20%5B%22Drug%7CIohexol%22%5D%5D?strength-weight-map=%257B%2522MEDLINE_STRENGTH_AB%2522:1.0,%2522HPO%2522:100.0%257D", "Show Evidence...")</f>
        <v>Show Evidence...</v>
      </c>
    </row>
    <row r="3266" spans="1:10" ht="12.75">
      <c r="A3266" s="2" t="s">
        <v>4475</v>
      </c>
      <c r="B3266" s="2" t="s">
        <v>4476</v>
      </c>
      <c r="C3266" s="2" t="s">
        <v>24</v>
      </c>
      <c r="D3266" s="2" t="s">
        <v>4477</v>
      </c>
      <c r="E3266" s="2" t="s">
        <v>53</v>
      </c>
      <c r="F3266" s="11" t="s">
        <v>4522</v>
      </c>
      <c r="G3266" t="s">
        <v>39</v>
      </c>
      <c r="H3266" t="s">
        <v>4523</v>
      </c>
      <c r="I3266" t="s">
        <v>4509</v>
      </c>
      <c r="J3266" s="6" t="str">
        <f>HYPERLINK("https://www.biovista.com/db/link/%5B%5B%22Disease%7CZellweger%20Syndrome%22%5D,%20%5B%22Drug%7CLovastatin%22%5D%5D?strength-weight-map=%257B%2522MEDLINE_STRENGTH_AB%2522:1.0,%2522HPO%2522:100.0%257D", "Show Evidence...")</f>
        <v>Show Evidence...</v>
      </c>
    </row>
    <row r="3267" spans="1:10" ht="12.75">
      <c r="A3267" s="2" t="s">
        <v>4475</v>
      </c>
      <c r="B3267" s="2" t="s">
        <v>4476</v>
      </c>
      <c r="C3267" s="2" t="s">
        <v>24</v>
      </c>
      <c r="D3267" s="2" t="s">
        <v>4477</v>
      </c>
      <c r="E3267" s="2" t="s">
        <v>53</v>
      </c>
      <c r="F3267" s="11" t="s">
        <v>4524</v>
      </c>
      <c r="G3267" t="s">
        <v>39</v>
      </c>
      <c r="H3267" t="s">
        <v>4525</v>
      </c>
      <c r="I3267" t="s">
        <v>4509</v>
      </c>
      <c r="J3267" s="6" t="str">
        <f>HYPERLINK("https://www.biovista.com/db/link/%5B%5B%22Disease%7CZellweger%20Syndrome%22%5D,%20%5B%22Drug%7CMethadone%22%5D%5D?strength-weight-map=%257B%2522MEDLINE_STRENGTH_AB%2522:1.0,%2522HPO%2522:100.0%257D", "Show Evidence...")</f>
        <v>Show Evidence...</v>
      </c>
    </row>
    <row r="3268" spans="1:10" ht="12.75">
      <c r="A3268" s="2" t="s">
        <v>4475</v>
      </c>
      <c r="B3268" s="2" t="s">
        <v>4476</v>
      </c>
      <c r="C3268" s="2" t="s">
        <v>24</v>
      </c>
      <c r="D3268" s="2" t="s">
        <v>4477</v>
      </c>
      <c r="E3268" s="2" t="s">
        <v>53</v>
      </c>
      <c r="F3268" s="11" t="s">
        <v>1854</v>
      </c>
      <c r="G3268" t="s">
        <v>39</v>
      </c>
      <c r="H3268" t="s">
        <v>1855</v>
      </c>
      <c r="I3268" t="s">
        <v>4509</v>
      </c>
      <c r="J3268" s="6" t="str">
        <f>HYPERLINK("https://www.biovista.com/db/link/%5B%5B%22Disease%7CZellweger%20Syndrome%22%5D,%20%5B%22Drug%7CRotenone%22%5D%5D?strength-weight-map=%257B%2522MEDLINE_STRENGTH_AB%2522:1.0,%2522HPO%2522:100.0%257D", "Show Evidence...")</f>
        <v>Show Evidence...</v>
      </c>
    </row>
    <row r="3269" spans="1:10" ht="12.75">
      <c r="A3269" s="2" t="s">
        <v>4475</v>
      </c>
      <c r="B3269" s="2" t="s">
        <v>4476</v>
      </c>
      <c r="C3269" s="2" t="s">
        <v>24</v>
      </c>
      <c r="D3269" s="2" t="s">
        <v>4477</v>
      </c>
      <c r="E3269" s="2" t="s">
        <v>53</v>
      </c>
      <c r="F3269" s="11" t="s">
        <v>72</v>
      </c>
      <c r="G3269" t="s">
        <v>39</v>
      </c>
      <c r="H3269" t="s">
        <v>73</v>
      </c>
      <c r="I3269" t="s">
        <v>4509</v>
      </c>
      <c r="J3269" s="6" t="str">
        <f>HYPERLINK("https://www.biovista.com/db/link/%5B%5B%22Disease%7CZellweger%20Syndrome%22%5D,%20%5B%22Drug%7CSerotonin%22%5D%5D?strength-weight-map=%257B%2522MEDLINE_STRENGTH_AB%2522:1.0,%2522HPO%2522:100.0%257D", "Show Evidence...")</f>
        <v>Show Evidence...</v>
      </c>
    </row>
    <row r="3270" spans="1:10" ht="12.75">
      <c r="A3270" s="2" t="s">
        <v>4475</v>
      </c>
      <c r="B3270" s="2" t="s">
        <v>4476</v>
      </c>
      <c r="C3270" s="2" t="s">
        <v>24</v>
      </c>
      <c r="D3270" s="2" t="s">
        <v>4477</v>
      </c>
      <c r="E3270" s="2" t="s">
        <v>53</v>
      </c>
      <c r="F3270" s="11" t="s">
        <v>160</v>
      </c>
      <c r="G3270" t="s">
        <v>39</v>
      </c>
      <c r="H3270" t="s">
        <v>161</v>
      </c>
      <c r="I3270" t="s">
        <v>4509</v>
      </c>
      <c r="J3270" s="6" t="str">
        <f>HYPERLINK("https://www.biovista.com/db/link/%5B%5B%22Disease%7CZellweger%20Syndrome%22%5D,%20%5B%22Drug%7CTestosterone%22%5D%5D?strength-weight-map=%257B%2522MEDLINE_STRENGTH_AB%2522:1.0,%2522HPO%2522:100.0%257D", "Show Evidence...")</f>
        <v>Show Evidence...</v>
      </c>
    </row>
    <row r="3271" spans="1:10" ht="12.75">
      <c r="A3271" s="2" t="s">
        <v>4475</v>
      </c>
      <c r="B3271" s="2" t="s">
        <v>4476</v>
      </c>
      <c r="C3271" s="2" t="s">
        <v>24</v>
      </c>
      <c r="D3271" s="2" t="s">
        <v>4477</v>
      </c>
      <c r="E3271" s="2" t="s">
        <v>53</v>
      </c>
      <c r="F3271" s="11" t="s">
        <v>263</v>
      </c>
      <c r="G3271" t="s">
        <v>39</v>
      </c>
      <c r="H3271" t="s">
        <v>264</v>
      </c>
      <c r="I3271" t="s">
        <v>4509</v>
      </c>
      <c r="J3271" s="6" t="str">
        <f>HYPERLINK("https://www.biovista.com/db/link/%5B%5B%22Disease%7CZellweger%20Syndrome%22%5D,%20%5B%22Drug%7CVitamin%20D%22%5D%5D?strength-weight-map=%257B%2522MEDLINE_STRENGTH_AB%2522:1.0,%2522HPO%2522:100.0%257D", "Show Evidence...")</f>
        <v>Show Evidence...</v>
      </c>
    </row>
    <row r="3272" spans="1:10" ht="12.75">
      <c r="A3272" s="2" t="s">
        <v>4475</v>
      </c>
      <c r="B3272" s="2" t="s">
        <v>4476</v>
      </c>
      <c r="C3272" s="2" t="s">
        <v>24</v>
      </c>
      <c r="D3272" s="2" t="s">
        <v>4477</v>
      </c>
      <c r="E3272" s="2" t="s">
        <v>53</v>
      </c>
      <c r="F3272" s="11" t="s">
        <v>4526</v>
      </c>
      <c r="G3272" t="s">
        <v>39</v>
      </c>
      <c r="H3272" t="s">
        <v>4527</v>
      </c>
      <c r="I3272" t="s">
        <v>4509</v>
      </c>
      <c r="J3272" s="6" t="str">
        <f>HYPERLINK("https://www.biovista.com/db/link/%5B%5B%22Disease%7CZellweger%20Syndrome%22%5D,%20%5B%22Drug%7CZeranol%22%5D%5D?strength-weight-map=%257B%2522MEDLINE_STRENGTH_AB%2522:1.0,%2522HPO%2522:100.0%257D", "Show Evidence...")</f>
        <v>Show Evidence...</v>
      </c>
    </row>
    <row r="3273" spans="1:10" ht="12.75">
      <c r="A3273" s="2" t="s">
        <v>4475</v>
      </c>
      <c r="B3273" s="2" t="s">
        <v>4476</v>
      </c>
      <c r="C3273" s="2" t="s">
        <v>24</v>
      </c>
      <c r="D3273" s="2" t="s">
        <v>4477</v>
      </c>
      <c r="E3273" s="2" t="s">
        <v>53</v>
      </c>
      <c r="F3273" s="11" t="s">
        <v>950</v>
      </c>
      <c r="G3273" t="s">
        <v>39</v>
      </c>
      <c r="H3273" t="s">
        <v>951</v>
      </c>
      <c r="I3273" t="s">
        <v>4528</v>
      </c>
      <c r="J3273" s="6" t="str">
        <f>HYPERLINK("https://www.biovista.com/db/link/%5B%5B%22Disease%7CZellweger%20Syndrome%22%5D,%20%5B%22Drug%7C2-Aminoadipic%20Acid%22%5D%5D?strength-weight-map=%257B%2522MEDLINE_STRENGTH_AB%2522:1.0,%2522HPO%2522:100.0%257D", "Show Evidence...")</f>
        <v>Show Evidence...</v>
      </c>
    </row>
    <row r="3274" spans="1:10" ht="12.75">
      <c r="A3274" s="2" t="s">
        <v>4475</v>
      </c>
      <c r="B3274" s="2" t="s">
        <v>4476</v>
      </c>
      <c r="C3274" s="2" t="s">
        <v>24</v>
      </c>
      <c r="D3274" s="2" t="s">
        <v>4477</v>
      </c>
      <c r="E3274" s="2" t="s">
        <v>53</v>
      </c>
      <c r="F3274" s="11" t="s">
        <v>4529</v>
      </c>
      <c r="G3274" t="s">
        <v>39</v>
      </c>
      <c r="H3274" t="s">
        <v>4530</v>
      </c>
      <c r="I3274" t="s">
        <v>4528</v>
      </c>
      <c r="J3274" s="6" t="str">
        <f>HYPERLINK("https://www.biovista.com/db/link/%5B%5B%22Disease%7CZellweger%20Syndrome%22%5D,%20%5B%22Drug%7C2-Propanol%22%5D%5D?strength-weight-map=%257B%2522MEDLINE_STRENGTH_AB%2522:1.0,%2522HPO%2522:100.0%257D", "Show Evidence...")</f>
        <v>Show Evidence...</v>
      </c>
    </row>
    <row r="3275" spans="1:10" ht="12.75">
      <c r="A3275" s="2" t="s">
        <v>4475</v>
      </c>
      <c r="B3275" s="2" t="s">
        <v>4476</v>
      </c>
      <c r="C3275" s="2" t="s">
        <v>24</v>
      </c>
      <c r="D3275" s="2" t="s">
        <v>4477</v>
      </c>
      <c r="E3275" s="2" t="s">
        <v>53</v>
      </c>
      <c r="F3275" s="11" t="s">
        <v>4228</v>
      </c>
      <c r="G3275" t="s">
        <v>39</v>
      </c>
      <c r="H3275" t="s">
        <v>4229</v>
      </c>
      <c r="I3275" t="s">
        <v>4528</v>
      </c>
      <c r="J3275" s="6" t="str">
        <f>HYPERLINK("https://www.biovista.com/db/link/%5B%5B%22Disease%7CZellweger%20Syndrome%22%5D,%20%5B%22Drug%7C4-hydroxy-2-nonenal%22%5D%5D?strength-weight-map=%257B%2522MEDLINE_STRENGTH_AB%2522:1.0,%2522HPO%2522:100.0%257D", "Show Evidence...")</f>
        <v>Show Evidence...</v>
      </c>
    </row>
    <row r="3276" spans="1:10" ht="12.75">
      <c r="A3276" s="2" t="s">
        <v>4475</v>
      </c>
      <c r="B3276" s="2" t="s">
        <v>4476</v>
      </c>
      <c r="C3276" s="2" t="s">
        <v>24</v>
      </c>
      <c r="D3276" s="2" t="s">
        <v>4477</v>
      </c>
      <c r="E3276" s="2" t="s">
        <v>53</v>
      </c>
      <c r="F3276" s="11" t="s">
        <v>964</v>
      </c>
      <c r="G3276" t="s">
        <v>39</v>
      </c>
      <c r="H3276" t="s">
        <v>965</v>
      </c>
      <c r="I3276" t="s">
        <v>4528</v>
      </c>
      <c r="J3276" s="6" t="str">
        <f>HYPERLINK("https://www.biovista.com/db/link/%5B%5B%22Disease%7CZellweger%20Syndrome%22%5D,%20%5B%22Drug%7CAcetylcysteine%22%5D%5D?strength-weight-map=%257B%2522MEDLINE_STRENGTH_AB%2522:1.0,%2522HPO%2522:100.0%257D", "Show Evidence...")</f>
        <v>Show Evidence...</v>
      </c>
    </row>
    <row r="3277" spans="1:10" ht="12.75">
      <c r="A3277" s="2" t="s">
        <v>4475</v>
      </c>
      <c r="B3277" s="2" t="s">
        <v>4476</v>
      </c>
      <c r="C3277" s="2" t="s">
        <v>24</v>
      </c>
      <c r="D3277" s="2" t="s">
        <v>4477</v>
      </c>
      <c r="E3277" s="2" t="s">
        <v>53</v>
      </c>
      <c r="F3277" s="11" t="s">
        <v>4531</v>
      </c>
      <c r="G3277" t="s">
        <v>39</v>
      </c>
      <c r="H3277" t="s">
        <v>4532</v>
      </c>
      <c r="I3277" t="s">
        <v>4528</v>
      </c>
      <c r="J3277" s="6" t="str">
        <f>HYPERLINK("https://www.biovista.com/db/link/%5B%5B%22Disease%7CZellweger%20Syndrome%22%5D,%20%5B%22Drug%7Cantibiotic%20G%20418%22%5D%5D?strength-weight-map=%257B%2522MEDLINE_STRENGTH_AB%2522:1.0,%2522HPO%2522:100.0%257D", "Show Evidence...")</f>
        <v>Show Evidence...</v>
      </c>
    </row>
    <row r="3278" spans="1:10" ht="12.75">
      <c r="A3278" s="2" t="s">
        <v>4475</v>
      </c>
      <c r="B3278" s="2" t="s">
        <v>4476</v>
      </c>
      <c r="C3278" s="2" t="s">
        <v>24</v>
      </c>
      <c r="D3278" s="2" t="s">
        <v>4477</v>
      </c>
      <c r="E3278" s="2" t="s">
        <v>53</v>
      </c>
      <c r="F3278" s="11" t="s">
        <v>243</v>
      </c>
      <c r="G3278" t="s">
        <v>39</v>
      </c>
      <c r="H3278" t="s">
        <v>244</v>
      </c>
      <c r="I3278" t="s">
        <v>4528</v>
      </c>
      <c r="J3278" s="6" t="str">
        <f>HYPERLINK("https://www.biovista.com/db/link/%5B%5B%22Disease%7CZellweger%20Syndrome%22%5D,%20%5B%22Drug%7CBentonite%22%5D%5D?strength-weight-map=%257B%2522MEDLINE_STRENGTH_AB%2522:1.0,%2522HPO%2522:100.0%257D", "Show Evidence...")</f>
        <v>Show Evidence...</v>
      </c>
    </row>
    <row r="3279" spans="1:10" ht="12.75">
      <c r="A3279" s="2" t="s">
        <v>4475</v>
      </c>
      <c r="B3279" s="2" t="s">
        <v>4476</v>
      </c>
      <c r="C3279" s="2" t="s">
        <v>24</v>
      </c>
      <c r="D3279" s="2" t="s">
        <v>4477</v>
      </c>
      <c r="E3279" s="2" t="s">
        <v>53</v>
      </c>
      <c r="F3279" s="11" t="s">
        <v>1901</v>
      </c>
      <c r="G3279" t="s">
        <v>39</v>
      </c>
      <c r="H3279" t="s">
        <v>1902</v>
      </c>
      <c r="I3279" t="s">
        <v>4528</v>
      </c>
      <c r="J3279" s="6" t="str">
        <f>HYPERLINK("https://www.biovista.com/db/link/%5B%5B%22Disease%7CZellweger%20Syndrome%22%5D,%20%5B%22Drug%7CBilirubin%22%5D%5D?strength-weight-map=%257B%2522MEDLINE_STRENGTH_AB%2522:1.0,%2522HPO%2522:100.0%257D", "Show Evidence...")</f>
        <v>Show Evidence...</v>
      </c>
    </row>
    <row r="3280" spans="1:10" ht="12.75">
      <c r="A3280" s="2" t="s">
        <v>4475</v>
      </c>
      <c r="B3280" s="2" t="s">
        <v>4476</v>
      </c>
      <c r="C3280" s="2" t="s">
        <v>24</v>
      </c>
      <c r="D3280" s="2" t="s">
        <v>4477</v>
      </c>
      <c r="E3280" s="2" t="s">
        <v>53</v>
      </c>
      <c r="F3280" s="11" t="s">
        <v>1905</v>
      </c>
      <c r="G3280" t="s">
        <v>39</v>
      </c>
      <c r="H3280" t="s">
        <v>1906</v>
      </c>
      <c r="I3280" t="s">
        <v>4528</v>
      </c>
      <c r="J3280" s="6" t="str">
        <f>HYPERLINK("https://www.biovista.com/db/link/%5B%5B%22Disease%7CZellweger%20Syndrome%22%5D,%20%5B%22Drug%7CBradykinin%22%5D%5D?strength-weight-map=%257B%2522MEDLINE_STRENGTH_AB%2522:1.0,%2522HPO%2522:100.0%257D", "Show Evidence...")</f>
        <v>Show Evidence...</v>
      </c>
    </row>
    <row r="3281" spans="1:10" ht="12.75">
      <c r="A3281" s="2" t="s">
        <v>4475</v>
      </c>
      <c r="B3281" s="2" t="s">
        <v>4476</v>
      </c>
      <c r="C3281" s="2" t="s">
        <v>24</v>
      </c>
      <c r="D3281" s="2" t="s">
        <v>4477</v>
      </c>
      <c r="E3281" s="2" t="s">
        <v>53</v>
      </c>
      <c r="F3281" s="11" t="s">
        <v>4533</v>
      </c>
      <c r="G3281" t="s">
        <v>39</v>
      </c>
      <c r="H3281" t="s">
        <v>4534</v>
      </c>
      <c r="I3281" t="s">
        <v>4528</v>
      </c>
      <c r="J3281" s="6" t="str">
        <f>HYPERLINK("https://www.biovista.com/db/link/%5B%5B%22Disease%7CZellweger%20Syndrome%22%5D,%20%5B%22Drug%7CComplement%20C1q%22%5D%5D?strength-weight-map=%257B%2522MEDLINE_STRENGTH_AB%2522:1.0,%2522HPO%2522:100.0%257D", "Show Evidence...")</f>
        <v>Show Evidence...</v>
      </c>
    </row>
    <row r="3282" spans="1:10" ht="12.75">
      <c r="A3282" s="2" t="s">
        <v>4475</v>
      </c>
      <c r="B3282" s="2" t="s">
        <v>4476</v>
      </c>
      <c r="C3282" s="2" t="s">
        <v>24</v>
      </c>
      <c r="D3282" s="2" t="s">
        <v>4477</v>
      </c>
      <c r="E3282" s="2" t="s">
        <v>53</v>
      </c>
      <c r="F3282" s="11" t="s">
        <v>1911</v>
      </c>
      <c r="G3282" t="s">
        <v>39</v>
      </c>
      <c r="H3282" t="s">
        <v>1912</v>
      </c>
      <c r="I3282" t="s">
        <v>4528</v>
      </c>
      <c r="J3282" s="6" t="str">
        <f>HYPERLINK("https://www.biovista.com/db/link/%5B%5B%22Disease%7CZellweger%20Syndrome%22%5D,%20%5B%22Drug%7CCyclophosphamide%22%5D%5D?strength-weight-map=%257B%2522MEDLINE_STRENGTH_AB%2522:1.0,%2522HPO%2522:100.0%257D", "Show Evidence...")</f>
        <v>Show Evidence...</v>
      </c>
    </row>
    <row r="3283" spans="1:10" ht="12.75">
      <c r="A3283" s="2" t="s">
        <v>4475</v>
      </c>
      <c r="B3283" s="2" t="s">
        <v>4476</v>
      </c>
      <c r="C3283" s="2" t="s">
        <v>24</v>
      </c>
      <c r="D3283" s="2" t="s">
        <v>4477</v>
      </c>
      <c r="E3283" s="2" t="s">
        <v>53</v>
      </c>
      <c r="F3283" s="11" t="s">
        <v>4535</v>
      </c>
      <c r="G3283" t="s">
        <v>39</v>
      </c>
      <c r="H3283" t="s">
        <v>4536</v>
      </c>
      <c r="I3283" t="s">
        <v>4528</v>
      </c>
      <c r="J3283" s="6" t="str">
        <f>HYPERLINK("https://www.biovista.com/db/link/%5B%5B%22Disease%7CZellweger%20Syndrome%22%5D,%20%5B%22Drug%7CDactinomycin%22%5D%5D?strength-weight-map=%257B%2522MEDLINE_STRENGTH_AB%2522:1.0,%2522HPO%2522:100.0%257D", "Show Evidence...")</f>
        <v>Show Evidence...</v>
      </c>
    </row>
    <row r="3284" spans="1:10" ht="12.75">
      <c r="A3284" s="2" t="s">
        <v>4475</v>
      </c>
      <c r="B3284" s="2" t="s">
        <v>4476</v>
      </c>
      <c r="C3284" s="2" t="s">
        <v>24</v>
      </c>
      <c r="D3284" s="2" t="s">
        <v>4477</v>
      </c>
      <c r="E3284" s="2" t="s">
        <v>53</v>
      </c>
      <c r="F3284" s="11" t="s">
        <v>200</v>
      </c>
      <c r="G3284" t="s">
        <v>39</v>
      </c>
      <c r="H3284" t="s">
        <v>201</v>
      </c>
      <c r="I3284" t="s">
        <v>4528</v>
      </c>
      <c r="J3284" s="6" t="str">
        <f>HYPERLINK("https://www.biovista.com/db/link/%5B%5B%22Disease%7CZellweger%20Syndrome%22%5D,%20%5B%22Drug%7CDiazepam%22%5D%5D?strength-weight-map=%257B%2522MEDLINE_STRENGTH_AB%2522:1.0,%2522HPO%2522:100.0%257D", "Show Evidence...")</f>
        <v>Show Evidence...</v>
      </c>
    </row>
    <row r="3285" spans="1:10" ht="12.75">
      <c r="A3285" s="2" t="s">
        <v>4475</v>
      </c>
      <c r="B3285" s="2" t="s">
        <v>4476</v>
      </c>
      <c r="C3285" s="2" t="s">
        <v>24</v>
      </c>
      <c r="D3285" s="2" t="s">
        <v>4477</v>
      </c>
      <c r="E3285" s="2" t="s">
        <v>53</v>
      </c>
      <c r="F3285" s="11" t="s">
        <v>2998</v>
      </c>
      <c r="G3285" t="s">
        <v>39</v>
      </c>
      <c r="H3285" t="s">
        <v>2999</v>
      </c>
      <c r="I3285" t="s">
        <v>4528</v>
      </c>
      <c r="J3285" s="6" t="str">
        <f>HYPERLINK("https://www.biovista.com/db/link/%5B%5B%22Disease%7CZellweger%20Syndrome%22%5D,%20%5B%22Drug%7CDiphosphonates%22%5D%5D?strength-weight-map=%257B%2522MEDLINE_STRENGTH_AB%2522:1.0,%2522HPO%2522:100.0%257D", "Show Evidence...")</f>
        <v>Show Evidence...</v>
      </c>
    </row>
    <row r="3286" spans="1:10" ht="12.75">
      <c r="A3286" s="2" t="s">
        <v>4475</v>
      </c>
      <c r="B3286" s="2" t="s">
        <v>4476</v>
      </c>
      <c r="C3286" s="2" t="s">
        <v>24</v>
      </c>
      <c r="D3286" s="2" t="s">
        <v>4477</v>
      </c>
      <c r="E3286" s="2" t="s">
        <v>53</v>
      </c>
      <c r="F3286" s="11" t="s">
        <v>191</v>
      </c>
      <c r="G3286" t="s">
        <v>39</v>
      </c>
      <c r="H3286" t="s">
        <v>192</v>
      </c>
      <c r="I3286" t="s">
        <v>4528</v>
      </c>
      <c r="J3286" s="6" t="str">
        <f>HYPERLINK("https://www.biovista.com/db/link/%5B%5B%22Disease%7CZellweger%20Syndrome%22%5D,%20%5B%22Drug%7CDoxorubicin%22%5D%5D?strength-weight-map=%257B%2522MEDLINE_STRENGTH_AB%2522:1.0,%2522HPO%2522:100.0%257D", "Show Evidence...")</f>
        <v>Show Evidence...</v>
      </c>
    </row>
    <row r="3287" spans="1:10" ht="12.75">
      <c r="A3287" s="2" t="s">
        <v>4475</v>
      </c>
      <c r="B3287" s="2" t="s">
        <v>4476</v>
      </c>
      <c r="C3287" s="2" t="s">
        <v>24</v>
      </c>
      <c r="D3287" s="2" t="s">
        <v>4477</v>
      </c>
      <c r="E3287" s="2" t="s">
        <v>53</v>
      </c>
      <c r="F3287" s="11" t="s">
        <v>4537</v>
      </c>
      <c r="G3287" t="s">
        <v>39</v>
      </c>
      <c r="H3287" t="s">
        <v>4538</v>
      </c>
      <c r="I3287" t="s">
        <v>4528</v>
      </c>
      <c r="J3287" s="6" t="str">
        <f>HYPERLINK("https://www.biovista.com/db/link/%5B%5B%22Disease%7CZellweger%20Syndrome%22%5D,%20%5B%22Drug%7CEpoprostenol%22%5D%5D?strength-weight-map=%257B%2522MEDLINE_STRENGTH_AB%2522:1.0,%2522HPO%2522:100.0%257D", "Show Evidence...")</f>
        <v>Show Evidence...</v>
      </c>
    </row>
    <row r="3288" spans="1:10" ht="12.75">
      <c r="A3288" s="2" t="s">
        <v>4475</v>
      </c>
      <c r="B3288" s="2" t="s">
        <v>4476</v>
      </c>
      <c r="C3288" s="2" t="s">
        <v>24</v>
      </c>
      <c r="D3288" s="2" t="s">
        <v>4477</v>
      </c>
      <c r="E3288" s="2" t="s">
        <v>53</v>
      </c>
      <c r="F3288" s="11" t="s">
        <v>4539</v>
      </c>
      <c r="G3288" t="s">
        <v>39</v>
      </c>
      <c r="H3288" t="s">
        <v>4540</v>
      </c>
      <c r="I3288" t="s">
        <v>4528</v>
      </c>
      <c r="J3288" s="6" t="str">
        <f>HYPERLINK("https://www.biovista.com/db/link/%5B%5B%22Disease%7CZellweger%20Syndrome%22%5D,%20%5B%22Drug%7CEthylene%20Oxide%22%5D%5D?strength-weight-map=%257B%2522MEDLINE_STRENGTH_AB%2522:1.0,%2522HPO%2522:100.0%257D", "Show Evidence...")</f>
        <v>Show Evidence...</v>
      </c>
    </row>
    <row r="3289" spans="1:10" ht="12.75">
      <c r="A3289" s="2" t="s">
        <v>4475</v>
      </c>
      <c r="B3289" s="2" t="s">
        <v>4476</v>
      </c>
      <c r="C3289" s="2" t="s">
        <v>24</v>
      </c>
      <c r="D3289" s="2" t="s">
        <v>4477</v>
      </c>
      <c r="E3289" s="2" t="s">
        <v>53</v>
      </c>
      <c r="F3289" s="11" t="s">
        <v>4541</v>
      </c>
      <c r="G3289" t="s">
        <v>39</v>
      </c>
      <c r="H3289" t="s">
        <v>4542</v>
      </c>
      <c r="I3289" t="s">
        <v>4528</v>
      </c>
      <c r="J3289" s="6" t="str">
        <f>HYPERLINK("https://www.biovista.com/db/link/%5B%5B%22Disease%7CZellweger%20Syndrome%22%5D,%20%5B%22Drug%7Cetomoxir%22%5D%5D?strength-weight-map=%257B%2522MEDLINE_STRENGTH_AB%2522:1.0,%2522HPO%2522:100.0%257D", "Show Evidence...")</f>
        <v>Show Evidence...</v>
      </c>
    </row>
    <row r="3290" spans="1:10" ht="12.75">
      <c r="A3290" s="2" t="s">
        <v>4475</v>
      </c>
      <c r="B3290" s="2" t="s">
        <v>4476</v>
      </c>
      <c r="C3290" s="2" t="s">
        <v>24</v>
      </c>
      <c r="D3290" s="2" t="s">
        <v>4477</v>
      </c>
      <c r="E3290" s="2" t="s">
        <v>53</v>
      </c>
      <c r="F3290" s="11" t="s">
        <v>4543</v>
      </c>
      <c r="G3290" t="s">
        <v>39</v>
      </c>
      <c r="H3290" t="s">
        <v>4544</v>
      </c>
      <c r="I3290" t="s">
        <v>4528</v>
      </c>
      <c r="J3290" s="6" t="str">
        <f>HYPERLINK("https://www.biovista.com/db/link/%5B%5B%22Disease%7CZellweger%20Syndrome%22%5D,%20%5B%22Drug%7Cferulic%20acid%22%5D%5D?strength-weight-map=%257B%2522MEDLINE_STRENGTH_AB%2522:1.0,%2522HPO%2522:100.0%257D", "Show Evidence...")</f>
        <v>Show Evidence...</v>
      </c>
    </row>
    <row r="3291" spans="1:10" ht="12.75">
      <c r="A3291" s="2" t="s">
        <v>4475</v>
      </c>
      <c r="B3291" s="2" t="s">
        <v>4476</v>
      </c>
      <c r="C3291" s="2" t="s">
        <v>24</v>
      </c>
      <c r="D3291" s="2" t="s">
        <v>4477</v>
      </c>
      <c r="E3291" s="2" t="s">
        <v>53</v>
      </c>
      <c r="F3291" s="11" t="s">
        <v>2489</v>
      </c>
      <c r="G3291" t="s">
        <v>39</v>
      </c>
      <c r="H3291" t="s">
        <v>2490</v>
      </c>
      <c r="I3291" t="s">
        <v>4528</v>
      </c>
      <c r="J3291" s="6" t="str">
        <f>HYPERLINK("https://www.biovista.com/db/link/%5B%5B%22Disease%7CZellweger%20Syndrome%22%5D,%20%5B%22Drug%7CFluorescein%22%5D%5D?strength-weight-map=%257B%2522MEDLINE_STRENGTH_AB%2522:1.0,%2522HPO%2522:100.0%257D", "Show Evidence...")</f>
        <v>Show Evidence...</v>
      </c>
    </row>
    <row r="3292" spans="1:10" ht="12.75">
      <c r="A3292" s="2" t="s">
        <v>4475</v>
      </c>
      <c r="B3292" s="2" t="s">
        <v>4476</v>
      </c>
      <c r="C3292" s="2" t="s">
        <v>24</v>
      </c>
      <c r="D3292" s="2" t="s">
        <v>4477</v>
      </c>
      <c r="E3292" s="2" t="s">
        <v>53</v>
      </c>
      <c r="F3292" s="11" t="s">
        <v>1599</v>
      </c>
      <c r="G3292" t="s">
        <v>39</v>
      </c>
      <c r="H3292" t="s">
        <v>1600</v>
      </c>
      <c r="I3292" t="s">
        <v>4528</v>
      </c>
      <c r="J3292" s="6" t="str">
        <f>HYPERLINK("https://www.biovista.com/db/link/%5B%5B%22Disease%7CZellweger%20Syndrome%22%5D,%20%5B%22Drug%7CFolic%20Acid%22%5D%5D?strength-weight-map=%257B%2522MEDLINE_STRENGTH_AB%2522:1.0,%2522HPO%2522:100.0%257D", "Show Evidence...")</f>
        <v>Show Evidence...</v>
      </c>
    </row>
    <row r="3293" spans="1:10" ht="12.75">
      <c r="A3293" s="2" t="s">
        <v>4475</v>
      </c>
      <c r="B3293" s="2" t="s">
        <v>4476</v>
      </c>
      <c r="C3293" s="2" t="s">
        <v>24</v>
      </c>
      <c r="D3293" s="2" t="s">
        <v>4477</v>
      </c>
      <c r="E3293" s="2" t="s">
        <v>53</v>
      </c>
      <c r="F3293" s="11" t="s">
        <v>4545</v>
      </c>
      <c r="G3293" t="s">
        <v>39</v>
      </c>
      <c r="H3293" t="s">
        <v>4546</v>
      </c>
      <c r="I3293" t="s">
        <v>4528</v>
      </c>
      <c r="J3293" s="6" t="str">
        <f>HYPERLINK("https://www.biovista.com/db/link/%5B%5B%22Disease%7CZellweger%20Syndrome%22%5D,%20%5B%22Drug%7CFormaldehyde%22%5D%5D?strength-weight-map=%257B%2522MEDLINE_STRENGTH_AB%2522:1.0,%2522HPO%2522:100.0%257D", "Show Evidence...")</f>
        <v>Show Evidence...</v>
      </c>
    </row>
    <row r="3294" spans="1:10" ht="12.75">
      <c r="A3294" s="2" t="s">
        <v>4475</v>
      </c>
      <c r="B3294" s="2" t="s">
        <v>4476</v>
      </c>
      <c r="C3294" s="2" t="s">
        <v>24</v>
      </c>
      <c r="D3294" s="2" t="s">
        <v>4477</v>
      </c>
      <c r="E3294" s="2" t="s">
        <v>53</v>
      </c>
      <c r="F3294" s="11" t="s">
        <v>4251</v>
      </c>
      <c r="G3294" t="s">
        <v>39</v>
      </c>
      <c r="H3294" t="s">
        <v>4252</v>
      </c>
      <c r="I3294" t="s">
        <v>4528</v>
      </c>
      <c r="J3294" s="6" t="str">
        <f>HYPERLINK("https://www.biovista.com/db/link/%5B%5B%22Disease%7CZellweger%20Syndrome%22%5D,%20%5B%22Drug%7Cglycolic%20acid%22%5D%5D?strength-weight-map=%257B%2522MEDLINE_STRENGTH_AB%2522:1.0,%2522HPO%2522:100.0%257D", "Show Evidence...")</f>
        <v>Show Evidence...</v>
      </c>
    </row>
    <row r="3295" spans="1:10" ht="12.75">
      <c r="A3295" s="2" t="s">
        <v>4475</v>
      </c>
      <c r="B3295" s="2" t="s">
        <v>4476</v>
      </c>
      <c r="C3295" s="2" t="s">
        <v>24</v>
      </c>
      <c r="D3295" s="2" t="s">
        <v>4477</v>
      </c>
      <c r="E3295" s="2" t="s">
        <v>53</v>
      </c>
      <c r="F3295" s="11" t="s">
        <v>2493</v>
      </c>
      <c r="G3295" t="s">
        <v>39</v>
      </c>
      <c r="H3295" t="s">
        <v>2494</v>
      </c>
      <c r="I3295" t="s">
        <v>4528</v>
      </c>
      <c r="J3295" s="6" t="str">
        <f>HYPERLINK("https://www.biovista.com/db/link/%5B%5B%22Disease%7CZellweger%20Syndrome%22%5D,%20%5B%22Drug%7CHistamine%22%5D%5D?strength-weight-map=%257B%2522MEDLINE_STRENGTH_AB%2522:1.0,%2522HPO%2522:100.0%257D", "Show Evidence...")</f>
        <v>Show Evidence...</v>
      </c>
    </row>
    <row r="3296" spans="1:10" ht="12.75">
      <c r="A3296" s="2" t="s">
        <v>4475</v>
      </c>
      <c r="B3296" s="2" t="s">
        <v>4476</v>
      </c>
      <c r="C3296" s="2" t="s">
        <v>24</v>
      </c>
      <c r="D3296" s="2" t="s">
        <v>4477</v>
      </c>
      <c r="E3296" s="2" t="s">
        <v>53</v>
      </c>
      <c r="F3296" s="11" t="s">
        <v>125</v>
      </c>
      <c r="G3296" t="s">
        <v>39</v>
      </c>
      <c r="H3296" t="s">
        <v>126</v>
      </c>
      <c r="I3296" t="s">
        <v>4528</v>
      </c>
      <c r="J3296" s="6" t="str">
        <f>HYPERLINK("https://www.biovista.com/db/link/%5B%5B%22Disease%7CZellweger%20Syndrome%22%5D,%20%5B%22Drug%7CHydrocortisone%22%5D%5D?strength-weight-map=%257B%2522MEDLINE_STRENGTH_AB%2522:1.0,%2522HPO%2522:100.0%257D", "Show Evidence...")</f>
        <v>Show Evidence...</v>
      </c>
    </row>
    <row r="3297" spans="1:10" ht="12.75">
      <c r="A3297" s="2" t="s">
        <v>4475</v>
      </c>
      <c r="B3297" s="2" t="s">
        <v>4476</v>
      </c>
      <c r="C3297" s="2" t="s">
        <v>24</v>
      </c>
      <c r="D3297" s="2" t="s">
        <v>4477</v>
      </c>
      <c r="E3297" s="2" t="s">
        <v>53</v>
      </c>
      <c r="F3297" s="11" t="s">
        <v>4547</v>
      </c>
      <c r="G3297" t="s">
        <v>39</v>
      </c>
      <c r="H3297" t="s">
        <v>4548</v>
      </c>
      <c r="I3297" t="s">
        <v>4528</v>
      </c>
      <c r="J3297" s="6" t="str">
        <f>HYPERLINK("https://www.biovista.com/db/link/%5B%5B%22Disease%7CZellweger%20Syndrome%22%5D,%20%5B%22Drug%7CIndomethacin%22%5D%5D?strength-weight-map=%257B%2522MEDLINE_STRENGTH_AB%2522:1.0,%2522HPO%2522:100.0%257D", "Show Evidence...")</f>
        <v>Show Evidence...</v>
      </c>
    </row>
    <row r="3298" spans="1:10" ht="12.75">
      <c r="A3298" s="2" t="s">
        <v>4475</v>
      </c>
      <c r="B3298" s="2" t="s">
        <v>4476</v>
      </c>
      <c r="C3298" s="2" t="s">
        <v>24</v>
      </c>
      <c r="D3298" s="2" t="s">
        <v>4477</v>
      </c>
      <c r="E3298" s="2" t="s">
        <v>53</v>
      </c>
      <c r="F3298" s="11" t="s">
        <v>1919</v>
      </c>
      <c r="G3298" t="s">
        <v>39</v>
      </c>
      <c r="H3298" t="s">
        <v>1920</v>
      </c>
      <c r="I3298" t="s">
        <v>4528</v>
      </c>
      <c r="J3298" s="6" t="str">
        <f>HYPERLINK("https://www.biovista.com/db/link/%5B%5B%22Disease%7CZellweger%20Syndrome%22%5D,%20%5B%22Drug%7CInterferons%22%5D%5D?strength-weight-map=%257B%2522MEDLINE_STRENGTH_AB%2522:1.0,%2522HPO%2522:100.0%257D", "Show Evidence...")</f>
        <v>Show Evidence...</v>
      </c>
    </row>
    <row r="3299" spans="1:10" ht="12.75">
      <c r="A3299" s="2" t="s">
        <v>4475</v>
      </c>
      <c r="B3299" s="2" t="s">
        <v>4476</v>
      </c>
      <c r="C3299" s="2" t="s">
        <v>24</v>
      </c>
      <c r="D3299" s="2" t="s">
        <v>4477</v>
      </c>
      <c r="E3299" s="2" t="s">
        <v>53</v>
      </c>
      <c r="F3299" s="11" t="s">
        <v>4549</v>
      </c>
      <c r="G3299" t="s">
        <v>39</v>
      </c>
      <c r="H3299" t="s">
        <v>4550</v>
      </c>
      <c r="I3299" t="s">
        <v>4528</v>
      </c>
      <c r="J3299" s="6" t="str">
        <f>HYPERLINK("https://www.biovista.com/db/link/%5B%5B%22Disease%7CZellweger%20Syndrome%22%5D,%20%5B%22Drug%7CMagnesium%20Hydroxide%22%5D%5D?strength-weight-map=%257B%2522MEDLINE_STRENGTH_AB%2522:1.0,%2522HPO%2522:100.0%257D", "Show Evidence...")</f>
        <v>Show Evidence...</v>
      </c>
    </row>
    <row r="3300" spans="1:10" ht="12.75">
      <c r="A3300" s="2" t="s">
        <v>4475</v>
      </c>
      <c r="B3300" s="2" t="s">
        <v>4476</v>
      </c>
      <c r="C3300" s="2" t="s">
        <v>24</v>
      </c>
      <c r="D3300" s="2" t="s">
        <v>4477</v>
      </c>
      <c r="E3300" s="2" t="s">
        <v>53</v>
      </c>
      <c r="F3300" s="11" t="s">
        <v>4551</v>
      </c>
      <c r="G3300" t="s">
        <v>39</v>
      </c>
      <c r="H3300" t="s">
        <v>4552</v>
      </c>
      <c r="I3300" t="s">
        <v>4528</v>
      </c>
      <c r="J3300" s="6" t="str">
        <f>HYPERLINK("https://www.biovista.com/db/link/%5B%5B%22Disease%7CZellweger%20Syndrome%22%5D,%20%5B%22Drug%7CMeglumine%20Antimoniate%22%5D%5D?strength-weight-map=%257B%2522MEDLINE_STRENGTH_AB%2522:1.0,%2522HPO%2522:100.0%257D", "Show Evidence...")</f>
        <v>Show Evidence...</v>
      </c>
    </row>
    <row r="3301" spans="1:10" ht="12.75">
      <c r="A3301" s="2" t="s">
        <v>4475</v>
      </c>
      <c r="B3301" s="2" t="s">
        <v>4476</v>
      </c>
      <c r="C3301" s="2" t="s">
        <v>24</v>
      </c>
      <c r="D3301" s="2" t="s">
        <v>4477</v>
      </c>
      <c r="E3301" s="2" t="s">
        <v>53</v>
      </c>
      <c r="F3301" s="11" t="s">
        <v>1048</v>
      </c>
      <c r="G3301" t="s">
        <v>39</v>
      </c>
      <c r="H3301" t="s">
        <v>1049</v>
      </c>
      <c r="I3301" t="s">
        <v>4528</v>
      </c>
      <c r="J3301" s="6" t="str">
        <f>HYPERLINK("https://www.biovista.com/db/link/%5B%5B%22Disease%7CZellweger%20Syndrome%22%5D,%20%5B%22Drug%7CMethamphetamine%22%5D%5D?strength-weight-map=%257B%2522MEDLINE_STRENGTH_AB%2522:1.0,%2522HPO%2522:100.0%257D", "Show Evidence...")</f>
        <v>Show Evidence...</v>
      </c>
    </row>
    <row r="3302" spans="1:10" ht="12.75">
      <c r="A3302" s="2" t="s">
        <v>4475</v>
      </c>
      <c r="B3302" s="2" t="s">
        <v>4476</v>
      </c>
      <c r="C3302" s="2" t="s">
        <v>24</v>
      </c>
      <c r="D3302" s="2" t="s">
        <v>4477</v>
      </c>
      <c r="E3302" s="2" t="s">
        <v>53</v>
      </c>
      <c r="F3302" s="11" t="s">
        <v>1886</v>
      </c>
      <c r="G3302" t="s">
        <v>39</v>
      </c>
      <c r="H3302" t="s">
        <v>1887</v>
      </c>
      <c r="I3302" t="s">
        <v>4528</v>
      </c>
      <c r="J3302" s="6" t="str">
        <f>HYPERLINK("https://www.biovista.com/db/link/%5B%5B%22Disease%7CZellweger%20Syndrome%22%5D,%20%5B%22Drug%7CMethotrexate%22%5D%5D?strength-weight-map=%257B%2522MEDLINE_STRENGTH_AB%2522:1.0,%2522HPO%2522:100.0%257D", "Show Evidence...")</f>
        <v>Show Evidence...</v>
      </c>
    </row>
    <row r="3303" spans="1:10" ht="12.75">
      <c r="A3303" s="2" t="s">
        <v>4475</v>
      </c>
      <c r="B3303" s="2" t="s">
        <v>4476</v>
      </c>
      <c r="C3303" s="2" t="s">
        <v>24</v>
      </c>
      <c r="D3303" s="2" t="s">
        <v>4477</v>
      </c>
      <c r="E3303" s="2" t="s">
        <v>53</v>
      </c>
      <c r="F3303" s="11" t="s">
        <v>4553</v>
      </c>
      <c r="G3303" t="s">
        <v>39</v>
      </c>
      <c r="H3303" t="s">
        <v>4554</v>
      </c>
      <c r="I3303" t="s">
        <v>4528</v>
      </c>
      <c r="J3303" s="6" t="str">
        <f>HYPERLINK("https://www.biovista.com/db/link/%5B%5B%22Disease%7CZellweger%20Syndrome%22%5D,%20%5B%22Drug%7CMycophenolic%20Acid%22%5D%5D?strength-weight-map=%257B%2522MEDLINE_STRENGTH_AB%2522:1.0,%2522HPO%2522:100.0%257D", "Show Evidence...")</f>
        <v>Show Evidence...</v>
      </c>
    </row>
    <row r="3304" spans="1:10" ht="12.75">
      <c r="A3304" s="2" t="s">
        <v>4475</v>
      </c>
      <c r="B3304" s="2" t="s">
        <v>4476</v>
      </c>
      <c r="C3304" s="2" t="s">
        <v>24</v>
      </c>
      <c r="D3304" s="2" t="s">
        <v>4477</v>
      </c>
      <c r="E3304" s="2" t="s">
        <v>53</v>
      </c>
      <c r="F3304" s="11" t="s">
        <v>147</v>
      </c>
      <c r="G3304" t="s">
        <v>39</v>
      </c>
      <c r="H3304" t="s">
        <v>148</v>
      </c>
      <c r="I3304" t="s">
        <v>4528</v>
      </c>
      <c r="J3304" s="6" t="str">
        <f>HYPERLINK("https://www.biovista.com/db/link/%5B%5B%22Disease%7CZellweger%20Syndrome%22%5D,%20%5B%22Drug%7CN-Methylaspartate%22%5D%5D?strength-weight-map=%257B%2522MEDLINE_STRENGTH_AB%2522:1.0,%2522HPO%2522:100.0%257D", "Show Evidence...")</f>
        <v>Show Evidence...</v>
      </c>
    </row>
    <row r="3305" spans="1:10" ht="12.75">
      <c r="A3305" s="2" t="s">
        <v>4475</v>
      </c>
      <c r="B3305" s="2" t="s">
        <v>4476</v>
      </c>
      <c r="C3305" s="2" t="s">
        <v>24</v>
      </c>
      <c r="D3305" s="2" t="s">
        <v>4477</v>
      </c>
      <c r="E3305" s="2" t="s">
        <v>53</v>
      </c>
      <c r="F3305" s="11" t="s">
        <v>995</v>
      </c>
      <c r="G3305" t="s">
        <v>39</v>
      </c>
      <c r="H3305" t="s">
        <v>996</v>
      </c>
      <c r="I3305" t="s">
        <v>4528</v>
      </c>
      <c r="J3305" s="6" t="str">
        <f>HYPERLINK("https://www.biovista.com/db/link/%5B%5B%22Disease%7CZellweger%20Syndrome%22%5D,%20%5B%22Drug%7CNG-Nitroarginine%20Methyl%20Ester%22%5D%5D?strength-weight-map=%257B%2522MEDLINE_STRENGTH_AB%2522:1.0,%2522HPO%2522:100.0%257D", "Show Evidence...")</f>
        <v>Show Evidence...</v>
      </c>
    </row>
    <row r="3306" spans="1:10" ht="12.75">
      <c r="A3306" s="2" t="s">
        <v>4475</v>
      </c>
      <c r="B3306" s="2" t="s">
        <v>4476</v>
      </c>
      <c r="C3306" s="2" t="s">
        <v>24</v>
      </c>
      <c r="D3306" s="2" t="s">
        <v>4477</v>
      </c>
      <c r="E3306" s="2" t="s">
        <v>53</v>
      </c>
      <c r="F3306" s="11" t="s">
        <v>4555</v>
      </c>
      <c r="G3306" t="s">
        <v>39</v>
      </c>
      <c r="H3306" t="s">
        <v>4556</v>
      </c>
      <c r="I3306" t="s">
        <v>4528</v>
      </c>
      <c r="J3306" s="6" t="str">
        <f>HYPERLINK("https://www.biovista.com/db/link/%5B%5B%22Disease%7CZellweger%20Syndrome%22%5D,%20%5B%22Drug%7CNocodazole%22%5D%5D?strength-weight-map=%257B%2522MEDLINE_STRENGTH_AB%2522:1.0,%2522HPO%2522:100.0%257D", "Show Evidence...")</f>
        <v>Show Evidence...</v>
      </c>
    </row>
    <row r="3307" spans="1:10" ht="12.75">
      <c r="A3307" s="2" t="s">
        <v>4475</v>
      </c>
      <c r="B3307" s="2" t="s">
        <v>4476</v>
      </c>
      <c r="C3307" s="2" t="s">
        <v>24</v>
      </c>
      <c r="D3307" s="2" t="s">
        <v>4477</v>
      </c>
      <c r="E3307" s="2" t="s">
        <v>53</v>
      </c>
      <c r="F3307" s="11" t="s">
        <v>255</v>
      </c>
      <c r="G3307" t="s">
        <v>39</v>
      </c>
      <c r="H3307" t="s">
        <v>256</v>
      </c>
      <c r="I3307" t="s">
        <v>4528</v>
      </c>
      <c r="J3307" s="6" t="str">
        <f>HYPERLINK("https://www.biovista.com/db/link/%5B%5B%22Disease%7CZellweger%20Syndrome%22%5D,%20%5B%22Drug%7CPaclitaxel%22%5D%5D?strength-weight-map=%257B%2522MEDLINE_STRENGTH_AB%2522:1.0,%2522HPO%2522:100.0%257D", "Show Evidence...")</f>
        <v>Show Evidence...</v>
      </c>
    </row>
    <row r="3308" spans="1:10" ht="12.75">
      <c r="A3308" s="2" t="s">
        <v>4475</v>
      </c>
      <c r="B3308" s="2" t="s">
        <v>4476</v>
      </c>
      <c r="C3308" s="2" t="s">
        <v>24</v>
      </c>
      <c r="D3308" s="2" t="s">
        <v>4477</v>
      </c>
      <c r="E3308" s="2" t="s">
        <v>53</v>
      </c>
      <c r="F3308" s="11" t="s">
        <v>4557</v>
      </c>
      <c r="G3308" t="s">
        <v>39</v>
      </c>
      <c r="H3308" t="s">
        <v>4558</v>
      </c>
      <c r="I3308" t="s">
        <v>4528</v>
      </c>
      <c r="J3308" s="6" t="str">
        <f>HYPERLINK("https://www.biovista.com/db/link/%5B%5B%22Disease%7CZellweger%20Syndrome%22%5D,%20%5B%22Drug%7Cpantogab%22%5D%5D?strength-weight-map=%257B%2522MEDLINE_STRENGTH_AB%2522:1.0,%2522HPO%2522:100.0%257D", "Show Evidence...")</f>
        <v>Show Evidence...</v>
      </c>
    </row>
    <row r="3309" spans="1:10" ht="12.75">
      <c r="A3309" s="2" t="s">
        <v>4475</v>
      </c>
      <c r="B3309" s="2" t="s">
        <v>4476</v>
      </c>
      <c r="C3309" s="2" t="s">
        <v>24</v>
      </c>
      <c r="D3309" s="2" t="s">
        <v>4477</v>
      </c>
      <c r="E3309" s="2" t="s">
        <v>53</v>
      </c>
      <c r="F3309" s="11" t="s">
        <v>4263</v>
      </c>
      <c r="G3309" t="s">
        <v>39</v>
      </c>
      <c r="H3309" t="s">
        <v>4264</v>
      </c>
      <c r="I3309" t="s">
        <v>4528</v>
      </c>
      <c r="J3309" s="6" t="str">
        <f>HYPERLINK("https://www.biovista.com/db/link/%5B%5B%22Disease%7CZellweger%20Syndrome%22%5D,%20%5B%22Drug%7CPantothenic%20Acid%22%5D%5D?strength-weight-map=%257B%2522MEDLINE_STRENGTH_AB%2522:1.0,%2522HPO%2522:100.0%257D", "Show Evidence...")</f>
        <v>Show Evidence...</v>
      </c>
    </row>
    <row r="3310" spans="1:10" ht="12.75">
      <c r="A3310" s="2" t="s">
        <v>4475</v>
      </c>
      <c r="B3310" s="2" t="s">
        <v>4476</v>
      </c>
      <c r="C3310" s="2" t="s">
        <v>24</v>
      </c>
      <c r="D3310" s="2" t="s">
        <v>4477</v>
      </c>
      <c r="E3310" s="2" t="s">
        <v>53</v>
      </c>
      <c r="F3310" s="11" t="s">
        <v>3430</v>
      </c>
      <c r="G3310" t="s">
        <v>39</v>
      </c>
      <c r="H3310" t="s">
        <v>3431</v>
      </c>
      <c r="I3310" t="s">
        <v>4528</v>
      </c>
      <c r="J3310" s="6" t="str">
        <f>HYPERLINK("https://www.biovista.com/db/link/%5B%5B%22Disease%7CZellweger%20Syndrome%22%5D,%20%5B%22Drug%7CPenicillamine%22%5D%5D?strength-weight-map=%257B%2522MEDLINE_STRENGTH_AB%2522:1.0,%2522HPO%2522:100.0%257D", "Show Evidence...")</f>
        <v>Show Evidence...</v>
      </c>
    </row>
    <row r="3311" spans="1:10" ht="12.75">
      <c r="A3311" s="2" t="s">
        <v>4475</v>
      </c>
      <c r="B3311" s="2" t="s">
        <v>4476</v>
      </c>
      <c r="C3311" s="2" t="s">
        <v>24</v>
      </c>
      <c r="D3311" s="2" t="s">
        <v>4477</v>
      </c>
      <c r="E3311" s="2" t="s">
        <v>53</v>
      </c>
      <c r="F3311" s="11" t="s">
        <v>1931</v>
      </c>
      <c r="G3311" t="s">
        <v>39</v>
      </c>
      <c r="H3311" t="s">
        <v>1932</v>
      </c>
      <c r="I3311" t="s">
        <v>4528</v>
      </c>
      <c r="J3311" s="6" t="str">
        <f>HYPERLINK("https://www.biovista.com/db/link/%5B%5B%22Disease%7CZellweger%20Syndrome%22%5D,%20%5B%22Drug%7CPhenobarbital%22%5D%5D?strength-weight-map=%257B%2522MEDLINE_STRENGTH_AB%2522:1.0,%2522HPO%2522:100.0%257D", "Show Evidence...")</f>
        <v>Show Evidence...</v>
      </c>
    </row>
    <row r="3312" spans="1:10" ht="12.75">
      <c r="A3312" s="2" t="s">
        <v>4475</v>
      </c>
      <c r="B3312" s="2" t="s">
        <v>4476</v>
      </c>
      <c r="C3312" s="2" t="s">
        <v>24</v>
      </c>
      <c r="D3312" s="2" t="s">
        <v>4477</v>
      </c>
      <c r="E3312" s="2" t="s">
        <v>53</v>
      </c>
      <c r="F3312" s="11" t="s">
        <v>2387</v>
      </c>
      <c r="G3312" t="s">
        <v>39</v>
      </c>
      <c r="H3312" t="s">
        <v>2388</v>
      </c>
      <c r="I3312" t="s">
        <v>4528</v>
      </c>
      <c r="J3312" s="6" t="str">
        <f>HYPERLINK("https://www.biovista.com/db/link/%5B%5B%22Disease%7CZellweger%20Syndrome%22%5D,%20%5B%22Drug%7CPhenytoin%22%5D%5D?strength-weight-map=%257B%2522MEDLINE_STRENGTH_AB%2522:1.0,%2522HPO%2522:100.0%257D", "Show Evidence...")</f>
        <v>Show Evidence...</v>
      </c>
    </row>
    <row r="3313" spans="1:10" ht="12.75">
      <c r="A3313" s="2" t="s">
        <v>4475</v>
      </c>
      <c r="B3313" s="2" t="s">
        <v>4476</v>
      </c>
      <c r="C3313" s="2" t="s">
        <v>24</v>
      </c>
      <c r="D3313" s="2" t="s">
        <v>4477</v>
      </c>
      <c r="E3313" s="2" t="s">
        <v>53</v>
      </c>
      <c r="F3313" s="11" t="s">
        <v>4559</v>
      </c>
      <c r="G3313" t="s">
        <v>39</v>
      </c>
      <c r="H3313" t="s">
        <v>4560</v>
      </c>
      <c r="I3313" t="s">
        <v>4528</v>
      </c>
      <c r="J3313" s="6" t="str">
        <f>HYPERLINK("https://www.biovista.com/db/link/%5B%5B%22Disease%7CZellweger%20Syndrome%22%5D,%20%5B%22Drug%7CPotassium%20Cyanide%22%5D%5D?strength-weight-map=%257B%2522MEDLINE_STRENGTH_AB%2522:1.0,%2522HPO%2522:100.0%257D", "Show Evidence...")</f>
        <v>Show Evidence...</v>
      </c>
    </row>
    <row r="3314" spans="1:10" ht="12.75">
      <c r="A3314" s="2" t="s">
        <v>4475</v>
      </c>
      <c r="B3314" s="2" t="s">
        <v>4476</v>
      </c>
      <c r="C3314" s="2" t="s">
        <v>24</v>
      </c>
      <c r="D3314" s="2" t="s">
        <v>4477</v>
      </c>
      <c r="E3314" s="2" t="s">
        <v>53</v>
      </c>
      <c r="F3314" s="11" t="s">
        <v>4561</v>
      </c>
      <c r="G3314" t="s">
        <v>39</v>
      </c>
      <c r="H3314" t="s">
        <v>4562</v>
      </c>
      <c r="I3314" t="s">
        <v>4528</v>
      </c>
      <c r="J3314" s="6" t="str">
        <f>HYPERLINK("https://www.biovista.com/db/link/%5B%5B%22Disease%7CZellweger%20Syndrome%22%5D,%20%5B%22Drug%7CProgesterone%22%5D%5D?strength-weight-map=%257B%2522MEDLINE_STRENGTH_AB%2522:1.0,%2522HPO%2522:100.0%257D", "Show Evidence...")</f>
        <v>Show Evidence...</v>
      </c>
    </row>
    <row r="3315" spans="1:10" ht="12.75">
      <c r="A3315" s="2" t="s">
        <v>4475</v>
      </c>
      <c r="B3315" s="2" t="s">
        <v>4476</v>
      </c>
      <c r="C3315" s="2" t="s">
        <v>24</v>
      </c>
      <c r="D3315" s="2" t="s">
        <v>4477</v>
      </c>
      <c r="E3315" s="2" t="s">
        <v>53</v>
      </c>
      <c r="F3315" s="11" t="s">
        <v>4563</v>
      </c>
      <c r="G3315" t="s">
        <v>39</v>
      </c>
      <c r="H3315" t="s">
        <v>4564</v>
      </c>
      <c r="I3315" t="s">
        <v>4528</v>
      </c>
      <c r="J3315" s="6" t="str">
        <f>HYPERLINK("https://www.biovista.com/db/link/%5B%5B%22Disease%7CZellweger%20Syndrome%22%5D,%20%5B%22Drug%7Cribonuclease%20SPL%22%5D%5D?strength-weight-map=%257B%2522MEDLINE_STRENGTH_AB%2522:1.0,%2522HPO%2522:100.0%257D", "Show Evidence...")</f>
        <v>Show Evidence...</v>
      </c>
    </row>
    <row r="3316" spans="1:10" ht="12.75">
      <c r="A3316" s="2" t="s">
        <v>4475</v>
      </c>
      <c r="B3316" s="2" t="s">
        <v>4476</v>
      </c>
      <c r="C3316" s="2" t="s">
        <v>24</v>
      </c>
      <c r="D3316" s="2" t="s">
        <v>4477</v>
      </c>
      <c r="E3316" s="2" t="s">
        <v>53</v>
      </c>
      <c r="F3316" s="11" t="s">
        <v>929</v>
      </c>
      <c r="G3316" t="s">
        <v>39</v>
      </c>
      <c r="H3316" t="s">
        <v>930</v>
      </c>
      <c r="I3316" t="s">
        <v>4528</v>
      </c>
      <c r="J3316" s="6" t="str">
        <f>HYPERLINK("https://www.biovista.com/db/link/%5B%5B%22Disease%7CZellweger%20Syndrome%22%5D,%20%5B%22Drug%7CSalicylic%20Acid%22%5D%5D?strength-weight-map=%257B%2522MEDLINE_STRENGTH_AB%2522:1.0,%2522HPO%2522:100.0%257D", "Show Evidence...")</f>
        <v>Show Evidence...</v>
      </c>
    </row>
    <row r="3317" spans="1:10" ht="12.75">
      <c r="A3317" s="2" t="s">
        <v>4475</v>
      </c>
      <c r="B3317" s="2" t="s">
        <v>4476</v>
      </c>
      <c r="C3317" s="2" t="s">
        <v>24</v>
      </c>
      <c r="D3317" s="2" t="s">
        <v>4477</v>
      </c>
      <c r="E3317" s="2" t="s">
        <v>53</v>
      </c>
      <c r="F3317" s="11" t="s">
        <v>236</v>
      </c>
      <c r="G3317" t="s">
        <v>39</v>
      </c>
      <c r="H3317" t="s">
        <v>237</v>
      </c>
      <c r="I3317" t="s">
        <v>4528</v>
      </c>
      <c r="J3317" s="6" t="str">
        <f>HYPERLINK("https://www.biovista.com/db/link/%5B%5B%22Disease%7CZellweger%20Syndrome%22%5D,%20%5B%22Drug%7CSertraline%22%5D%5D?strength-weight-map=%257B%2522MEDLINE_STRENGTH_AB%2522:1.0,%2522HPO%2522:100.0%257D", "Show Evidence...")</f>
        <v>Show Evidence...</v>
      </c>
    </row>
    <row r="3318" spans="1:10" ht="12.75">
      <c r="A3318" s="2" t="s">
        <v>4475</v>
      </c>
      <c r="B3318" s="2" t="s">
        <v>4476</v>
      </c>
      <c r="C3318" s="2" t="s">
        <v>24</v>
      </c>
      <c r="D3318" s="2" t="s">
        <v>4477</v>
      </c>
      <c r="E3318" s="2" t="s">
        <v>53</v>
      </c>
      <c r="F3318" s="11" t="s">
        <v>4565</v>
      </c>
      <c r="G3318" t="s">
        <v>39</v>
      </c>
      <c r="H3318" t="s">
        <v>4566</v>
      </c>
      <c r="I3318" t="s">
        <v>4528</v>
      </c>
      <c r="J3318" s="6" t="str">
        <f>HYPERLINK("https://www.biovista.com/db/link/%5B%5B%22Disease%7CZellweger%20Syndrome%22%5D,%20%5B%22Drug%7CSoybean%20Oil%22%5D%5D?strength-weight-map=%257B%2522MEDLINE_STRENGTH_AB%2522:1.0,%2522HPO%2522:100.0%257D", "Show Evidence...")</f>
        <v>Show Evidence...</v>
      </c>
    </row>
    <row r="3319" spans="1:10" ht="12.75">
      <c r="A3319" s="2" t="s">
        <v>4475</v>
      </c>
      <c r="B3319" s="2" t="s">
        <v>4476</v>
      </c>
      <c r="C3319" s="2" t="s">
        <v>24</v>
      </c>
      <c r="D3319" s="2" t="s">
        <v>4477</v>
      </c>
      <c r="E3319" s="2" t="s">
        <v>53</v>
      </c>
      <c r="F3319" s="11" t="s">
        <v>278</v>
      </c>
      <c r="G3319" t="s">
        <v>39</v>
      </c>
      <c r="H3319" t="s">
        <v>279</v>
      </c>
      <c r="I3319" t="s">
        <v>4528</v>
      </c>
      <c r="J3319" s="6" t="str">
        <f>HYPERLINK("https://www.biovista.com/db/link/%5B%5B%22Disease%7CZellweger%20Syndrome%22%5D,%20%5B%22Drug%7CThyroxine%22%5D%5D?strength-weight-map=%257B%2522MEDLINE_STRENGTH_AB%2522:1.0,%2522HPO%2522:100.0%257D", "Show Evidence...")</f>
        <v>Show Evidence...</v>
      </c>
    </row>
    <row r="3320" spans="1:10" ht="12.75">
      <c r="A3320" s="2" t="s">
        <v>4475</v>
      </c>
      <c r="B3320" s="2" t="s">
        <v>4476</v>
      </c>
      <c r="C3320" s="2" t="s">
        <v>24</v>
      </c>
      <c r="D3320" s="2" t="s">
        <v>4477</v>
      </c>
      <c r="E3320" s="2" t="s">
        <v>53</v>
      </c>
      <c r="F3320" s="11" t="s">
        <v>4567</v>
      </c>
      <c r="G3320" t="s">
        <v>39</v>
      </c>
      <c r="H3320" t="s">
        <v>4568</v>
      </c>
      <c r="I3320" t="s">
        <v>4528</v>
      </c>
      <c r="J3320" s="6" t="str">
        <f>HYPERLINK("https://www.biovista.com/db/link/%5B%5B%22Disease%7CZellweger%20Syndrome%22%5D,%20%5B%22Drug%7CTolmetin%22%5D%5D?strength-weight-map=%257B%2522MEDLINE_STRENGTH_AB%2522:1.0,%2522HPO%2522:100.0%257D", "Show Evidence...")</f>
        <v>Show Evidence...</v>
      </c>
    </row>
    <row r="3321" spans="1:10" ht="12.75">
      <c r="A3321" s="2" t="s">
        <v>4475</v>
      </c>
      <c r="B3321" s="2" t="s">
        <v>4476</v>
      </c>
      <c r="C3321" s="2" t="s">
        <v>24</v>
      </c>
      <c r="D3321" s="2" t="s">
        <v>4477</v>
      </c>
      <c r="E3321" s="2" t="s">
        <v>53</v>
      </c>
      <c r="F3321" s="11" t="s">
        <v>4569</v>
      </c>
      <c r="G3321" t="s">
        <v>39</v>
      </c>
      <c r="H3321" t="s">
        <v>4570</v>
      </c>
      <c r="I3321" t="s">
        <v>4528</v>
      </c>
      <c r="J3321" s="6" t="str">
        <f>HYPERLINK("https://www.biovista.com/db/link/%5B%5B%22Disease%7CZellweger%20Syndrome%22%5D,%20%5B%22Drug%7CTyramine%22%5D%5D?strength-weight-map=%257B%2522MEDLINE_STRENGTH_AB%2522:1.0,%2522HPO%2522:100.0%257D", "Show Evidence...")</f>
        <v>Show Evidence...</v>
      </c>
    </row>
    <row r="3322" spans="1:10" ht="12.75">
      <c r="A3322" s="2" t="s">
        <v>4475</v>
      </c>
      <c r="B3322" s="2" t="s">
        <v>4476</v>
      </c>
      <c r="C3322" s="2" t="s">
        <v>24</v>
      </c>
      <c r="D3322" s="2" t="s">
        <v>4477</v>
      </c>
      <c r="E3322" s="2" t="s">
        <v>53</v>
      </c>
      <c r="F3322" s="11" t="s">
        <v>4571</v>
      </c>
      <c r="G3322" t="s">
        <v>39</v>
      </c>
      <c r="H3322" t="s">
        <v>4572</v>
      </c>
      <c r="I3322" t="s">
        <v>4528</v>
      </c>
      <c r="J3322" s="6" t="str">
        <f>HYPERLINK("https://www.biovista.com/db/link/%5B%5B%22Disease%7CZellweger%20Syndrome%22%5D,%20%5B%22Drug%7Cvinyl%20ether%22%5D%5D?strength-weight-map=%257B%2522MEDLINE_STRENGTH_AB%2522:1.0,%2522HPO%2522:100.0%257D", "Show Evidence...")</f>
        <v>Show Evidence...</v>
      </c>
    </row>
    <row r="3323" spans="1:10" ht="12.75">
      <c r="A3323" s="2" t="s">
        <v>4475</v>
      </c>
      <c r="B3323" s="2" t="s">
        <v>4476</v>
      </c>
      <c r="C3323" s="2" t="s">
        <v>24</v>
      </c>
      <c r="D3323" s="2" t="s">
        <v>4477</v>
      </c>
      <c r="E3323" s="2" t="s">
        <v>53</v>
      </c>
      <c r="F3323" s="11" t="s">
        <v>280</v>
      </c>
      <c r="G3323" t="s">
        <v>39</v>
      </c>
      <c r="H3323" t="s">
        <v>281</v>
      </c>
      <c r="I3323" t="s">
        <v>4528</v>
      </c>
      <c r="J3323" s="6" t="str">
        <f>HYPERLINK("https://www.biovista.com/db/link/%5B%5B%22Disease%7CZellweger%20Syndrome%22%5D,%20%5B%22Drug%7CVitamin%20A%22%5D%5D?strength-weight-map=%257B%2522MEDLINE_STRENGTH_AB%2522:1.0,%2522HPO%2522:100.0%257D", "Show Evidence...")</f>
        <v>Show Evidence...</v>
      </c>
    </row>
    <row r="3324" spans="1:10" ht="12.75">
      <c r="A3324" s="2" t="s">
        <v>4475</v>
      </c>
      <c r="B3324" s="2" t="s">
        <v>4476</v>
      </c>
      <c r="C3324" s="2" t="s">
        <v>24</v>
      </c>
      <c r="D3324" s="2" t="s">
        <v>4477</v>
      </c>
      <c r="E3324" s="2" t="s">
        <v>53</v>
      </c>
      <c r="F3324" s="11" t="s">
        <v>1945</v>
      </c>
      <c r="G3324" t="s">
        <v>39</v>
      </c>
      <c r="H3324" t="s">
        <v>1946</v>
      </c>
      <c r="I3324" t="s">
        <v>4528</v>
      </c>
      <c r="J3324" s="6" t="str">
        <f>HYPERLINK("https://www.biovista.com/db/link/%5B%5B%22Disease%7CZellweger%20Syndrome%22%5D,%20%5B%22Drug%7CVitamin%20K%22%5D%5D?strength-weight-map=%257B%2522MEDLINE_STRENGTH_AB%2522:1.0,%2522HPO%2522:100.0%257D", "Show Evidence...")</f>
        <v>Show Evidence...</v>
      </c>
    </row>
    <row r="3325" spans="1:10" ht="12.75">
      <c r="A3325" s="2" t="s">
        <v>4475</v>
      </c>
      <c r="B3325" s="2" t="s">
        <v>4476</v>
      </c>
      <c r="C3325" s="2" t="s">
        <v>24</v>
      </c>
      <c r="D3325" s="2" t="s">
        <v>4477</v>
      </c>
      <c r="E3325" s="2" t="s">
        <v>53</v>
      </c>
      <c r="F3325" s="11" t="s">
        <v>4573</v>
      </c>
      <c r="G3325" t="s">
        <v>39</v>
      </c>
      <c r="H3325" t="s">
        <v>4574</v>
      </c>
      <c r="I3325" t="s">
        <v>4528</v>
      </c>
      <c r="J3325" s="6" t="str">
        <f>HYPERLINK("https://www.biovista.com/db/link/%5B%5B%22Disease%7CZellweger%20Syndrome%22%5D,%20%5B%22Drug%7Cziprasidone%22%5D%5D?strength-weight-map=%257B%2522MEDLINE_STRENGTH_AB%2522:1.0,%2522HPO%2522:100.0%257D", "Show Evidence...")</f>
        <v>Show Evidence...</v>
      </c>
    </row>
    <row r="3326" spans="1:10" ht="12.75">
      <c r="A3326" s="2" t="s">
        <v>4475</v>
      </c>
      <c r="B3326" s="2" t="s">
        <v>4476</v>
      </c>
      <c r="C3326" s="2" t="s">
        <v>24</v>
      </c>
      <c r="D3326" s="2" t="s">
        <v>4477</v>
      </c>
      <c r="E3326" s="2" t="s">
        <v>53</v>
      </c>
      <c r="F3326" s="11" t="s">
        <v>4575</v>
      </c>
      <c r="G3326" t="s">
        <v>39</v>
      </c>
      <c r="H3326" t="s">
        <v>4576</v>
      </c>
      <c r="I3326" t="s">
        <v>4528</v>
      </c>
      <c r="J3326" s="6" t="str">
        <f>HYPERLINK("https://www.biovista.com/db/link/%5B%5B%22Disease%7CZellweger%20Syndrome%22%5D,%20%5B%22Drug%7Czomepirac%22%5D%5D?strength-weight-map=%257B%2522MEDLINE_STRENGTH_AB%2522:1.0,%2522HPO%2522:100.0%257D", "Show Evidence...")</f>
        <v>Show Evidence...</v>
      </c>
    </row>
    <row r="3327" spans="1:10" ht="12.75">
      <c r="A3327" s="2" t="s">
        <v>4475</v>
      </c>
      <c r="B3327" s="2" t="s">
        <v>4476</v>
      </c>
      <c r="C3327" s="2" t="s">
        <v>24</v>
      </c>
      <c r="D3327" s="2" t="s">
        <v>4477</v>
      </c>
      <c r="E3327" s="2" t="s">
        <v>293</v>
      </c>
      <c r="F3327" s="11">
        <v>339324</v>
      </c>
      <c r="G3327" t="s">
        <v>36</v>
      </c>
      <c r="H3327" t="s">
        <v>4577</v>
      </c>
      <c r="I3327" t="s">
        <v>4578</v>
      </c>
      <c r="J3327" s="6" t="str">
        <f>HYPERLINK("https://www.biovista.com/db/link/%5B%5B%22Disease%7CZellweger%20Syndrome%22%5D,%20%5B%22Gene%7CPEX1%22%5D%5D?strength-weight-map=%257B%2522MEDLINE_STRENGTH_AB%2522:1.0,%2522HPO%2522:100.0%257D", "Show Evidence...")</f>
        <v>Show Evidence...</v>
      </c>
    </row>
    <row r="3328" spans="1:10" ht="12.75">
      <c r="A3328" s="2" t="s">
        <v>4475</v>
      </c>
      <c r="B3328" s="2" t="s">
        <v>4476</v>
      </c>
      <c r="C3328" s="2" t="s">
        <v>24</v>
      </c>
      <c r="D3328" s="2" t="s">
        <v>4477</v>
      </c>
      <c r="E3328" s="2" t="s">
        <v>293</v>
      </c>
      <c r="F3328" s="11">
        <v>5190</v>
      </c>
      <c r="G3328" t="s">
        <v>36</v>
      </c>
      <c r="H3328" t="s">
        <v>4579</v>
      </c>
      <c r="I3328" t="s">
        <v>4580</v>
      </c>
      <c r="J3328" s="6" t="str">
        <f>HYPERLINK("https://www.biovista.com/db/link/%5B%5B%22Disease%7CZellweger%20Syndrome%22%5D,%20%5B%22Gene%7CPEX6%22%5D%5D?strength-weight-map=%257B%2522MEDLINE_STRENGTH_AB%2522:1.0,%2522HPO%2522:100.0%257D", "Show Evidence...")</f>
        <v>Show Evidence...</v>
      </c>
    </row>
    <row r="3329" spans="1:10" ht="12.75">
      <c r="A3329" s="2" t="s">
        <v>4475</v>
      </c>
      <c r="B3329" s="2" t="s">
        <v>4476</v>
      </c>
      <c r="C3329" s="2" t="s">
        <v>24</v>
      </c>
      <c r="D3329" s="2" t="s">
        <v>4477</v>
      </c>
      <c r="E3329" s="2" t="s">
        <v>293</v>
      </c>
      <c r="F3329" s="11">
        <v>5828</v>
      </c>
      <c r="G3329" t="s">
        <v>36</v>
      </c>
      <c r="H3329" t="s">
        <v>4581</v>
      </c>
      <c r="I3329" t="s">
        <v>4582</v>
      </c>
      <c r="J3329" s="6" t="str">
        <f>HYPERLINK("https://www.biovista.com/db/link/%5B%5B%22Disease%7CZellweger%20Syndrome%22%5D,%20%5B%22Gene%7CPEX2%22%5D%5D?strength-weight-map=%257B%2522MEDLINE_STRENGTH_AB%2522:1.0,%2522HPO%2522:100.0%257D", "Show Evidence...")</f>
        <v>Show Evidence...</v>
      </c>
    </row>
    <row r="3330" spans="1:10" ht="12.75">
      <c r="A3330" s="2" t="s">
        <v>4475</v>
      </c>
      <c r="B3330" s="2" t="s">
        <v>4476</v>
      </c>
      <c r="C3330" s="2" t="s">
        <v>24</v>
      </c>
      <c r="D3330" s="2" t="s">
        <v>4477</v>
      </c>
      <c r="E3330" s="2" t="s">
        <v>293</v>
      </c>
      <c r="F3330" s="11">
        <v>5830</v>
      </c>
      <c r="G3330" t="s">
        <v>36</v>
      </c>
      <c r="H3330" t="s">
        <v>4583</v>
      </c>
      <c r="I3330" t="s">
        <v>4584</v>
      </c>
      <c r="J3330" s="6" t="str">
        <f>HYPERLINK("https://www.biovista.com/db/link/%5B%5B%22Disease%7CZellweger%20Syndrome%22%5D,%20%5B%22Gene%7CPEX5%22%5D%5D?strength-weight-map=%257B%2522MEDLINE_STRENGTH_AB%2522:1.0,%2522HPO%2522:100.0%257D", "Show Evidence...")</f>
        <v>Show Evidence...</v>
      </c>
    </row>
    <row r="3331" spans="1:10" ht="12.75">
      <c r="A3331" s="2" t="s">
        <v>4475</v>
      </c>
      <c r="B3331" s="2" t="s">
        <v>4476</v>
      </c>
      <c r="C3331" s="2" t="s">
        <v>24</v>
      </c>
      <c r="D3331" s="2" t="s">
        <v>4477</v>
      </c>
      <c r="E3331" s="2" t="s">
        <v>293</v>
      </c>
      <c r="F3331" s="11">
        <v>5193</v>
      </c>
      <c r="G3331" t="s">
        <v>36</v>
      </c>
      <c r="H3331" t="s">
        <v>4585</v>
      </c>
      <c r="I3331" t="s">
        <v>4586</v>
      </c>
      <c r="J3331" s="6" t="str">
        <f>HYPERLINK("https://www.biovista.com/db/link/%5B%5B%22Disease%7CZellweger%20Syndrome%22%5D,%20%5B%22Gene%7CPEX12%22%5D%5D?strength-weight-map=%257B%2522MEDLINE_STRENGTH_AB%2522:1.0,%2522HPO%2522:100.0%257D", "Show Evidence...")</f>
        <v>Show Evidence...</v>
      </c>
    </row>
    <row r="3332" spans="1:10" ht="12.75">
      <c r="A3332" s="2" t="s">
        <v>4475</v>
      </c>
      <c r="B3332" s="2" t="s">
        <v>4476</v>
      </c>
      <c r="C3332" s="2" t="s">
        <v>24</v>
      </c>
      <c r="D3332" s="2" t="s">
        <v>4477</v>
      </c>
      <c r="E3332" s="2" t="s">
        <v>293</v>
      </c>
      <c r="F3332" s="11">
        <v>8504</v>
      </c>
      <c r="G3332" t="s">
        <v>36</v>
      </c>
      <c r="H3332" t="s">
        <v>4587</v>
      </c>
      <c r="I3332" t="s">
        <v>4588</v>
      </c>
      <c r="J3332" s="6" t="str">
        <f>HYPERLINK("https://www.biovista.com/db/link/%5B%5B%22Disease%7CZellweger%20Syndrome%22%5D,%20%5B%22Gene%7CPEX3%22%5D%5D?strength-weight-map=%257B%2522MEDLINE_STRENGTH_AB%2522:1.0,%2522HPO%2522:100.0%257D", "Show Evidence...")</f>
        <v>Show Evidence...</v>
      </c>
    </row>
    <row r="3333" spans="1:10" ht="12.75">
      <c r="A3333" s="2" t="s">
        <v>4475</v>
      </c>
      <c r="B3333" s="2" t="s">
        <v>4476</v>
      </c>
      <c r="C3333" s="2" t="s">
        <v>24</v>
      </c>
      <c r="D3333" s="2" t="s">
        <v>4477</v>
      </c>
      <c r="E3333" s="2" t="s">
        <v>293</v>
      </c>
      <c r="F3333" s="11">
        <v>5192</v>
      </c>
      <c r="G3333" t="s">
        <v>36</v>
      </c>
      <c r="H3333" t="s">
        <v>4589</v>
      </c>
      <c r="I3333" t="s">
        <v>4590</v>
      </c>
      <c r="J3333" s="6" t="str">
        <f>HYPERLINK("https://www.biovista.com/db/link/%5B%5B%22Disease%7CZellweger%20Syndrome%22%5D,%20%5B%22Gene%7CPEX10%22%5D%5D?strength-weight-map=%257B%2522MEDLINE_STRENGTH_AB%2522:1.0,%2522HPO%2522:100.0%257D", "Show Evidence...")</f>
        <v>Show Evidence...</v>
      </c>
    </row>
    <row r="3334" spans="1:10" ht="12.75">
      <c r="A3334" s="2" t="s">
        <v>4475</v>
      </c>
      <c r="B3334" s="2" t="s">
        <v>4476</v>
      </c>
      <c r="C3334" s="2" t="s">
        <v>24</v>
      </c>
      <c r="D3334" s="2" t="s">
        <v>4477</v>
      </c>
      <c r="E3334" s="2" t="s">
        <v>293</v>
      </c>
      <c r="F3334" s="11">
        <v>55670</v>
      </c>
      <c r="G3334" t="s">
        <v>36</v>
      </c>
      <c r="H3334" t="s">
        <v>4591</v>
      </c>
      <c r="I3334" t="s">
        <v>4592</v>
      </c>
      <c r="J3334" s="6" t="str">
        <f>HYPERLINK("https://www.biovista.com/db/link/%5B%5B%22Disease%7CZellweger%20Syndrome%22%5D,%20%5B%22Gene%7CPEX26%22%5D%5D?strength-weight-map=%257B%2522MEDLINE_STRENGTH_AB%2522:1.0,%2522HPO%2522:100.0%257D", "Show Evidence...")</f>
        <v>Show Evidence...</v>
      </c>
    </row>
    <row r="3335" spans="1:10" ht="12.75">
      <c r="A3335" s="2" t="s">
        <v>4475</v>
      </c>
      <c r="B3335" s="2" t="s">
        <v>4476</v>
      </c>
      <c r="C3335" s="2" t="s">
        <v>24</v>
      </c>
      <c r="D3335" s="2" t="s">
        <v>4477</v>
      </c>
      <c r="E3335" s="2" t="s">
        <v>293</v>
      </c>
      <c r="F3335" s="11">
        <v>5194</v>
      </c>
      <c r="G3335" t="s">
        <v>36</v>
      </c>
      <c r="H3335" t="s">
        <v>4593</v>
      </c>
      <c r="I3335" t="s">
        <v>4594</v>
      </c>
      <c r="J3335" s="6" t="str">
        <f>HYPERLINK("https://www.biovista.com/db/link/%5B%5B%22Disease%7CZellweger%20Syndrome%22%5D,%20%5B%22Gene%7CPEX13%22%5D%5D?strength-weight-map=%257B%2522MEDLINE_STRENGTH_AB%2522:1.0,%2522HPO%2522:100.0%257D", "Show Evidence...")</f>
        <v>Show Evidence...</v>
      </c>
    </row>
    <row r="3336" spans="1:10" ht="12.75">
      <c r="A3336" s="2" t="s">
        <v>4475</v>
      </c>
      <c r="B3336" s="2" t="s">
        <v>4476</v>
      </c>
      <c r="C3336" s="2" t="s">
        <v>24</v>
      </c>
      <c r="D3336" s="2" t="s">
        <v>4477</v>
      </c>
      <c r="E3336" s="2" t="s">
        <v>293</v>
      </c>
      <c r="F3336" s="11">
        <v>9409</v>
      </c>
      <c r="G3336" t="s">
        <v>36</v>
      </c>
      <c r="H3336" t="s">
        <v>4595</v>
      </c>
      <c r="I3336" t="s">
        <v>4596</v>
      </c>
      <c r="J3336" s="6" t="str">
        <f>HYPERLINK("https://www.biovista.com/db/link/%5B%5B%22Disease%7CZellweger%20Syndrome%22%5D,%20%5B%22Gene%7CPEX16%22%5D%5D?strength-weight-map=%257B%2522MEDLINE_STRENGTH_AB%2522:1.0,%2522HPO%2522:100.0%257D", "Show Evidence...")</f>
        <v>Show Evidence...</v>
      </c>
    </row>
    <row r="3337" spans="1:10" ht="12.75">
      <c r="A3337" s="2" t="s">
        <v>4475</v>
      </c>
      <c r="B3337" s="2" t="s">
        <v>4476</v>
      </c>
      <c r="C3337" s="2" t="s">
        <v>24</v>
      </c>
      <c r="D3337" s="2" t="s">
        <v>4477</v>
      </c>
      <c r="E3337" s="2" t="s">
        <v>293</v>
      </c>
      <c r="F3337" s="11">
        <v>5195</v>
      </c>
      <c r="G3337" t="s">
        <v>36</v>
      </c>
      <c r="H3337" t="s">
        <v>4597</v>
      </c>
      <c r="I3337" t="s">
        <v>4598</v>
      </c>
      <c r="J3337" s="6" t="str">
        <f>HYPERLINK("https://www.biovista.com/db/link/%5B%5B%22Disease%7CZellweger%20Syndrome%22%5D,%20%5B%22Gene%7CPEX14%22%5D%5D?strength-weight-map=%257B%2522MEDLINE_STRENGTH_AB%2522:1.0,%2522HPO%2522:100.0%257D", "Show Evidence...")</f>
        <v>Show Evidence...</v>
      </c>
    </row>
    <row r="3338" spans="1:10" ht="12.75">
      <c r="A3338" s="2" t="s">
        <v>4475</v>
      </c>
      <c r="B3338" s="2" t="s">
        <v>4476</v>
      </c>
      <c r="C3338" s="2" t="s">
        <v>24</v>
      </c>
      <c r="D3338" s="2" t="s">
        <v>4477</v>
      </c>
      <c r="E3338" s="2" t="s">
        <v>293</v>
      </c>
      <c r="F3338" s="11">
        <v>5824</v>
      </c>
      <c r="G3338" t="s">
        <v>36</v>
      </c>
      <c r="H3338" t="s">
        <v>4599</v>
      </c>
      <c r="I3338" t="s">
        <v>4600</v>
      </c>
      <c r="J3338" s="6" t="str">
        <f>HYPERLINK("https://www.biovista.com/db/link/%5B%5B%22Disease%7CZellweger%20Syndrome%22%5D,%20%5B%22Gene%7CPEX19%22%5D%5D?strength-weight-map=%257B%2522MEDLINE_STRENGTH_AB%2522:1.0,%2522HPO%2522:100.0%257D", "Show Evidence...")</f>
        <v>Show Evidence...</v>
      </c>
    </row>
    <row r="3339" spans="1:10" ht="12.75">
      <c r="A3339" s="2" t="s">
        <v>4475</v>
      </c>
      <c r="B3339" s="2" t="s">
        <v>4476</v>
      </c>
      <c r="C3339" s="2" t="s">
        <v>24</v>
      </c>
      <c r="D3339" s="2" t="s">
        <v>4477</v>
      </c>
      <c r="E3339" s="2" t="s">
        <v>293</v>
      </c>
      <c r="F3339" s="11">
        <v>8799</v>
      </c>
      <c r="G3339" t="s">
        <v>36</v>
      </c>
      <c r="H3339" t="s">
        <v>4601</v>
      </c>
      <c r="I3339" t="s">
        <v>4602</v>
      </c>
      <c r="J3339" s="6" t="str">
        <f>HYPERLINK("https://www.biovista.com/db/link/%5B%5B%22Disease%7CZellweger%20Syndrome%22%5D,%20%5B%22Gene%7CPEX11B%22%5D%5D?strength-weight-map=%257B%2522MEDLINE_STRENGTH_AB%2522:1.0,%2522HPO%2522:100.0%257D", "Show Evidence...")</f>
        <v>Show Evidence...</v>
      </c>
    </row>
    <row r="3340" spans="1:10" ht="12.75">
      <c r="A3340" s="2" t="s">
        <v>4475</v>
      </c>
      <c r="B3340" s="2" t="s">
        <v>4476</v>
      </c>
      <c r="C3340" s="2" t="s">
        <v>24</v>
      </c>
      <c r="D3340" s="2" t="s">
        <v>4477</v>
      </c>
      <c r="E3340" s="2" t="s">
        <v>293</v>
      </c>
      <c r="F3340" s="11">
        <v>847</v>
      </c>
      <c r="G3340" t="s">
        <v>36</v>
      </c>
      <c r="H3340" t="s">
        <v>369</v>
      </c>
      <c r="I3340" t="s">
        <v>4603</v>
      </c>
      <c r="J3340" s="6" t="str">
        <f>HYPERLINK("https://www.biovista.com/db/link/%5B%5B%22Disease%7CZellweger%20Syndrome%22%5D,%20%5B%22Gene%7Ccatalase%22%5D%5D?strength-weight-map=%257B%2522MEDLINE_STRENGTH_AB%2522:1.0,%2522HPO%2522:100.0%257D", "Show Evidence...")</f>
        <v>Show Evidence...</v>
      </c>
    </row>
    <row r="3341" spans="1:10" ht="12.75">
      <c r="A3341" s="2" t="s">
        <v>4475</v>
      </c>
      <c r="B3341" s="2" t="s">
        <v>4476</v>
      </c>
      <c r="C3341" s="2" t="s">
        <v>24</v>
      </c>
      <c r="D3341" s="2" t="s">
        <v>4477</v>
      </c>
      <c r="E3341" s="2" t="s">
        <v>293</v>
      </c>
      <c r="F3341" s="11">
        <v>5251</v>
      </c>
      <c r="G3341" t="s">
        <v>36</v>
      </c>
      <c r="H3341" t="s">
        <v>4604</v>
      </c>
      <c r="I3341" t="s">
        <v>4605</v>
      </c>
      <c r="J3341" s="6" t="str">
        <f>HYPERLINK("https://www.biovista.com/db/link/%5B%5B%22Disease%7CZellweger%20Syndrome%22%5D,%20%5B%22Gene%7CPHEX%22%5D%5D?strength-weight-map=%257B%2522MEDLINE_STRENGTH_AB%2522:1.0,%2522HPO%2522:100.0%257D", "Show Evidence...")</f>
        <v>Show Evidence...</v>
      </c>
    </row>
    <row r="3342" spans="1:10" ht="12.75">
      <c r="A3342" s="2" t="s">
        <v>4475</v>
      </c>
      <c r="B3342" s="2" t="s">
        <v>4476</v>
      </c>
      <c r="C3342" s="2" t="s">
        <v>24</v>
      </c>
      <c r="D3342" s="2" t="s">
        <v>4477</v>
      </c>
      <c r="E3342" s="2" t="s">
        <v>53</v>
      </c>
      <c r="F3342" s="11" t="s">
        <v>4606</v>
      </c>
      <c r="G3342" t="s">
        <v>36</v>
      </c>
      <c r="H3342" t="s">
        <v>4607</v>
      </c>
      <c r="I3342" t="s">
        <v>4608</v>
      </c>
      <c r="J3342" s="6" t="str">
        <f>HYPERLINK("https://www.biovista.com/db/link/%5B%5B%22Disease%7CZellweger%20Syndrome%22%5D,%20%5B%22Gene%7CATPases%20Associated%20with%20Diverse%20Cellular%20Activities%22%5D%5D?strength-weight-map=%257B%2522MEDLINE_STRENGTH_AB%2522:1.0,%2522HPO%2522:100.0%257D", "Show Evidence...")</f>
        <v>Show Evidence...</v>
      </c>
    </row>
    <row r="3343" spans="1:10" ht="12.75">
      <c r="A3343" s="2" t="s">
        <v>4475</v>
      </c>
      <c r="B3343" s="2" t="s">
        <v>4476</v>
      </c>
      <c r="C3343" s="2" t="s">
        <v>24</v>
      </c>
      <c r="D3343" s="2" t="s">
        <v>4477</v>
      </c>
      <c r="E3343" s="2" t="s">
        <v>293</v>
      </c>
      <c r="F3343" s="11">
        <v>4326236</v>
      </c>
      <c r="G3343" t="s">
        <v>36</v>
      </c>
      <c r="H3343" t="s">
        <v>1188</v>
      </c>
      <c r="I3343" t="s">
        <v>4609</v>
      </c>
      <c r="J3343" s="6" t="str">
        <f>HYPERLINK("https://www.biovista.com/db/link/%5B%5B%22Disease%7CZellweger%20Syndrome%22%5D,%20%5B%22Gene%7CLOC4326236%22%5D%5D?strength-weight-map=%257B%2522MEDLINE_STRENGTH_AB%2522:1.0,%2522HPO%2522:100.0%257D", "Show Evidence...")</f>
        <v>Show Evidence...</v>
      </c>
    </row>
    <row r="3344" spans="1:10" ht="12.75">
      <c r="A3344" s="2" t="s">
        <v>4475</v>
      </c>
      <c r="B3344" s="2" t="s">
        <v>4476</v>
      </c>
      <c r="C3344" s="2" t="s">
        <v>24</v>
      </c>
      <c r="D3344" s="2" t="s">
        <v>4477</v>
      </c>
      <c r="E3344" s="2" t="s">
        <v>53</v>
      </c>
      <c r="F3344" s="11" t="s">
        <v>4610</v>
      </c>
      <c r="G3344" t="s">
        <v>36</v>
      </c>
      <c r="H3344" t="s">
        <v>4611</v>
      </c>
      <c r="I3344" t="s">
        <v>4612</v>
      </c>
      <c r="J3344" s="6" t="str">
        <f>HYPERLINK("https://www.biovista.com/db/link/%5B%5B%22Disease%7CZellweger%20Syndrome%22%5D,%20%5B%22Gene%7CPeroxins%22%5D%5D?strength-weight-map=%257B%2522MEDLINE_STRENGTH_AB%2522:1.0,%2522HPO%2522:100.0%257D", "Show Evidence...")</f>
        <v>Show Evidence...</v>
      </c>
    </row>
    <row r="3345" spans="1:10" ht="12.75">
      <c r="A3345" s="2" t="s">
        <v>4475</v>
      </c>
      <c r="B3345" s="2" t="s">
        <v>4476</v>
      </c>
      <c r="C3345" s="2" t="s">
        <v>24</v>
      </c>
      <c r="D3345" s="2" t="s">
        <v>4477</v>
      </c>
      <c r="E3345" s="2" t="s">
        <v>53</v>
      </c>
      <c r="F3345" s="11" t="s">
        <v>4613</v>
      </c>
      <c r="G3345" t="s">
        <v>36</v>
      </c>
      <c r="H3345" t="s">
        <v>4614</v>
      </c>
      <c r="I3345" t="s">
        <v>4615</v>
      </c>
      <c r="J3345" s="6" t="str">
        <f>HYPERLINK("https://www.biovista.com/db/link/%5B%5B%22Disease%7CZellweger%20Syndrome%22%5D,%20%5B%22Gene%7CPEX1%20protein,%20human%22%5D%5D?strength-weight-map=%257B%2522MEDLINE_STRENGTH_AB%2522:1.0,%2522HPO%2522:100.0%257D", "Show Evidence...")</f>
        <v>Show Evidence...</v>
      </c>
    </row>
    <row r="3346" spans="1:10" ht="12.75">
      <c r="A3346" s="2" t="s">
        <v>4475</v>
      </c>
      <c r="B3346" s="2" t="s">
        <v>4476</v>
      </c>
      <c r="C3346" s="2" t="s">
        <v>24</v>
      </c>
      <c r="D3346" s="2" t="s">
        <v>4477</v>
      </c>
      <c r="E3346" s="2" t="s">
        <v>293</v>
      </c>
      <c r="F3346" s="11">
        <v>8443</v>
      </c>
      <c r="G3346" t="s">
        <v>36</v>
      </c>
      <c r="H3346" t="s">
        <v>4616</v>
      </c>
      <c r="I3346" t="s">
        <v>4617</v>
      </c>
      <c r="J3346" s="6" t="str">
        <f>HYPERLINK("https://www.biovista.com/db/link/%5B%5B%22Disease%7CZellweger%20Syndrome%22%5D,%20%5B%22Gene%7CGNPAT%22%5D%5D?strength-weight-map=%257B%2522MEDLINE_STRENGTH_AB%2522:1.0,%2522HPO%2522:100.0%257D", "Show Evidence...")</f>
        <v>Show Evidence...</v>
      </c>
    </row>
    <row r="3347" spans="1:10" ht="12.75">
      <c r="A3347" s="2" t="s">
        <v>4475</v>
      </c>
      <c r="B3347" s="2" t="s">
        <v>4476</v>
      </c>
      <c r="C3347" s="2" t="s">
        <v>24</v>
      </c>
      <c r="D3347" s="2" t="s">
        <v>4477</v>
      </c>
      <c r="E3347" s="2" t="s">
        <v>293</v>
      </c>
      <c r="F3347" s="11">
        <v>3636598</v>
      </c>
      <c r="G3347" t="s">
        <v>36</v>
      </c>
      <c r="H3347" t="s">
        <v>4618</v>
      </c>
      <c r="I3347" t="s">
        <v>4619</v>
      </c>
      <c r="J3347" s="6" t="str">
        <f>HYPERLINK("https://www.biovista.com/db/link/%5B%5B%22Disease%7CZellweger%20Syndrome%22%5D,%20%5B%22Gene%7Cacyl-CoA%20oxidase%22%5D%5D?strength-weight-map=%257B%2522MEDLINE_STRENGTH_AB%2522:1.0,%2522HPO%2522:100.0%257D", "Show Evidence...")</f>
        <v>Show Evidence...</v>
      </c>
    </row>
    <row r="3348" spans="1:10" ht="12.75">
      <c r="A3348" s="2" t="s">
        <v>4475</v>
      </c>
      <c r="B3348" s="2" t="s">
        <v>4476</v>
      </c>
      <c r="C3348" s="2" t="s">
        <v>24</v>
      </c>
      <c r="D3348" s="2" t="s">
        <v>4477</v>
      </c>
      <c r="E3348" s="2" t="s">
        <v>293</v>
      </c>
      <c r="F3348" s="11">
        <v>5828</v>
      </c>
      <c r="G3348" t="s">
        <v>36</v>
      </c>
      <c r="H3348" t="s">
        <v>4620</v>
      </c>
      <c r="I3348" t="s">
        <v>4621</v>
      </c>
      <c r="J3348" s="6" t="str">
        <f>HYPERLINK("https://www.biovista.com/db/link/%5B%5B%22Disease%7CZellweger%20Syndrome%22%5D,%20%5B%22Gene%7Cperoxisomal%20biogenesis%20factor%202%22%5D%5D?strength-weight-map=%257B%2522MEDLINE_STRENGTH_AB%2522:1.0,%2522HPO%2522:100.0%257D", "Show Evidence...")</f>
        <v>Show Evidence...</v>
      </c>
    </row>
    <row r="3349" spans="1:10" ht="12.75">
      <c r="A3349" s="2" t="s">
        <v>4475</v>
      </c>
      <c r="B3349" s="2" t="s">
        <v>4476</v>
      </c>
      <c r="C3349" s="2" t="s">
        <v>24</v>
      </c>
      <c r="D3349" s="2" t="s">
        <v>4477</v>
      </c>
      <c r="E3349" s="2" t="s">
        <v>53</v>
      </c>
      <c r="F3349" s="11" t="s">
        <v>4622</v>
      </c>
      <c r="G3349" t="s">
        <v>36</v>
      </c>
      <c r="H3349" t="s">
        <v>4623</v>
      </c>
      <c r="I3349" t="s">
        <v>4624</v>
      </c>
      <c r="J3349" s="6" t="str">
        <f>HYPERLINK("https://www.biovista.com/db/link/%5B%5B%22Disease%7CZellweger%20Syndrome%22%5D,%20%5B%22Gene%7CPeroxisome-Targeting%20Signal%201%20Receptor%22%5D%5D?strength-weight-map=%257B%2522MEDLINE_STRENGTH_AB%2522:1.0,%2522HPO%2522:100.0%257D", "Show Evidence...")</f>
        <v>Show Evidence...</v>
      </c>
    </row>
    <row r="3350" spans="1:10" ht="12.75">
      <c r="A3350" s="2" t="s">
        <v>4475</v>
      </c>
      <c r="B3350" s="2" t="s">
        <v>4476</v>
      </c>
      <c r="C3350" s="2" t="s">
        <v>24</v>
      </c>
      <c r="D3350" s="2" t="s">
        <v>4477</v>
      </c>
      <c r="E3350" s="2" t="s">
        <v>293</v>
      </c>
      <c r="F3350" s="11">
        <v>8443</v>
      </c>
      <c r="G3350" t="s">
        <v>36</v>
      </c>
      <c r="H3350" t="s">
        <v>4625</v>
      </c>
      <c r="I3350" t="s">
        <v>4626</v>
      </c>
      <c r="J3350" s="6" t="str">
        <f>HYPERLINK("https://www.biovista.com/db/link/%5B%5B%22Disease%7CZellweger%20Syndrome%22%5D,%20%5B%22Gene%7Cdihydroxyacetone%20phosphate%20acyltransferase%22%5D%5D?strength-weight-map=%257B%2522MEDLINE_STRENGTH_AB%2522:1.0,%2522HPO%2522:100.0%257D", "Show Evidence...")</f>
        <v>Show Evidence...</v>
      </c>
    </row>
    <row r="3351" spans="1:10" ht="12.75">
      <c r="A3351" s="2" t="s">
        <v>4475</v>
      </c>
      <c r="B3351" s="2" t="s">
        <v>4476</v>
      </c>
      <c r="C3351" s="2" t="s">
        <v>24</v>
      </c>
      <c r="D3351" s="2" t="s">
        <v>4477</v>
      </c>
      <c r="E3351" s="2" t="s">
        <v>293</v>
      </c>
      <c r="F3351" s="11">
        <v>3879135</v>
      </c>
      <c r="G3351" t="s">
        <v>36</v>
      </c>
      <c r="H3351" t="s">
        <v>4627</v>
      </c>
      <c r="I3351" t="s">
        <v>4628</v>
      </c>
      <c r="J3351" s="6" t="str">
        <f>HYPERLINK("https://www.biovista.com/db/link/%5B%5B%22Disease%7CZellweger%20Syndrome%22%5D,%20%5B%22Gene%7Cperoxisomal%20membrane%20protein%22%5D%5D?strength-weight-map=%257B%2522MEDLINE_STRENGTH_AB%2522:1.0,%2522HPO%2522:100.0%257D", "Show Evidence...")</f>
        <v>Show Evidence...</v>
      </c>
    </row>
    <row r="3352" spans="1:10" ht="12.75">
      <c r="A3352" s="2" t="s">
        <v>4475</v>
      </c>
      <c r="B3352" s="2" t="s">
        <v>4476</v>
      </c>
      <c r="C3352" s="2" t="s">
        <v>24</v>
      </c>
      <c r="D3352" s="2" t="s">
        <v>4477</v>
      </c>
      <c r="E3352" s="2" t="s">
        <v>293</v>
      </c>
      <c r="F3352" s="11">
        <v>3641877</v>
      </c>
      <c r="G3352" t="s">
        <v>36</v>
      </c>
      <c r="H3352" t="s">
        <v>4629</v>
      </c>
      <c r="I3352" t="s">
        <v>4630</v>
      </c>
      <c r="J3352" s="6" t="str">
        <f>HYPERLINK("https://www.biovista.com/db/link/%5B%5B%22Disease%7CZellweger%20Syndrome%22%5D,%20%5B%22Gene%7Cperoxin%22%5D%5D?strength-weight-map=%257B%2522MEDLINE_STRENGTH_AB%2522:1.0,%2522HPO%2522:100.0%257D", "Show Evidence...")</f>
        <v>Show Evidence...</v>
      </c>
    </row>
    <row r="3353" spans="1:10" ht="12.75">
      <c r="A3353" s="2" t="s">
        <v>4475</v>
      </c>
      <c r="B3353" s="2" t="s">
        <v>4476</v>
      </c>
      <c r="C3353" s="2" t="s">
        <v>24</v>
      </c>
      <c r="D3353" s="2" t="s">
        <v>4477</v>
      </c>
      <c r="E3353" s="2" t="s">
        <v>293</v>
      </c>
      <c r="F3353" s="11">
        <v>937448</v>
      </c>
      <c r="G3353" t="s">
        <v>36</v>
      </c>
      <c r="H3353" t="s">
        <v>2006</v>
      </c>
      <c r="I3353" t="s">
        <v>4631</v>
      </c>
      <c r="J3353" s="6" t="str">
        <f>HYPERLINK("https://www.biovista.com/db/link/%5B%5B%22Disease%7CZellweger%20Syndrome%22%5D,%20%5B%22Gene%7Cenoyl-CoA%20hydratase%22%5D%5D?strength-weight-map=%257B%2522MEDLINE_STRENGTH_AB%2522:1.0,%2522HPO%2522:100.0%257D", "Show Evidence...")</f>
        <v>Show Evidence...</v>
      </c>
    </row>
    <row r="3354" spans="1:10" ht="12.75">
      <c r="A3354" s="2" t="s">
        <v>4475</v>
      </c>
      <c r="B3354" s="2" t="s">
        <v>4476</v>
      </c>
      <c r="C3354" s="2" t="s">
        <v>24</v>
      </c>
      <c r="D3354" s="2" t="s">
        <v>4477</v>
      </c>
      <c r="E3354" s="2" t="s">
        <v>293</v>
      </c>
      <c r="F3354" s="11">
        <v>9856</v>
      </c>
      <c r="G3354" t="s">
        <v>36</v>
      </c>
      <c r="H3354" t="s">
        <v>4330</v>
      </c>
      <c r="I3354" t="s">
        <v>4631</v>
      </c>
      <c r="J3354" s="6" t="str">
        <f>HYPERLINK("https://www.biovista.com/db/link/%5B%5B%22Disease%7CZellweger%20Syndrome%22%5D,%20%5B%22Gene%7CKIAA0319%22%5D%5D?strength-weight-map=%257B%2522MEDLINE_STRENGTH_AB%2522:1.0,%2522HPO%2522:100.0%257D", "Show Evidence...")</f>
        <v>Show Evidence...</v>
      </c>
    </row>
    <row r="3355" spans="1:10" ht="12.75">
      <c r="A3355" s="2" t="s">
        <v>4475</v>
      </c>
      <c r="B3355" s="2" t="s">
        <v>4476</v>
      </c>
      <c r="C3355" s="2" t="s">
        <v>24</v>
      </c>
      <c r="D3355" s="2" t="s">
        <v>4477</v>
      </c>
      <c r="E3355" s="2" t="s">
        <v>293</v>
      </c>
      <c r="F3355" s="11">
        <v>936729</v>
      </c>
      <c r="G3355" t="s">
        <v>36</v>
      </c>
      <c r="H3355" t="s">
        <v>4632</v>
      </c>
      <c r="I3355" t="s">
        <v>4633</v>
      </c>
      <c r="J3355" s="6" t="str">
        <f>HYPERLINK("https://www.biovista.com/db/link/%5B%5B%22Disease%7CZellweger%20Syndrome%22%5D,%20%5B%22Gene%7Cacetyl-CoA%20C-acyltransferase%22%5D%5D?strength-weight-map=%257B%2522MEDLINE_STRENGTH_AB%2522:1.0,%2522HPO%2522:100.0%257D", "Show Evidence...")</f>
        <v>Show Evidence...</v>
      </c>
    </row>
    <row r="3356" spans="1:10" ht="12.75">
      <c r="A3356" s="2" t="s">
        <v>4475</v>
      </c>
      <c r="B3356" s="2" t="s">
        <v>4476</v>
      </c>
      <c r="C3356" s="2" t="s">
        <v>24</v>
      </c>
      <c r="D3356" s="2" t="s">
        <v>4477</v>
      </c>
      <c r="E3356" s="2" t="s">
        <v>293</v>
      </c>
      <c r="F3356" s="11">
        <v>3295</v>
      </c>
      <c r="G3356" t="s">
        <v>36</v>
      </c>
      <c r="H3356" t="s">
        <v>4634</v>
      </c>
      <c r="I3356" t="s">
        <v>4635</v>
      </c>
      <c r="J3356" s="6" t="str">
        <f>HYPERLINK("https://www.biovista.com/db/link/%5B%5B%22Disease%7CZellweger%20Syndrome%22%5D,%20%5B%22Gene%7CHSD17B4%22%5D%5D?strength-weight-map=%257B%2522MEDLINE_STRENGTH_AB%2522:1.0,%2522HPO%2522:100.0%257D", "Show Evidence...")</f>
        <v>Show Evidence...</v>
      </c>
    </row>
    <row r="3357" spans="1:10" ht="12.75">
      <c r="A3357" s="2" t="s">
        <v>4475</v>
      </c>
      <c r="B3357" s="2" t="s">
        <v>4476</v>
      </c>
      <c r="C3357" s="2" t="s">
        <v>24</v>
      </c>
      <c r="D3357" s="2" t="s">
        <v>4477</v>
      </c>
      <c r="E3357" s="2" t="s">
        <v>293</v>
      </c>
      <c r="F3357" s="11">
        <v>2543623</v>
      </c>
      <c r="G3357" t="s">
        <v>36</v>
      </c>
      <c r="H3357" t="s">
        <v>4636</v>
      </c>
      <c r="I3357" t="s">
        <v>4635</v>
      </c>
      <c r="J3357" s="6" t="str">
        <f>HYPERLINK("https://www.biovista.com/db/link/%5B%5B%22Disease%7CZellweger%20Syndrome%22%5D,%20%5B%22Gene%7CPTS1%22%5D%5D?strength-weight-map=%257B%2522MEDLINE_STRENGTH_AB%2522:1.0,%2522HPO%2522:100.0%257D", "Show Evidence...")</f>
        <v>Show Evidence...</v>
      </c>
    </row>
    <row r="3358" spans="1:10" ht="12.75">
      <c r="A3358" s="2" t="s">
        <v>4475</v>
      </c>
      <c r="B3358" s="2" t="s">
        <v>4476</v>
      </c>
      <c r="C3358" s="2" t="s">
        <v>24</v>
      </c>
      <c r="D3358" s="2" t="s">
        <v>4477</v>
      </c>
      <c r="E3358" s="2" t="s">
        <v>293</v>
      </c>
      <c r="F3358" s="11">
        <v>5825</v>
      </c>
      <c r="G3358" t="s">
        <v>36</v>
      </c>
      <c r="H3358" t="s">
        <v>4637</v>
      </c>
      <c r="I3358" t="s">
        <v>4638</v>
      </c>
      <c r="J3358" s="6" t="str">
        <f>HYPERLINK("https://www.biovista.com/db/link/%5B%5B%22Disease%7CZellweger%20Syndrome%22%5D,%20%5B%22Gene%7CABCD3%22%5D%5D?strength-weight-map=%257B%2522MEDLINE_STRENGTH_AB%2522:1.0,%2522HPO%2522:100.0%257D", "Show Evidence...")</f>
        <v>Show Evidence...</v>
      </c>
    </row>
    <row r="3359" spans="1:10" ht="12.75">
      <c r="A3359" s="2" t="s">
        <v>4475</v>
      </c>
      <c r="B3359" s="2" t="s">
        <v>4476</v>
      </c>
      <c r="C3359" s="2" t="s">
        <v>24</v>
      </c>
      <c r="D3359" s="2" t="s">
        <v>4477</v>
      </c>
      <c r="E3359" s="2" t="s">
        <v>293</v>
      </c>
      <c r="F3359" s="11">
        <v>215</v>
      </c>
      <c r="G3359" t="s">
        <v>36</v>
      </c>
      <c r="H3359" t="s">
        <v>4639</v>
      </c>
      <c r="I3359" t="s">
        <v>4486</v>
      </c>
      <c r="J3359" s="6" t="str">
        <f>HYPERLINK("https://www.biovista.com/db/link/%5B%5B%22Disease%7CZellweger%20Syndrome%22%5D,%20%5B%22Gene%7CABCD1%22%5D%5D?strength-weight-map=%257B%2522MEDLINE_STRENGTH_AB%2522:1.0,%2522HPO%2522:100.0%257D", "Show Evidence...")</f>
        <v>Show Evidence...</v>
      </c>
    </row>
    <row r="3360" spans="1:10" ht="12.75">
      <c r="A3360" s="2" t="s">
        <v>4475</v>
      </c>
      <c r="B3360" s="2" t="s">
        <v>4476</v>
      </c>
      <c r="C3360" s="2" t="s">
        <v>24</v>
      </c>
      <c r="D3360" s="2" t="s">
        <v>4477</v>
      </c>
      <c r="E3360" s="2" t="s">
        <v>293</v>
      </c>
      <c r="F3360" s="11">
        <v>816871</v>
      </c>
      <c r="G3360" t="s">
        <v>36</v>
      </c>
      <c r="H3360" t="s">
        <v>1172</v>
      </c>
      <c r="I3360" t="s">
        <v>4486</v>
      </c>
      <c r="J3360" s="6" t="str">
        <f>HYPERLINK("https://www.biovista.com/db/link/%5B%5B%22Disease%7CZellweger%20Syndrome%22%5D,%20%5B%22Gene%7CAT2G23390%22%5D%5D?strength-weight-map=%257B%2522MEDLINE_STRENGTH_AB%2522:1.0,%2522HPO%2522:100.0%257D", "Show Evidence...")</f>
        <v>Show Evidence...</v>
      </c>
    </row>
    <row r="3361" spans="1:10" ht="12.75">
      <c r="A3361" s="2" t="s">
        <v>4475</v>
      </c>
      <c r="B3361" s="2" t="s">
        <v>4476</v>
      </c>
      <c r="C3361" s="2" t="s">
        <v>24</v>
      </c>
      <c r="D3361" s="2" t="s">
        <v>4477</v>
      </c>
      <c r="E3361" s="2" t="s">
        <v>293</v>
      </c>
      <c r="F3361" s="11">
        <v>37784</v>
      </c>
      <c r="G3361" t="s">
        <v>36</v>
      </c>
      <c r="H3361" t="s">
        <v>4640</v>
      </c>
      <c r="I3361" t="s">
        <v>4641</v>
      </c>
      <c r="J3361" s="6" t="str">
        <f>HYPERLINK("https://www.biovista.com/db/link/%5B%5B%22Disease%7CZellweger%20Syndrome%22%5D,%20%5B%22Gene%7CThiolase%22%5D%5D?strength-weight-map=%257B%2522MEDLINE_STRENGTH_AB%2522:1.0,%2522HPO%2522:100.0%257D", "Show Evidence...")</f>
        <v>Show Evidence...</v>
      </c>
    </row>
    <row r="3362" spans="1:10" ht="12.75">
      <c r="A3362" s="2" t="s">
        <v>4475</v>
      </c>
      <c r="B3362" s="2" t="s">
        <v>4476</v>
      </c>
      <c r="C3362" s="2" t="s">
        <v>24</v>
      </c>
      <c r="D3362" s="2" t="s">
        <v>4477</v>
      </c>
      <c r="E3362" s="2" t="s">
        <v>293</v>
      </c>
      <c r="F3362" s="11">
        <v>215</v>
      </c>
      <c r="G3362" t="s">
        <v>36</v>
      </c>
      <c r="H3362" t="s">
        <v>4642</v>
      </c>
      <c r="I3362" t="s">
        <v>4487</v>
      </c>
      <c r="J3362" s="6" t="str">
        <f>HYPERLINK("https://www.biovista.com/db/link/%5B%5B%22Disease%7CZellweger%20Syndrome%22%5D,%20%5B%22Gene%7CALD%22%5D%5D?strength-weight-map=%257B%2522MEDLINE_STRENGTH_AB%2522:1.0,%2522HPO%2522:100.0%257D", "Show Evidence...")</f>
        <v>Show Evidence...</v>
      </c>
    </row>
    <row r="3363" spans="1:10" ht="12.75">
      <c r="A3363" s="2" t="s">
        <v>4475</v>
      </c>
      <c r="B3363" s="2" t="s">
        <v>4476</v>
      </c>
      <c r="C3363" s="2" t="s">
        <v>24</v>
      </c>
      <c r="D3363" s="2" t="s">
        <v>4477</v>
      </c>
      <c r="E3363" s="2" t="s">
        <v>293</v>
      </c>
      <c r="F3363" s="11">
        <v>5191</v>
      </c>
      <c r="G3363" t="s">
        <v>36</v>
      </c>
      <c r="H3363" t="s">
        <v>4643</v>
      </c>
      <c r="I3363" t="s">
        <v>4487</v>
      </c>
      <c r="J3363" s="6" t="str">
        <f>HYPERLINK("https://www.biovista.com/db/link/%5B%5B%22Disease%7CZellweger%20Syndrome%22%5D,%20%5B%22Gene%7Cperoxisomal%20targeting%20signal%202%20receptor%22%5D%5D?strength-weight-map=%257B%2522MEDLINE_STRENGTH_AB%2522:1.0,%2522HPO%2522:100.0%257D", "Show Evidence...")</f>
        <v>Show Evidence...</v>
      </c>
    </row>
    <row r="3364" spans="1:10" ht="12.75">
      <c r="A3364" s="2" t="s">
        <v>4475</v>
      </c>
      <c r="B3364" s="2" t="s">
        <v>4476</v>
      </c>
      <c r="C3364" s="2" t="s">
        <v>24</v>
      </c>
      <c r="D3364" s="2" t="s">
        <v>4477</v>
      </c>
      <c r="E3364" s="2" t="s">
        <v>293</v>
      </c>
      <c r="F3364" s="11">
        <v>6647</v>
      </c>
      <c r="G3364" t="s">
        <v>36</v>
      </c>
      <c r="H3364" t="s">
        <v>340</v>
      </c>
      <c r="I3364" t="s">
        <v>4487</v>
      </c>
      <c r="J3364" s="6" t="str">
        <f>HYPERLINK("https://www.biovista.com/db/link/%5B%5B%22Disease%7CZellweger%20Syndrome%22%5D,%20%5B%22Gene%7CSOD%22%5D%5D?strength-weight-map=%257B%2522MEDLINE_STRENGTH_AB%2522:1.0,%2522HPO%2522:100.0%257D", "Show Evidence...")</f>
        <v>Show Evidence...</v>
      </c>
    </row>
    <row r="3365" spans="1:10" ht="12.75">
      <c r="A3365" s="2" t="s">
        <v>4475</v>
      </c>
      <c r="B3365" s="2" t="s">
        <v>4476</v>
      </c>
      <c r="C3365" s="2" t="s">
        <v>24</v>
      </c>
      <c r="D3365" s="2" t="s">
        <v>4477</v>
      </c>
      <c r="E3365" s="2" t="s">
        <v>293</v>
      </c>
      <c r="F3365" s="11">
        <v>8309</v>
      </c>
      <c r="G3365" t="s">
        <v>36</v>
      </c>
      <c r="H3365" t="s">
        <v>4644</v>
      </c>
      <c r="I3365" t="s">
        <v>4645</v>
      </c>
      <c r="J3365" s="6" t="str">
        <f>HYPERLINK("https://www.biovista.com/db/link/%5B%5B%22Disease%7CZellweger%20Syndrome%22%5D,%20%5B%22Gene%7CACOX2%22%5D%5D?strength-weight-map=%257B%2522MEDLINE_STRENGTH_AB%2522:1.0,%2522HPO%2522:100.0%257D", "Show Evidence...")</f>
        <v>Show Evidence...</v>
      </c>
    </row>
    <row r="3366" spans="1:10" ht="12.75">
      <c r="A3366" s="2" t="s">
        <v>4475</v>
      </c>
      <c r="B3366" s="2" t="s">
        <v>4476</v>
      </c>
      <c r="C3366" s="2" t="s">
        <v>24</v>
      </c>
      <c r="D3366" s="2" t="s">
        <v>4477</v>
      </c>
      <c r="E3366" s="2" t="s">
        <v>293</v>
      </c>
      <c r="F3366" s="11">
        <v>1962</v>
      </c>
      <c r="G3366" t="s">
        <v>36</v>
      </c>
      <c r="H3366" t="s">
        <v>4646</v>
      </c>
      <c r="I3366" t="s">
        <v>4490</v>
      </c>
      <c r="J3366" s="6" t="str">
        <f>HYPERLINK("https://www.biovista.com/db/link/%5B%5B%22Disease%7CZellweger%20Syndrome%22%5D,%20%5B%22Gene%7CEHHADH%22%5D%5D?strength-weight-map=%257B%2522MEDLINE_STRENGTH_AB%2522:1.0,%2522HPO%2522:100.0%257D", "Show Evidence...")</f>
        <v>Show Evidence...</v>
      </c>
    </row>
    <row r="3367" spans="1:10" ht="12.75">
      <c r="A3367" s="2" t="s">
        <v>4475</v>
      </c>
      <c r="B3367" s="2" t="s">
        <v>4476</v>
      </c>
      <c r="C3367" s="2" t="s">
        <v>24</v>
      </c>
      <c r="D3367" s="2" t="s">
        <v>4477</v>
      </c>
      <c r="E3367" s="2" t="s">
        <v>53</v>
      </c>
      <c r="F3367" s="11" t="s">
        <v>4647</v>
      </c>
      <c r="G3367" t="s">
        <v>36</v>
      </c>
      <c r="H3367" t="s">
        <v>4648</v>
      </c>
      <c r="I3367" t="s">
        <v>4490</v>
      </c>
      <c r="J3367" s="6" t="str">
        <f>HYPERLINK("https://www.biovista.com/db/link/%5B%5B%22Disease%7CZellweger%20Syndrome%22%5D,%20%5B%22Gene%7CPHEX%20Phosphate%20Regulating%20Neutral%20Endopeptidase%22%5D%5D?strength-weight-map=%257B%2522MEDLINE_STRENGTH_AB%2522:1.0,%2522HPO%2522:100.0%257D", "Show Evidence...")</f>
        <v>Show Evidence...</v>
      </c>
    </row>
    <row r="3368" spans="1:10" ht="12.75">
      <c r="A3368" s="2" t="s">
        <v>4475</v>
      </c>
      <c r="B3368" s="2" t="s">
        <v>4476</v>
      </c>
      <c r="C3368" s="2" t="s">
        <v>24</v>
      </c>
      <c r="D3368" s="2" t="s">
        <v>4477</v>
      </c>
      <c r="E3368" s="2" t="s">
        <v>293</v>
      </c>
      <c r="F3368" s="11">
        <v>100765829</v>
      </c>
      <c r="G3368" t="s">
        <v>36</v>
      </c>
      <c r="H3368" t="s">
        <v>4649</v>
      </c>
      <c r="I3368" t="s">
        <v>4650</v>
      </c>
      <c r="J3368" s="6" t="str">
        <f>HYPERLINK("https://www.biovista.com/db/link/%5B%5B%22Disease%7CZellweger%20Syndrome%22%5D,%20%5B%22Gene%7C3-ketoacyl-CoA%20thiolase%22%5D%5D?strength-weight-map=%257B%2522MEDLINE_STRENGTH_AB%2522:1.0,%2522HPO%2522:100.0%257D", "Show Evidence...")</f>
        <v>Show Evidence...</v>
      </c>
    </row>
    <row r="3369" spans="1:10" ht="12.75">
      <c r="A3369" s="2" t="s">
        <v>4475</v>
      </c>
      <c r="B3369" s="2" t="s">
        <v>4476</v>
      </c>
      <c r="C3369" s="2" t="s">
        <v>24</v>
      </c>
      <c r="D3369" s="2" t="s">
        <v>4477</v>
      </c>
      <c r="E3369" s="2" t="s">
        <v>293</v>
      </c>
      <c r="F3369" s="11">
        <v>939311</v>
      </c>
      <c r="G3369" t="s">
        <v>36</v>
      </c>
      <c r="H3369" t="s">
        <v>4651</v>
      </c>
      <c r="I3369" t="s">
        <v>4650</v>
      </c>
      <c r="J3369" s="6" t="str">
        <f>HYPERLINK("https://www.biovista.com/db/link/%5B%5B%22Disease%7CZellweger%20Syndrome%22%5D,%20%5B%22Gene%7Cacetyl-CoA%20C-acetyltransferase%22%5D%5D?strength-weight-map=%257B%2522MEDLINE_STRENGTH_AB%2522:1.0,%2522HPO%2522:100.0%257D", "Show Evidence...")</f>
        <v>Show Evidence...</v>
      </c>
    </row>
    <row r="3370" spans="1:10" ht="12.75">
      <c r="A3370" s="2" t="s">
        <v>4475</v>
      </c>
      <c r="B3370" s="2" t="s">
        <v>4476</v>
      </c>
      <c r="C3370" s="2" t="s">
        <v>24</v>
      </c>
      <c r="D3370" s="2" t="s">
        <v>4477</v>
      </c>
      <c r="E3370" s="2" t="s">
        <v>293</v>
      </c>
      <c r="F3370" s="11">
        <v>5825</v>
      </c>
      <c r="G3370" t="s">
        <v>36</v>
      </c>
      <c r="H3370" t="s">
        <v>4652</v>
      </c>
      <c r="I3370" t="s">
        <v>4650</v>
      </c>
      <c r="J3370" s="6" t="str">
        <f>HYPERLINK("https://www.biovista.com/db/link/%5B%5B%22Disease%7CZellweger%20Syndrome%22%5D,%20%5B%22Gene%7CPMP70%22%5D%5D?strength-weight-map=%257B%2522MEDLINE_STRENGTH_AB%2522:1.0,%2522HPO%2522:100.0%257D", "Show Evidence...")</f>
        <v>Show Evidence...</v>
      </c>
    </row>
    <row r="3371" spans="1:10" ht="12.75">
      <c r="A3371" s="2" t="s">
        <v>4475</v>
      </c>
      <c r="B3371" s="2" t="s">
        <v>4476</v>
      </c>
      <c r="C3371" s="2" t="s">
        <v>24</v>
      </c>
      <c r="D3371" s="2" t="s">
        <v>4477</v>
      </c>
      <c r="E3371" s="2" t="s">
        <v>293</v>
      </c>
      <c r="F3371" s="11">
        <v>170574</v>
      </c>
      <c r="G3371" t="s">
        <v>36</v>
      </c>
      <c r="H3371" t="s">
        <v>4653</v>
      </c>
      <c r="I3371" t="s">
        <v>4493</v>
      </c>
      <c r="J3371" s="6" t="str">
        <f>HYPERLINK("https://www.biovista.com/db/link/%5B%5B%22Disease%7CZellweger%20Syndrome%22%5D,%20%5B%22Gene%7CC22%22%5D%5D?strength-weight-map=%257B%2522MEDLINE_STRENGTH_AB%2522:1.0,%2522HPO%2522:100.0%257D", "Show Evidence...")</f>
        <v>Show Evidence...</v>
      </c>
    </row>
    <row r="3372" spans="1:10" ht="12.75">
      <c r="A3372" s="2" t="s">
        <v>4475</v>
      </c>
      <c r="B3372" s="2" t="s">
        <v>4476</v>
      </c>
      <c r="C3372" s="2" t="s">
        <v>24</v>
      </c>
      <c r="D3372" s="2" t="s">
        <v>4477</v>
      </c>
      <c r="E3372" s="2" t="s">
        <v>293</v>
      </c>
      <c r="F3372" s="11">
        <v>1962</v>
      </c>
      <c r="G3372" t="s">
        <v>36</v>
      </c>
      <c r="H3372" t="s">
        <v>4654</v>
      </c>
      <c r="I3372" t="s">
        <v>4493</v>
      </c>
      <c r="J3372" s="6" t="str">
        <f>HYPERLINK("https://www.biovista.com/db/link/%5B%5B%22Disease%7CZellweger%20Syndrome%22%5D,%20%5B%22Gene%7Cperoxisomal%20bifunctional%20enzyme%22%5D%5D?strength-weight-map=%257B%2522MEDLINE_STRENGTH_AB%2522:1.0,%2522HPO%2522:100.0%257D", "Show Evidence...")</f>
        <v>Show Evidence...</v>
      </c>
    </row>
    <row r="3373" spans="1:10" ht="12.75">
      <c r="A3373" s="2" t="s">
        <v>4475</v>
      </c>
      <c r="B3373" s="2" t="s">
        <v>4476</v>
      </c>
      <c r="C3373" s="2" t="s">
        <v>24</v>
      </c>
      <c r="D3373" s="2" t="s">
        <v>4477</v>
      </c>
      <c r="E3373" s="2" t="s">
        <v>53</v>
      </c>
      <c r="F3373" s="11" t="s">
        <v>4655</v>
      </c>
      <c r="G3373" t="s">
        <v>36</v>
      </c>
      <c r="H3373" t="s">
        <v>4656</v>
      </c>
      <c r="I3373" t="s">
        <v>4493</v>
      </c>
      <c r="J3373" s="6" t="str">
        <f>HYPERLINK("https://www.biovista.com/db/link/%5B%5B%22Disease%7CZellweger%20Syndrome%22%5D,%20%5B%22Gene%7CPeroxisomal%20Multifunctional%20Protein-2%22%5D%5D?strength-weight-map=%257B%2522MEDLINE_STRENGTH_AB%2522:1.0,%2522HPO%2522:100.0%257D", "Show Evidence...")</f>
        <v>Show Evidence...</v>
      </c>
    </row>
    <row r="3374" spans="1:10" ht="12.75">
      <c r="A3374" s="2" t="s">
        <v>4475</v>
      </c>
      <c r="B3374" s="2" t="s">
        <v>4476</v>
      </c>
      <c r="C3374" s="2" t="s">
        <v>24</v>
      </c>
      <c r="D3374" s="2" t="s">
        <v>4477</v>
      </c>
      <c r="E3374" s="2" t="s">
        <v>293</v>
      </c>
      <c r="F3374" s="11">
        <v>5933</v>
      </c>
      <c r="G3374" t="s">
        <v>36</v>
      </c>
      <c r="H3374" t="s">
        <v>399</v>
      </c>
      <c r="I3374" t="s">
        <v>4493</v>
      </c>
      <c r="J3374" s="6" t="str">
        <f>HYPERLINK("https://www.biovista.com/db/link/%5B%5B%22Disease%7CZellweger%20Syndrome%22%5D,%20%5B%22Gene%7CRBL1%22%5D%5D?strength-weight-map=%257B%2522MEDLINE_STRENGTH_AB%2522:1.0,%2522HPO%2522:100.0%257D", "Show Evidence...")</f>
        <v>Show Evidence...</v>
      </c>
    </row>
    <row r="3375" spans="1:10" ht="12.75">
      <c r="A3375" s="2" t="s">
        <v>4475</v>
      </c>
      <c r="B3375" s="2" t="s">
        <v>4476</v>
      </c>
      <c r="C3375" s="2" t="s">
        <v>24</v>
      </c>
      <c r="D3375" s="2" t="s">
        <v>4477</v>
      </c>
      <c r="E3375" s="2" t="s">
        <v>293</v>
      </c>
      <c r="F3375" s="11">
        <v>215</v>
      </c>
      <c r="G3375" t="s">
        <v>36</v>
      </c>
      <c r="H3375" t="s">
        <v>4657</v>
      </c>
      <c r="I3375" t="s">
        <v>4658</v>
      </c>
      <c r="J3375" s="6" t="str">
        <f>HYPERLINK("https://www.biovista.com/db/link/%5B%5B%22Disease%7CZellweger%20Syndrome%22%5D,%20%5B%22Gene%7CALDP%22%5D%5D?strength-weight-map=%257B%2522MEDLINE_STRENGTH_AB%2522:1.0,%2522HPO%2522:100.0%257D", "Show Evidence...")</f>
        <v>Show Evidence...</v>
      </c>
    </row>
    <row r="3376" spans="1:10" ht="12.75">
      <c r="A3376" s="2" t="s">
        <v>4475</v>
      </c>
      <c r="B3376" s="2" t="s">
        <v>4476</v>
      </c>
      <c r="C3376" s="2" t="s">
        <v>24</v>
      </c>
      <c r="D3376" s="2" t="s">
        <v>4477</v>
      </c>
      <c r="E3376" s="2" t="s">
        <v>293</v>
      </c>
      <c r="F3376" s="11">
        <v>5264</v>
      </c>
      <c r="G3376" t="s">
        <v>36</v>
      </c>
      <c r="H3376" t="s">
        <v>4659</v>
      </c>
      <c r="I3376" t="s">
        <v>4658</v>
      </c>
      <c r="J3376" s="6" t="str">
        <f>HYPERLINK("https://www.biovista.com/db/link/%5B%5B%22Disease%7CZellweger%20Syndrome%22%5D,%20%5B%22Gene%7CPHYH%22%5D%5D?strength-weight-map=%257B%2522MEDLINE_STRENGTH_AB%2522:1.0,%2522HPO%2522:100.0%257D", "Show Evidence...")</f>
        <v>Show Evidence...</v>
      </c>
    </row>
    <row r="3377" spans="1:10" ht="12.75">
      <c r="A3377" s="2" t="s">
        <v>4475</v>
      </c>
      <c r="B3377" s="2" t="s">
        <v>4476</v>
      </c>
      <c r="C3377" s="2" t="s">
        <v>24</v>
      </c>
      <c r="D3377" s="2" t="s">
        <v>4477</v>
      </c>
      <c r="E3377" s="2" t="s">
        <v>293</v>
      </c>
      <c r="F3377" s="11">
        <v>100500576</v>
      </c>
      <c r="G3377" t="s">
        <v>36</v>
      </c>
      <c r="H3377" t="s">
        <v>4660</v>
      </c>
      <c r="I3377" t="s">
        <v>4658</v>
      </c>
      <c r="J3377" s="6" t="str">
        <f>HYPERLINK("https://www.biovista.com/db/link/%5B%5B%22Disease%7CZellweger%20Syndrome%22%5D,%20%5B%22Gene%7CPTS2%22%5D%5D?strength-weight-map=%257B%2522MEDLINE_STRENGTH_AB%2522:1.0,%2522HPO%2522:100.0%257D", "Show Evidence...")</f>
        <v>Show Evidence...</v>
      </c>
    </row>
    <row r="3378" spans="1:10" ht="12.75">
      <c r="A3378" s="2" t="s">
        <v>4475</v>
      </c>
      <c r="B3378" s="2" t="s">
        <v>4476</v>
      </c>
      <c r="C3378" s="2" t="s">
        <v>24</v>
      </c>
      <c r="D3378" s="2" t="s">
        <v>4477</v>
      </c>
      <c r="E3378" s="2" t="s">
        <v>293</v>
      </c>
      <c r="F3378" s="11">
        <v>51</v>
      </c>
      <c r="G3378" t="s">
        <v>36</v>
      </c>
      <c r="H3378" t="s">
        <v>4661</v>
      </c>
      <c r="I3378" t="s">
        <v>4494</v>
      </c>
      <c r="J3378" s="6" t="str">
        <f>HYPERLINK("https://www.biovista.com/db/link/%5B%5B%22Disease%7CZellweger%20Syndrome%22%5D,%20%5B%22Gene%7CACOX1%22%5D%5D?strength-weight-map=%257B%2522MEDLINE_STRENGTH_AB%2522:1.0,%2522HPO%2522:100.0%257D", "Show Evidence...")</f>
        <v>Show Evidence...</v>
      </c>
    </row>
    <row r="3379" spans="1:10" ht="12.75">
      <c r="A3379" s="2" t="s">
        <v>4475</v>
      </c>
      <c r="B3379" s="2" t="s">
        <v>4476</v>
      </c>
      <c r="C3379" s="2" t="s">
        <v>24</v>
      </c>
      <c r="D3379" s="2" t="s">
        <v>4477</v>
      </c>
      <c r="E3379" s="2" t="s">
        <v>293</v>
      </c>
      <c r="F3379" s="11">
        <v>100734021</v>
      </c>
      <c r="G3379" t="s">
        <v>36</v>
      </c>
      <c r="H3379" t="s">
        <v>4662</v>
      </c>
      <c r="I3379" t="s">
        <v>4494</v>
      </c>
      <c r="J3379" s="6" t="str">
        <f>HYPERLINK("https://www.biovista.com/db/link/%5B%5B%22Disease%7CZellweger%20Syndrome%22%5D,%20%5B%22Gene%7CAlkylglycerone-phosphate%20synthase%22%5D%5D?strength-weight-map=%257B%2522MEDLINE_STRENGTH_AB%2522:1.0,%2522HPO%2522:100.0%257D", "Show Evidence...")</f>
        <v>Show Evidence...</v>
      </c>
    </row>
    <row r="3380" spans="1:10" ht="12.75">
      <c r="A3380" s="2" t="s">
        <v>4475</v>
      </c>
      <c r="B3380" s="2" t="s">
        <v>4476</v>
      </c>
      <c r="C3380" s="2" t="s">
        <v>24</v>
      </c>
      <c r="D3380" s="2" t="s">
        <v>4477</v>
      </c>
      <c r="E3380" s="2" t="s">
        <v>53</v>
      </c>
      <c r="F3380" s="11" t="s">
        <v>4663</v>
      </c>
      <c r="G3380" t="s">
        <v>36</v>
      </c>
      <c r="H3380" t="s">
        <v>4664</v>
      </c>
      <c r="I3380" t="s">
        <v>4494</v>
      </c>
      <c r="J3380" s="6" t="str">
        <f>HYPERLINK("https://www.biovista.com/db/link/%5B%5B%22Disease%7CZellweger%20Syndrome%22%5D,%20%5B%22Gene%7CPeroxisome%20Assembly%20Factor-1%22%5D%5D?strength-weight-map=%257B%2522MEDLINE_STRENGTH_AB%2522:1.0,%2522HPO%2522:100.0%257D", "Show Evidence...")</f>
        <v>Show Evidence...</v>
      </c>
    </row>
    <row r="3381" spans="1:10" ht="12.75">
      <c r="A3381" s="2" t="s">
        <v>4475</v>
      </c>
      <c r="B3381" s="2" t="s">
        <v>4476</v>
      </c>
      <c r="C3381" s="2" t="s">
        <v>24</v>
      </c>
      <c r="D3381" s="2" t="s">
        <v>4477</v>
      </c>
      <c r="E3381" s="2" t="s">
        <v>293</v>
      </c>
      <c r="F3381" s="11">
        <v>3645026</v>
      </c>
      <c r="G3381" t="s">
        <v>36</v>
      </c>
      <c r="H3381" t="s">
        <v>4665</v>
      </c>
      <c r="I3381" t="s">
        <v>4494</v>
      </c>
      <c r="J3381" s="6" t="str">
        <f>HYPERLINK("https://www.biovista.com/db/link/%5B%5B%22Disease%7CZellweger%20Syndrome%22%5D,%20%5B%22Gene%7CPex5p%22%5D%5D?strength-weight-map=%257B%2522MEDLINE_STRENGTH_AB%2522:1.0,%2522HPO%2522:100.0%257D", "Show Evidence...")</f>
        <v>Show Evidence...</v>
      </c>
    </row>
    <row r="3382" spans="1:10" ht="12.75">
      <c r="A3382" s="2" t="s">
        <v>4475</v>
      </c>
      <c r="B3382" s="2" t="s">
        <v>4476</v>
      </c>
      <c r="C3382" s="2" t="s">
        <v>24</v>
      </c>
      <c r="D3382" s="2" t="s">
        <v>4477</v>
      </c>
      <c r="E3382" s="2" t="s">
        <v>293</v>
      </c>
      <c r="F3382" s="11">
        <v>7124</v>
      </c>
      <c r="G3382" t="s">
        <v>36</v>
      </c>
      <c r="H3382" t="s">
        <v>318</v>
      </c>
      <c r="I3382" t="s">
        <v>4494</v>
      </c>
      <c r="J3382" s="6" t="str">
        <f>HYPERLINK("https://www.biovista.com/db/link/%5B%5B%22Disease%7CZellweger%20Syndrome%22%5D,%20%5B%22Gene%7CTNF%22%5D%5D?strength-weight-map=%257B%2522MEDLINE_STRENGTH_AB%2522:1.0,%2522HPO%2522:100.0%257D", "Show Evidence...")</f>
        <v>Show Evidence...</v>
      </c>
    </row>
    <row r="3383" spans="1:10" ht="12.75">
      <c r="A3383" s="2" t="s">
        <v>4475</v>
      </c>
      <c r="B3383" s="2" t="s">
        <v>4476</v>
      </c>
      <c r="C3383" s="2" t="s">
        <v>24</v>
      </c>
      <c r="D3383" s="2" t="s">
        <v>4477</v>
      </c>
      <c r="E3383" s="2" t="s">
        <v>293</v>
      </c>
      <c r="F3383" s="11">
        <v>397926</v>
      </c>
      <c r="G3383" t="s">
        <v>36</v>
      </c>
      <c r="H3383" t="s">
        <v>4666</v>
      </c>
      <c r="I3383" t="s">
        <v>4494</v>
      </c>
      <c r="J3383" s="6" t="str">
        <f>HYPERLINK("https://www.biovista.com/db/link/%5B%5B%22Disease%7CZellweger%20Syndrome%22%5D,%20%5B%22Gene%7Ctumor%20suppressor%20protein%20p53%22%5D%5D?strength-weight-map=%257B%2522MEDLINE_STRENGTH_AB%2522:1.0,%2522HPO%2522:100.0%257D", "Show Evidence...")</f>
        <v>Show Evidence...</v>
      </c>
    </row>
    <row r="3384" spans="1:10" ht="12.75">
      <c r="A3384" s="2" t="s">
        <v>4475</v>
      </c>
      <c r="B3384" s="2" t="s">
        <v>4476</v>
      </c>
      <c r="C3384" s="2" t="s">
        <v>24</v>
      </c>
      <c r="D3384" s="2" t="s">
        <v>4477</v>
      </c>
      <c r="E3384" s="2" t="s">
        <v>293</v>
      </c>
      <c r="F3384" s="11">
        <v>1213</v>
      </c>
      <c r="G3384" t="s">
        <v>36</v>
      </c>
      <c r="H3384" t="s">
        <v>352</v>
      </c>
      <c r="I3384" t="s">
        <v>4495</v>
      </c>
      <c r="J3384" s="6" t="str">
        <f>HYPERLINK("https://www.biovista.com/db/link/%5B%5B%22Disease%7CZellweger%20Syndrome%22%5D,%20%5B%22Gene%7CHC%22%5D%5D?strength-weight-map=%257B%2522MEDLINE_STRENGTH_AB%2522:1.0,%2522HPO%2522:100.0%257D", "Show Evidence...")</f>
        <v>Show Evidence...</v>
      </c>
    </row>
    <row r="3385" spans="1:10" ht="12.75">
      <c r="A3385" s="2" t="s">
        <v>4475</v>
      </c>
      <c r="B3385" s="2" t="s">
        <v>4476</v>
      </c>
      <c r="C3385" s="2" t="s">
        <v>24</v>
      </c>
      <c r="D3385" s="2" t="s">
        <v>4477</v>
      </c>
      <c r="E3385" s="2" t="s">
        <v>293</v>
      </c>
      <c r="F3385" s="11">
        <v>3644484</v>
      </c>
      <c r="G3385" t="s">
        <v>36</v>
      </c>
      <c r="H3385" t="s">
        <v>4667</v>
      </c>
      <c r="I3385" t="s">
        <v>4495</v>
      </c>
      <c r="J3385" s="6" t="str">
        <f>HYPERLINK("https://www.biovista.com/db/link/%5B%5B%22Disease%7CZellweger%20Syndrome%22%5D,%20%5B%22Gene%7CPex3p%22%5D%5D?strength-weight-map=%257B%2522MEDLINE_STRENGTH_AB%2522:1.0,%2522HPO%2522:100.0%257D", "Show Evidence...")</f>
        <v>Show Evidence...</v>
      </c>
    </row>
    <row r="3386" spans="1:10" ht="12.75">
      <c r="A3386" s="2" t="s">
        <v>4475</v>
      </c>
      <c r="B3386" s="2" t="s">
        <v>4476</v>
      </c>
      <c r="C3386" s="2" t="s">
        <v>24</v>
      </c>
      <c r="D3386" s="2" t="s">
        <v>4477</v>
      </c>
      <c r="E3386" s="2" t="s">
        <v>293</v>
      </c>
      <c r="F3386" s="11">
        <v>100276220</v>
      </c>
      <c r="G3386" t="s">
        <v>36</v>
      </c>
      <c r="H3386" t="s">
        <v>4668</v>
      </c>
      <c r="I3386" t="s">
        <v>4495</v>
      </c>
      <c r="J3386" s="6" t="str">
        <f>HYPERLINK("https://www.biovista.com/db/link/%5B%5B%22Disease%7CZellweger%20Syndrome%22%5D,%20%5B%22Gene%7CPMP%22%5D%5D?strength-weight-map=%257B%2522MEDLINE_STRENGTH_AB%2522:1.0,%2522HPO%2522:100.0%257D", "Show Evidence...")</f>
        <v>Show Evidence...</v>
      </c>
    </row>
    <row r="3387" spans="1:10" ht="12.75">
      <c r="A3387" s="2" t="s">
        <v>4475</v>
      </c>
      <c r="B3387" s="2" t="s">
        <v>4476</v>
      </c>
      <c r="C3387" s="2" t="s">
        <v>24</v>
      </c>
      <c r="D3387" s="2" t="s">
        <v>4477</v>
      </c>
      <c r="E3387" s="2" t="s">
        <v>53</v>
      </c>
      <c r="F3387" s="11" t="s">
        <v>4669</v>
      </c>
      <c r="G3387" t="s">
        <v>36</v>
      </c>
      <c r="H3387" t="s">
        <v>4670</v>
      </c>
      <c r="I3387" t="s">
        <v>4671</v>
      </c>
      <c r="J3387" s="6" t="s">
        <v>4672</v>
      </c>
    </row>
    <row r="3388" spans="1:10" ht="12.75">
      <c r="A3388" s="2" t="s">
        <v>4475</v>
      </c>
      <c r="B3388" s="2" t="s">
        <v>4476</v>
      </c>
      <c r="C3388" s="2" t="s">
        <v>24</v>
      </c>
      <c r="D3388" s="2" t="s">
        <v>4477</v>
      </c>
      <c r="E3388" s="2" t="s">
        <v>293</v>
      </c>
      <c r="F3388" s="11">
        <v>1610</v>
      </c>
      <c r="G3388" t="s">
        <v>36</v>
      </c>
      <c r="H3388" t="s">
        <v>4673</v>
      </c>
      <c r="I3388" t="s">
        <v>4671</v>
      </c>
      <c r="J3388" s="6" t="str">
        <f>HYPERLINK("https://www.biovista.com/db/link/%5B%5B%22Disease%7CZellweger%20Syndrome%22%5D,%20%5B%22Gene%7CD-amino-acid%20oxidase%22%5D%5D?strength-weight-map=%257B%2522MEDLINE_STRENGTH_AB%2522:1.0,%2522HPO%2522:100.0%257D", "Show Evidence...")</f>
        <v>Show Evidence...</v>
      </c>
    </row>
    <row r="3389" spans="1:10" ht="12.75">
      <c r="A3389" s="2" t="s">
        <v>4475</v>
      </c>
      <c r="B3389" s="2" t="s">
        <v>4476</v>
      </c>
      <c r="C3389" s="2" t="s">
        <v>24</v>
      </c>
      <c r="D3389" s="2" t="s">
        <v>4477</v>
      </c>
      <c r="E3389" s="2" t="s">
        <v>293</v>
      </c>
      <c r="F3389" s="11">
        <v>8443</v>
      </c>
      <c r="G3389" t="s">
        <v>36</v>
      </c>
      <c r="H3389" t="s">
        <v>4674</v>
      </c>
      <c r="I3389" t="s">
        <v>4671</v>
      </c>
      <c r="J3389" s="6" t="str">
        <f>HYPERLINK("https://www.biovista.com/db/link/%5B%5B%22Disease%7CZellweger%20Syndrome%22%5D,%20%5B%22Gene%7CDHAP-AT%22%5D%5D?strength-weight-map=%257B%2522MEDLINE_STRENGTH_AB%2522:1.0,%2522HPO%2522:100.0%257D", "Show Evidence...")</f>
        <v>Show Evidence...</v>
      </c>
    </row>
    <row r="3390" spans="1:10" ht="12.75">
      <c r="A3390" s="2" t="s">
        <v>4475</v>
      </c>
      <c r="B3390" s="2" t="s">
        <v>4476</v>
      </c>
      <c r="C3390" s="2" t="s">
        <v>24</v>
      </c>
      <c r="D3390" s="2" t="s">
        <v>4477</v>
      </c>
      <c r="E3390" s="2" t="s">
        <v>293</v>
      </c>
      <c r="F3390" s="11">
        <v>3569</v>
      </c>
      <c r="G3390" t="s">
        <v>36</v>
      </c>
      <c r="H3390" t="s">
        <v>329</v>
      </c>
      <c r="I3390" t="s">
        <v>4671</v>
      </c>
      <c r="J3390" s="6" t="str">
        <f>HYPERLINK("https://www.biovista.com/db/link/%5B%5B%22Disease%7CZellweger%20Syndrome%22%5D,%20%5B%22Gene%7CIL6%22%5D%5D?strength-weight-map=%257B%2522MEDLINE_STRENGTH_AB%2522:1.0,%2522HPO%2522:100.0%257D", "Show Evidence...")</f>
        <v>Show Evidence...</v>
      </c>
    </row>
    <row r="3391" spans="1:10" ht="12.75">
      <c r="A3391" s="2" t="s">
        <v>4475</v>
      </c>
      <c r="B3391" s="2" t="s">
        <v>4476</v>
      </c>
      <c r="C3391" s="2" t="s">
        <v>24</v>
      </c>
      <c r="D3391" s="2" t="s">
        <v>4477</v>
      </c>
      <c r="E3391" s="2" t="s">
        <v>293</v>
      </c>
      <c r="F3391" s="11">
        <v>5191</v>
      </c>
      <c r="G3391" t="s">
        <v>36</v>
      </c>
      <c r="H3391" t="s">
        <v>4675</v>
      </c>
      <c r="I3391" t="s">
        <v>4671</v>
      </c>
      <c r="J3391" s="6" t="str">
        <f>HYPERLINK("https://www.biovista.com/db/link/%5B%5B%22Disease%7CZellweger%20Syndrome%22%5D,%20%5B%22Gene%7CPEX7%22%5D%5D?strength-weight-map=%257B%2522MEDLINE_STRENGTH_AB%2522:1.0,%2522HPO%2522:100.0%257D", "Show Evidence...")</f>
        <v>Show Evidence...</v>
      </c>
    </row>
    <row r="3392" spans="1:10" ht="12.75">
      <c r="A3392" s="2" t="s">
        <v>4475</v>
      </c>
      <c r="B3392" s="2" t="s">
        <v>4476</v>
      </c>
      <c r="C3392" s="2" t="s">
        <v>24</v>
      </c>
      <c r="D3392" s="2" t="s">
        <v>4477</v>
      </c>
      <c r="E3392" s="2" t="s">
        <v>53</v>
      </c>
      <c r="F3392" s="11" t="s">
        <v>4676</v>
      </c>
      <c r="G3392" t="s">
        <v>36</v>
      </c>
      <c r="H3392" t="s">
        <v>4677</v>
      </c>
      <c r="I3392" t="s">
        <v>4678</v>
      </c>
      <c r="J3392" s="6" t="str">
        <f>HYPERLINK("https://www.biovista.com/db/link/%5B%5B%22Disease%7CZellweger%20Syndrome%22%5D,%20%5B%22Gene%7CAcyl%20CoA%20Oxidase%22%5D%5D?strength-weight-map=%257B%2522MEDLINE_STRENGTH_AB%2522:1.0,%2522HPO%2522:100.0%257D", "Show Evidence...")</f>
        <v>Show Evidence...</v>
      </c>
    </row>
    <row r="3393" spans="1:10" ht="12.75">
      <c r="A3393" s="2" t="s">
        <v>4475</v>
      </c>
      <c r="B3393" s="2" t="s">
        <v>4476</v>
      </c>
      <c r="C3393" s="2" t="s">
        <v>24</v>
      </c>
      <c r="D3393" s="2" t="s">
        <v>4477</v>
      </c>
      <c r="E3393" s="2" t="s">
        <v>293</v>
      </c>
      <c r="F3393" s="11">
        <v>8540</v>
      </c>
      <c r="G3393" t="s">
        <v>36</v>
      </c>
      <c r="H3393" t="s">
        <v>4679</v>
      </c>
      <c r="I3393" t="s">
        <v>4678</v>
      </c>
      <c r="J3393" s="6" t="str">
        <f>HYPERLINK("https://www.biovista.com/db/link/%5B%5B%22Disease%7CZellweger%20Syndrome%22%5D,%20%5B%22Gene%7CAGPS%22%5D%5D?strength-weight-map=%257B%2522MEDLINE_STRENGTH_AB%2522:1.0,%2522HPO%2522:100.0%257D", "Show Evidence...")</f>
        <v>Show Evidence...</v>
      </c>
    </row>
    <row r="3394" spans="1:10" ht="12.75">
      <c r="A3394" s="2" t="s">
        <v>4475</v>
      </c>
      <c r="B3394" s="2" t="s">
        <v>4476</v>
      </c>
      <c r="C3394" s="2" t="s">
        <v>24</v>
      </c>
      <c r="D3394" s="2" t="s">
        <v>4477</v>
      </c>
      <c r="E3394" s="2" t="s">
        <v>293</v>
      </c>
      <c r="F3394" s="11">
        <v>10046</v>
      </c>
      <c r="G3394" t="s">
        <v>36</v>
      </c>
      <c r="H3394" t="s">
        <v>4680</v>
      </c>
      <c r="I3394" t="s">
        <v>4678</v>
      </c>
      <c r="J3394" s="6" t="str">
        <f>HYPERLINK("https://www.biovista.com/db/link/%5B%5B%22Disease%7CZellweger%20Syndrome%22%5D,%20%5B%22Gene%7CCG1%22%5D%5D?strength-weight-map=%257B%2522MEDLINE_STRENGTH_AB%2522:1.0,%2522HPO%2522:100.0%257D", "Show Evidence...")</f>
        <v>Show Evidence...</v>
      </c>
    </row>
    <row r="3395" spans="1:10" ht="12.75">
      <c r="A3395" s="2" t="s">
        <v>4475</v>
      </c>
      <c r="B3395" s="2" t="s">
        <v>4476</v>
      </c>
      <c r="C3395" s="2" t="s">
        <v>24</v>
      </c>
      <c r="D3395" s="2" t="s">
        <v>4477</v>
      </c>
      <c r="E3395" s="2" t="s">
        <v>293</v>
      </c>
      <c r="F3395" s="11">
        <v>10106</v>
      </c>
      <c r="G3395" t="s">
        <v>36</v>
      </c>
      <c r="H3395" t="s">
        <v>4681</v>
      </c>
      <c r="I3395" t="s">
        <v>4678</v>
      </c>
      <c r="J3395" s="6" t="str">
        <f>HYPERLINK("https://www.biovista.com/db/link/%5B%5B%22Disease%7CZellweger%20Syndrome%22%5D,%20%5B%22Gene%7CSCP2%22%5D%5D?strength-weight-map=%257B%2522MEDLINE_STRENGTH_AB%2522:1.0,%2522HPO%2522:100.0%257D", "Show Evidence...")</f>
        <v>Show Evidence...</v>
      </c>
    </row>
    <row r="3396" spans="1:10" ht="12.75">
      <c r="A3396" s="2" t="s">
        <v>4475</v>
      </c>
      <c r="B3396" s="2" t="s">
        <v>4476</v>
      </c>
      <c r="C3396" s="2" t="s">
        <v>24</v>
      </c>
      <c r="D3396" s="2" t="s">
        <v>4477</v>
      </c>
      <c r="E3396" s="2" t="s">
        <v>293</v>
      </c>
      <c r="F3396" s="11">
        <v>100135519</v>
      </c>
      <c r="G3396" t="s">
        <v>36</v>
      </c>
      <c r="H3396" t="s">
        <v>4682</v>
      </c>
      <c r="I3396" t="s">
        <v>4683</v>
      </c>
      <c r="J3396" s="6" t="str">
        <f>HYPERLINK("https://www.biovista.com/db/link/%5B%5B%22Disease%7CZellweger%20Syndrome%22%5D,%20%5B%22Gene%7C3-hydroxyacyl-CoA%20dehydrogenase%22%5D%5D?strength-weight-map=%257B%2522MEDLINE_STRENGTH_AB%2522:1.0,%2522HPO%2522:100.0%257D", "Show Evidence...")</f>
        <v>Show Evidence...</v>
      </c>
    </row>
    <row r="3397" spans="1:10" ht="12.75">
      <c r="A3397" s="2" t="s">
        <v>4475</v>
      </c>
      <c r="B3397" s="2" t="s">
        <v>4476</v>
      </c>
      <c r="C3397" s="2" t="s">
        <v>24</v>
      </c>
      <c r="D3397" s="2" t="s">
        <v>4477</v>
      </c>
      <c r="E3397" s="2" t="s">
        <v>293</v>
      </c>
      <c r="F3397" s="11">
        <v>35701</v>
      </c>
      <c r="G3397" t="s">
        <v>36</v>
      </c>
      <c r="H3397" t="s">
        <v>4684</v>
      </c>
      <c r="I3397" t="s">
        <v>4683</v>
      </c>
      <c r="J3397" s="6" t="str">
        <f>HYPERLINK("https://www.biovista.com/db/link/%5B%5B%22Disease%7CZellweger%20Syndrome%22%5D,%20%5B%22Gene%7CAAA%20ATPase%22%5D%5D?strength-weight-map=%257B%2522MEDLINE_STRENGTH_AB%2522:1.0,%2522HPO%2522:100.0%257D", "Show Evidence...")</f>
        <v>Show Evidence...</v>
      </c>
    </row>
    <row r="3398" spans="1:10" ht="12.75">
      <c r="A3398" s="2" t="s">
        <v>4475</v>
      </c>
      <c r="B3398" s="2" t="s">
        <v>4476</v>
      </c>
      <c r="C3398" s="2" t="s">
        <v>24</v>
      </c>
      <c r="D3398" s="2" t="s">
        <v>4477</v>
      </c>
      <c r="E3398" s="2" t="s">
        <v>293</v>
      </c>
      <c r="F3398" s="11">
        <v>4512</v>
      </c>
      <c r="G3398" t="s">
        <v>36</v>
      </c>
      <c r="H3398" t="s">
        <v>1969</v>
      </c>
      <c r="I3398" t="s">
        <v>4683</v>
      </c>
      <c r="J3398" s="6" t="str">
        <f>HYPERLINK("https://www.biovista.com/db/link/%5B%5B%22Disease%7CZellweger%20Syndrome%22%5D,%20%5B%22Gene%7CCOX1%22%5D%5D?strength-weight-map=%257B%2522MEDLINE_STRENGTH_AB%2522:1.0,%2522HPO%2522:100.0%257D", "Show Evidence...")</f>
        <v>Show Evidence...</v>
      </c>
    </row>
    <row r="3399" spans="1:10" ht="12.75">
      <c r="A3399" s="2" t="s">
        <v>4475</v>
      </c>
      <c r="B3399" s="2" t="s">
        <v>4476</v>
      </c>
      <c r="C3399" s="2" t="s">
        <v>24</v>
      </c>
      <c r="D3399" s="2" t="s">
        <v>4477</v>
      </c>
      <c r="E3399" s="2" t="s">
        <v>293</v>
      </c>
      <c r="F3399" s="11">
        <v>14782</v>
      </c>
      <c r="G3399" t="s">
        <v>36</v>
      </c>
      <c r="H3399" t="s">
        <v>1213</v>
      </c>
      <c r="I3399" t="s">
        <v>4683</v>
      </c>
      <c r="J3399" s="6" t="str">
        <f>HYPERLINK("https://www.biovista.com/db/link/%5B%5B%22Disease%7CZellweger%20Syndrome%22%5D,%20%5B%22Gene%7Cglutathione%20reductase%22%5D%5D?strength-weight-map=%257B%2522MEDLINE_STRENGTH_AB%2522:1.0,%2522HPO%2522:100.0%257D", "Show Evidence...")</f>
        <v>Show Evidence...</v>
      </c>
    </row>
    <row r="3400" spans="1:10" ht="12.75">
      <c r="A3400" s="2" t="s">
        <v>4475</v>
      </c>
      <c r="B3400" s="2" t="s">
        <v>4476</v>
      </c>
      <c r="C3400" s="2" t="s">
        <v>24</v>
      </c>
      <c r="D3400" s="2" t="s">
        <v>4477</v>
      </c>
      <c r="E3400" s="2" t="s">
        <v>293</v>
      </c>
      <c r="F3400" s="11">
        <v>4598</v>
      </c>
      <c r="G3400" t="s">
        <v>36</v>
      </c>
      <c r="H3400" t="s">
        <v>4685</v>
      </c>
      <c r="I3400" t="s">
        <v>4683</v>
      </c>
      <c r="J3400" s="6" t="str">
        <f>HYPERLINK("https://www.biovista.com/db/link/%5B%5B%22Disease%7CZellweger%20Syndrome%22%5D,%20%5B%22Gene%7Cmevalonate%20kinase%22%5D%5D?strength-weight-map=%257B%2522MEDLINE_STRENGTH_AB%2522:1.0,%2522HPO%2522:100.0%257D", "Show Evidence...")</f>
        <v>Show Evidence...</v>
      </c>
    </row>
    <row r="3401" spans="1:10" ht="12.75">
      <c r="A3401" s="2" t="s">
        <v>4475</v>
      </c>
      <c r="B3401" s="2" t="s">
        <v>4476</v>
      </c>
      <c r="C3401" s="2" t="s">
        <v>24</v>
      </c>
      <c r="D3401" s="2" t="s">
        <v>4477</v>
      </c>
      <c r="E3401" s="2" t="s">
        <v>293</v>
      </c>
      <c r="F3401" s="11">
        <v>100125585</v>
      </c>
      <c r="G3401" t="s">
        <v>36</v>
      </c>
      <c r="H3401" t="s">
        <v>4686</v>
      </c>
      <c r="I3401" t="s">
        <v>4683</v>
      </c>
      <c r="J3401" s="6" t="str">
        <f>HYPERLINK("https://www.biovista.com/db/link/%5B%5B%22Disease%7CZellweger%20Syndrome%22%5D,%20%5B%22Gene%7Cperoxisomal%20acyl-CoA%20oxidase%22%5D%5D?strength-weight-map=%257B%2522MEDLINE_STRENGTH_AB%2522:1.0,%2522HPO%2522:100.0%257D", "Show Evidence...")</f>
        <v>Show Evidence...</v>
      </c>
    </row>
    <row r="3402" spans="1:10" ht="12.75">
      <c r="A3402" s="2" t="s">
        <v>4475</v>
      </c>
      <c r="B3402" s="2" t="s">
        <v>4476</v>
      </c>
      <c r="C3402" s="2" t="s">
        <v>24</v>
      </c>
      <c r="D3402" s="2" t="s">
        <v>4477</v>
      </c>
      <c r="E3402" s="2" t="s">
        <v>293</v>
      </c>
      <c r="F3402" s="11">
        <v>5830</v>
      </c>
      <c r="G3402" t="s">
        <v>36</v>
      </c>
      <c r="H3402" t="s">
        <v>4687</v>
      </c>
      <c r="I3402" t="s">
        <v>4683</v>
      </c>
      <c r="J3402" s="6" t="str">
        <f>HYPERLINK("https://www.biovista.com/db/link/%5B%5B%22Disease%7CZellweger%20Syndrome%22%5D,%20%5B%22Gene%7CPTS1%20receptor%22%5D%5D?strength-weight-map=%257B%2522MEDLINE_STRENGTH_AB%2522:1.0,%2522HPO%2522:100.0%257D", "Show Evidence...")</f>
        <v>Show Evidence...</v>
      </c>
    </row>
    <row r="3403" spans="1:10" ht="12.75">
      <c r="A3403" s="2" t="s">
        <v>4475</v>
      </c>
      <c r="B3403" s="2" t="s">
        <v>4476</v>
      </c>
      <c r="C3403" s="2" t="s">
        <v>24</v>
      </c>
      <c r="D3403" s="2" t="s">
        <v>4477</v>
      </c>
      <c r="E3403" s="2" t="s">
        <v>293</v>
      </c>
      <c r="F3403" s="11">
        <v>844320</v>
      </c>
      <c r="G3403" t="s">
        <v>36</v>
      </c>
      <c r="H3403" t="s">
        <v>4688</v>
      </c>
      <c r="I3403" t="s">
        <v>4683</v>
      </c>
      <c r="J3403" s="6" t="str">
        <f>HYPERLINK("https://www.biovista.com/db/link/%5B%5B%22Disease%7CZellweger%20Syndrome%22%5D,%20%5B%22Gene%7CTED3%22%5D%5D?strength-weight-map=%257B%2522MEDLINE_STRENGTH_AB%2522:1.0,%2522HPO%2522:100.0%257D", "Show Evidence...")</f>
        <v>Show Evidence...</v>
      </c>
    </row>
    <row r="3404" spans="1:10" ht="12.75">
      <c r="A3404" s="2" t="s">
        <v>4475</v>
      </c>
      <c r="B3404" s="2" t="s">
        <v>4476</v>
      </c>
      <c r="C3404" s="2" t="s">
        <v>24</v>
      </c>
      <c r="D3404" s="2" t="s">
        <v>4477</v>
      </c>
      <c r="E3404" s="2" t="s">
        <v>293</v>
      </c>
      <c r="F3404" s="11">
        <v>215</v>
      </c>
      <c r="G3404" t="s">
        <v>36</v>
      </c>
      <c r="H3404" t="s">
        <v>4689</v>
      </c>
      <c r="I3404" t="s">
        <v>4496</v>
      </c>
      <c r="J3404" s="6" t="str">
        <f>HYPERLINK("https://www.biovista.com/db/link/%5B%5B%22Disease%7CZellweger%20Syndrome%22%5D,%20%5B%22Gene%7Cadrenoleukodystrophy%20protein%22%5D%5D?strength-weight-map=%257B%2522MEDLINE_STRENGTH_AB%2522:1.0,%2522HPO%2522:100.0%257D", "Show Evidence...")</f>
        <v>Show Evidence...</v>
      </c>
    </row>
    <row r="3405" spans="1:10" ht="12.75">
      <c r="A3405" s="2" t="s">
        <v>4475</v>
      </c>
      <c r="B3405" s="2" t="s">
        <v>4476</v>
      </c>
      <c r="C3405" s="2" t="s">
        <v>24</v>
      </c>
      <c r="D3405" s="2" t="s">
        <v>4477</v>
      </c>
      <c r="E3405" s="2" t="s">
        <v>4690</v>
      </c>
      <c r="F3405" s="11">
        <v>819945</v>
      </c>
      <c r="G3405" t="s">
        <v>36</v>
      </c>
      <c r="H3405" t="s">
        <v>4691</v>
      </c>
      <c r="I3405" t="s">
        <v>4496</v>
      </c>
      <c r="J3405" s="6" t="str">
        <f>HYPERLINK("https://www.biovista.com/db/link/%5B%5B%22Disease%7CZellweger%20Syndrome%22%5D,%20%5B%22Gene%7CAMC%22%5D%5D?strength-weight-map=%257B%2522MEDLINE_STRENGTH_AB%2522:1.0,%2522HPO%2522:100.0%257D", "Show Evidence...")</f>
        <v>Show Evidence...</v>
      </c>
    </row>
    <row r="3406" spans="1:10" ht="12.75">
      <c r="A3406" s="2" t="s">
        <v>4475</v>
      </c>
      <c r="B3406" s="2" t="s">
        <v>4476</v>
      </c>
      <c r="C3406" s="2" t="s">
        <v>24</v>
      </c>
      <c r="D3406" s="2" t="s">
        <v>4477</v>
      </c>
      <c r="E3406" s="2" t="s">
        <v>293</v>
      </c>
      <c r="F3406" s="11">
        <v>1628</v>
      </c>
      <c r="G3406" t="s">
        <v>36</v>
      </c>
      <c r="H3406" t="s">
        <v>4692</v>
      </c>
      <c r="I3406" t="s">
        <v>4496</v>
      </c>
      <c r="J3406" s="6" t="str">
        <f>HYPERLINK("https://www.biovista.com/db/link/%5B%5B%22Disease%7CZellweger%20Syndrome%22%5D,%20%5B%22Gene%7CDBP%22%5D%5D?strength-weight-map=%257B%2522MEDLINE_STRENGTH_AB%2522:1.0,%2522HPO%2522:100.0%257D", "Show Evidence...")</f>
        <v>Show Evidence...</v>
      </c>
    </row>
    <row r="3407" spans="1:10" ht="12.75">
      <c r="A3407" s="2" t="s">
        <v>4475</v>
      </c>
      <c r="B3407" s="2" t="s">
        <v>4476</v>
      </c>
      <c r="C3407" s="2" t="s">
        <v>24</v>
      </c>
      <c r="D3407" s="2" t="s">
        <v>4477</v>
      </c>
      <c r="E3407" s="2" t="s">
        <v>293</v>
      </c>
      <c r="F3407" s="11">
        <v>3641731</v>
      </c>
      <c r="G3407" t="s">
        <v>36</v>
      </c>
      <c r="H3407" t="s">
        <v>4693</v>
      </c>
      <c r="I3407" t="s">
        <v>4496</v>
      </c>
      <c r="J3407" s="6" t="str">
        <f>HYPERLINK("https://www.biovista.com/db/link/%5B%5B%22Disease%7CZellweger%20Syndrome%22%5D,%20%5B%22Gene%7CFAA2%22%5D%5D?strength-weight-map=%257B%2522MEDLINE_STRENGTH_AB%2522:1.0,%2522HPO%2522:100.0%257D", "Show Evidence...")</f>
        <v>Show Evidence...</v>
      </c>
    </row>
    <row r="3408" spans="1:10" ht="12.75">
      <c r="A3408" s="2" t="s">
        <v>4475</v>
      </c>
      <c r="B3408" s="2" t="s">
        <v>4476</v>
      </c>
      <c r="C3408" s="2" t="s">
        <v>24</v>
      </c>
      <c r="D3408" s="2" t="s">
        <v>4477</v>
      </c>
      <c r="E3408" s="2" t="s">
        <v>53</v>
      </c>
      <c r="F3408" s="11" t="s">
        <v>3110</v>
      </c>
      <c r="G3408" t="s">
        <v>36</v>
      </c>
      <c r="H3408" t="s">
        <v>4694</v>
      </c>
      <c r="I3408" t="s">
        <v>4496</v>
      </c>
      <c r="J3408" s="6" t="str">
        <f>HYPERLINK("https://www.biovista.com/db/link/%5B%5B%22Disease%7CZellweger%20Syndrome%22%5D,%20%5B%22Gene%7CLipoproteins,%20LDL%22%5D%5D?strength-weight-map=%257B%2522MEDLINE_STRENGTH_AB%2522:1.0,%2522HPO%2522:100.0%257D", "Show Evidence...")</f>
        <v>Show Evidence...</v>
      </c>
    </row>
    <row r="3409" spans="1:10" ht="12.75">
      <c r="A3409" s="2" t="s">
        <v>4475</v>
      </c>
      <c r="B3409" s="2" t="s">
        <v>4476</v>
      </c>
      <c r="C3409" s="2" t="s">
        <v>24</v>
      </c>
      <c r="D3409" s="2" t="s">
        <v>4477</v>
      </c>
      <c r="E3409" s="2" t="s">
        <v>293</v>
      </c>
      <c r="F3409" s="11">
        <v>8616941</v>
      </c>
      <c r="G3409" t="s">
        <v>36</v>
      </c>
      <c r="H3409" t="s">
        <v>4695</v>
      </c>
      <c r="I3409" t="s">
        <v>4496</v>
      </c>
      <c r="J3409" s="6" t="str">
        <f>HYPERLINK("https://www.biovista.com/db/link/%5B%5B%22Disease%7CZellweger%20Syndrome%22%5D,%20%5B%22Gene%7Clong-chain-fatty-acid-CoA%20ligase%22%5D%5D?strength-weight-map=%257B%2522MEDLINE_STRENGTH_AB%2522:1.0,%2522HPO%2522:100.0%257D", "Show Evidence...")</f>
        <v>Show Evidence...</v>
      </c>
    </row>
    <row r="3410" spans="1:10" ht="12.75">
      <c r="A3410" s="2" t="s">
        <v>4475</v>
      </c>
      <c r="B3410" s="2" t="s">
        <v>4476</v>
      </c>
      <c r="C3410" s="2" t="s">
        <v>24</v>
      </c>
      <c r="D3410" s="2" t="s">
        <v>4477</v>
      </c>
      <c r="E3410" s="2" t="s">
        <v>293</v>
      </c>
      <c r="F3410" s="11">
        <v>1432</v>
      </c>
      <c r="G3410" t="s">
        <v>36</v>
      </c>
      <c r="H3410" t="s">
        <v>4696</v>
      </c>
      <c r="I3410" t="s">
        <v>4496</v>
      </c>
      <c r="J3410" s="6" t="str">
        <f>HYPERLINK("https://www.biovista.com/db/link/%5B%5B%22Disease%7CZellweger%20Syndrome%22%5D,%20%5B%22Gene%7CMAPK14%22%5D%5D?strength-weight-map=%257B%2522MEDLINE_STRENGTH_AB%2522:1.0,%2522HPO%2522:100.0%257D", "Show Evidence...")</f>
        <v>Show Evidence...</v>
      </c>
    </row>
    <row r="3411" spans="1:10" ht="12.75">
      <c r="A3411" s="2" t="s">
        <v>4475</v>
      </c>
      <c r="B3411" s="2" t="s">
        <v>4476</v>
      </c>
      <c r="C3411" s="2" t="s">
        <v>24</v>
      </c>
      <c r="D3411" s="2" t="s">
        <v>4477</v>
      </c>
      <c r="E3411" s="2" t="s">
        <v>293</v>
      </c>
      <c r="F3411" s="11">
        <v>100728057</v>
      </c>
      <c r="G3411" t="s">
        <v>36</v>
      </c>
      <c r="H3411" t="s">
        <v>4697</v>
      </c>
      <c r="I3411" t="s">
        <v>4496</v>
      </c>
      <c r="J3411" s="6" t="str">
        <f>HYPERLINK("https://www.biovista.com/db/link/%5B%5B%22Disease%7CZellweger%20Syndrome%22%5D,%20%5B%22Gene%7Cmetallothionein%22%5D%5D?strength-weight-map=%257B%2522MEDLINE_STRENGTH_AB%2522:1.0,%2522HPO%2522:100.0%257D", "Show Evidence...")</f>
        <v>Show Evidence...</v>
      </c>
    </row>
    <row r="3412" spans="1:10" ht="12.75">
      <c r="A3412" s="2" t="s">
        <v>4475</v>
      </c>
      <c r="B3412" s="2" t="s">
        <v>4476</v>
      </c>
      <c r="C3412" s="2" t="s">
        <v>24</v>
      </c>
      <c r="D3412" s="2" t="s">
        <v>4477</v>
      </c>
      <c r="E3412" s="2" t="s">
        <v>293</v>
      </c>
      <c r="F3412" s="11">
        <v>10763</v>
      </c>
      <c r="G3412" t="s">
        <v>36</v>
      </c>
      <c r="H3412" t="s">
        <v>4698</v>
      </c>
      <c r="I3412" t="s">
        <v>4496</v>
      </c>
      <c r="J3412" s="6" t="str">
        <f>HYPERLINK("https://www.biovista.com/db/link/%5B%5B%22Disease%7CZellweger%20Syndrome%22%5D,%20%5B%22Gene%7Cnestin%22%5D%5D?strength-weight-map=%257B%2522MEDLINE_STRENGTH_AB%2522:1.0,%2522HPO%2522:100.0%257D", "Show Evidence...")</f>
        <v>Show Evidence...</v>
      </c>
    </row>
    <row r="3413" spans="1:10" ht="12.75">
      <c r="A3413" s="2" t="s">
        <v>4475</v>
      </c>
      <c r="B3413" s="2" t="s">
        <v>4476</v>
      </c>
      <c r="C3413" s="2" t="s">
        <v>24</v>
      </c>
      <c r="D3413" s="2" t="s">
        <v>4477</v>
      </c>
      <c r="E3413" s="2" t="s">
        <v>293</v>
      </c>
      <c r="F3413" s="11">
        <v>5048</v>
      </c>
      <c r="G3413" t="s">
        <v>36</v>
      </c>
      <c r="H3413" t="s">
        <v>4699</v>
      </c>
      <c r="I3413" t="s">
        <v>4496</v>
      </c>
      <c r="J3413" s="6" t="str">
        <f>HYPERLINK("https://www.biovista.com/db/link/%5B%5B%22Disease%7CZellweger%20Syndrome%22%5D,%20%5B%22Gene%7CPAFAH1B1%22%5D%5D?strength-weight-map=%257B%2522MEDLINE_STRENGTH_AB%2522:1.0,%2522HPO%2522:100.0%257D", "Show Evidence...")</f>
        <v>Show Evidence...</v>
      </c>
    </row>
    <row r="3414" spans="1:10" ht="12.75">
      <c r="A3414" s="2" t="s">
        <v>4475</v>
      </c>
      <c r="B3414" s="2" t="s">
        <v>4476</v>
      </c>
      <c r="C3414" s="2" t="s">
        <v>24</v>
      </c>
      <c r="D3414" s="2" t="s">
        <v>4477</v>
      </c>
      <c r="E3414" s="2" t="s">
        <v>293</v>
      </c>
      <c r="F3414" s="11">
        <v>5195</v>
      </c>
      <c r="G3414" t="s">
        <v>36</v>
      </c>
      <c r="H3414" t="s">
        <v>4700</v>
      </c>
      <c r="I3414" t="s">
        <v>4496</v>
      </c>
      <c r="J3414" s="6" t="str">
        <f>HYPERLINK("https://www.biovista.com/db/link/%5B%5B%22Disease%7CZellweger%20Syndrome%22%5D,%20%5B%22Gene%7CPex14p%22%5D%5D?strength-weight-map=%257B%2522MEDLINE_STRENGTH_AB%2522:1.0,%2522HPO%2522:100.0%257D", "Show Evidence...")</f>
        <v>Show Evidence...</v>
      </c>
    </row>
    <row r="3415" spans="1:10" ht="12.75">
      <c r="A3415" s="2" t="s">
        <v>4475</v>
      </c>
      <c r="B3415" s="2" t="s">
        <v>4476</v>
      </c>
      <c r="C3415" s="2" t="s">
        <v>24</v>
      </c>
      <c r="D3415" s="2" t="s">
        <v>4477</v>
      </c>
      <c r="E3415" s="2" t="s">
        <v>293</v>
      </c>
      <c r="F3415" s="11">
        <v>5585</v>
      </c>
      <c r="G3415" t="s">
        <v>36</v>
      </c>
      <c r="H3415" t="s">
        <v>4701</v>
      </c>
      <c r="I3415" t="s">
        <v>4496</v>
      </c>
      <c r="J3415" s="6" t="str">
        <f>HYPERLINK("https://www.biovista.com/db/link/%5B%5B%22Disease%7CZellweger%20Syndrome%22%5D,%20%5B%22Gene%7CPKN%22%5D%5D?strength-weight-map=%257B%2522MEDLINE_STRENGTH_AB%2522:1.0,%2522HPO%2522:100.0%257D", "Show Evidence...")</f>
        <v>Show Evidence...</v>
      </c>
    </row>
    <row r="3416" spans="1:10" ht="12.75">
      <c r="A3416" s="2" t="s">
        <v>4475</v>
      </c>
      <c r="B3416" s="2" t="s">
        <v>4476</v>
      </c>
      <c r="C3416" s="2" t="s">
        <v>24</v>
      </c>
      <c r="D3416" s="2" t="s">
        <v>4477</v>
      </c>
      <c r="E3416" s="2" t="s">
        <v>53</v>
      </c>
      <c r="F3416" s="11" t="s">
        <v>1164</v>
      </c>
      <c r="G3416" t="s">
        <v>36</v>
      </c>
      <c r="H3416" t="s">
        <v>1165</v>
      </c>
      <c r="I3416" t="s">
        <v>4499</v>
      </c>
      <c r="J3416" s="6" t="str">
        <f>HYPERLINK("https://www.biovista.com/db/link/%5B%5B%22Disease%7CZellweger%20Syndrome%22%5D,%20%5B%22Gene%7CAcyl-CoA%20Dehydrogenase,%20Long-Chain%22%5D%5D?strength-weight-map=%257B%2522MEDLINE_STRENGTH_AB%2522:1.0,%2522HPO%2522:100.0%257D", "Show Evidence...")</f>
        <v>Show Evidence...</v>
      </c>
    </row>
    <row r="3417" spans="1:10" ht="12.75">
      <c r="A3417" s="2" t="s">
        <v>4475</v>
      </c>
      <c r="B3417" s="2" t="s">
        <v>4476</v>
      </c>
      <c r="C3417" s="2" t="s">
        <v>24</v>
      </c>
      <c r="D3417" s="2" t="s">
        <v>4477</v>
      </c>
      <c r="E3417" s="2" t="s">
        <v>293</v>
      </c>
      <c r="F3417" s="11">
        <v>596</v>
      </c>
      <c r="G3417" t="s">
        <v>36</v>
      </c>
      <c r="H3417" t="s">
        <v>3990</v>
      </c>
      <c r="I3417" t="s">
        <v>4499</v>
      </c>
      <c r="J3417" s="6" t="str">
        <f>HYPERLINK("https://www.biovista.com/db/link/%5B%5B%22Disease%7CZellweger%20Syndrome%22%5D,%20%5B%22Gene%7CBCL2%22%5D%5D?strength-weight-map=%257B%2522MEDLINE_STRENGTH_AB%2522:1.0,%2522HPO%2522:100.0%257D", "Show Evidence...")</f>
        <v>Show Evidence...</v>
      </c>
    </row>
    <row r="3418" spans="1:10" ht="12.75">
      <c r="A3418" s="2" t="s">
        <v>4475</v>
      </c>
      <c r="B3418" s="2" t="s">
        <v>4476</v>
      </c>
      <c r="C3418" s="2" t="s">
        <v>24</v>
      </c>
      <c r="D3418" s="2" t="s">
        <v>4477</v>
      </c>
      <c r="E3418" s="2" t="s">
        <v>293</v>
      </c>
      <c r="F3418" s="11">
        <v>10249</v>
      </c>
      <c r="G3418" t="s">
        <v>36</v>
      </c>
      <c r="H3418" t="s">
        <v>4702</v>
      </c>
      <c r="I3418" t="s">
        <v>4499</v>
      </c>
      <c r="J3418" s="6" t="str">
        <f>HYPERLINK("https://www.biovista.com/db/link/%5B%5B%22Disease%7CZellweger%20Syndrome%22%5D,%20%5B%22Gene%7CCAT%22%5D%5D?strength-weight-map=%257B%2522MEDLINE_STRENGTH_AB%2522:1.0,%2522HPO%2522:100.0%257D", "Show Evidence...")</f>
        <v>Show Evidence...</v>
      </c>
    </row>
    <row r="3419" spans="1:10" ht="12.75">
      <c r="A3419" s="2" t="s">
        <v>4475</v>
      </c>
      <c r="B3419" s="2" t="s">
        <v>4476</v>
      </c>
      <c r="C3419" s="2" t="s">
        <v>24</v>
      </c>
      <c r="D3419" s="2" t="s">
        <v>4477</v>
      </c>
      <c r="E3419" s="2" t="s">
        <v>293</v>
      </c>
      <c r="F3419" s="11">
        <v>4513</v>
      </c>
      <c r="G3419" t="s">
        <v>36</v>
      </c>
      <c r="H3419" t="s">
        <v>423</v>
      </c>
      <c r="I3419" t="s">
        <v>4499</v>
      </c>
      <c r="J3419" s="6" t="str">
        <f>HYPERLINK("https://www.biovista.com/db/link/%5B%5B%22Disease%7CZellweger%20Syndrome%22%5D,%20%5B%22Gene%7CCOX2%22%5D%5D?strength-weight-map=%257B%2522MEDLINE_STRENGTH_AB%2522:1.0,%2522HPO%2522:100.0%257D", "Show Evidence...")</f>
        <v>Show Evidence...</v>
      </c>
    </row>
    <row r="3420" spans="1:10" ht="12.75">
      <c r="A3420" s="2" t="s">
        <v>4475</v>
      </c>
      <c r="B3420" s="2" t="s">
        <v>4476</v>
      </c>
      <c r="C3420" s="2" t="s">
        <v>24</v>
      </c>
      <c r="D3420" s="2" t="s">
        <v>4477</v>
      </c>
      <c r="E3420" s="2" t="s">
        <v>293</v>
      </c>
      <c r="F3420" s="11">
        <v>1610</v>
      </c>
      <c r="G3420" t="s">
        <v>36</v>
      </c>
      <c r="H3420" t="s">
        <v>4703</v>
      </c>
      <c r="I3420" t="s">
        <v>4499</v>
      </c>
      <c r="J3420" s="6" t="str">
        <f>HYPERLINK("https://www.biovista.com/db/link/%5B%5B%22Disease%7CZellweger%20Syndrome%22%5D,%20%5B%22Gene%7CD-amino%20acid%20oxidase%22%5D%5D?strength-weight-map=%257B%2522MEDLINE_STRENGTH_AB%2522:1.0,%2522HPO%2522:100.0%257D", "Show Evidence...")</f>
        <v>Show Evidence...</v>
      </c>
    </row>
    <row r="3421" spans="1:10" ht="12.75">
      <c r="A3421" s="2" t="s">
        <v>4475</v>
      </c>
      <c r="B3421" s="2" t="s">
        <v>4476</v>
      </c>
      <c r="C3421" s="2" t="s">
        <v>24</v>
      </c>
      <c r="D3421" s="2" t="s">
        <v>4477</v>
      </c>
      <c r="E3421" s="2" t="s">
        <v>293</v>
      </c>
      <c r="F3421" s="11">
        <v>33532</v>
      </c>
      <c r="G3421" t="s">
        <v>36</v>
      </c>
      <c r="H3421" t="s">
        <v>4704</v>
      </c>
      <c r="I3421" t="s">
        <v>4499</v>
      </c>
      <c r="J3421" s="6" t="str">
        <f>HYPERLINK("https://www.biovista.com/db/link/%5B%5B%22Disease%7CZellweger%20Syndrome%22%5D,%20%5B%22Gene%7CHydr2%22%5D%5D?strength-weight-map=%257B%2522MEDLINE_STRENGTH_AB%2522:1.0,%2522HPO%2522:100.0%257D", "Show Evidence...")</f>
        <v>Show Evidence...</v>
      </c>
    </row>
    <row r="3422" spans="1:10" ht="12.75">
      <c r="A3422" s="2" t="s">
        <v>4475</v>
      </c>
      <c r="B3422" s="2" t="s">
        <v>4476</v>
      </c>
      <c r="C3422" s="2" t="s">
        <v>24</v>
      </c>
      <c r="D3422" s="2" t="s">
        <v>4477</v>
      </c>
      <c r="E3422" s="2" t="s">
        <v>293</v>
      </c>
      <c r="F3422" s="11">
        <v>886729</v>
      </c>
      <c r="G3422" t="s">
        <v>36</v>
      </c>
      <c r="H3422" t="s">
        <v>4705</v>
      </c>
      <c r="I3422" t="s">
        <v>4499</v>
      </c>
      <c r="J3422" s="6" t="str">
        <f>HYPERLINK("https://www.biovista.com/db/link/%5B%5B%22Disease%7CZellweger%20Syndrome%22%5D,%20%5B%22Gene%7Chydratase%22%5D%5D?strength-weight-map=%257B%2522MEDLINE_STRENGTH_AB%2522:1.0,%2522HPO%2522:100.0%257D", "Show Evidence...")</f>
        <v>Show Evidence...</v>
      </c>
    </row>
    <row r="3423" spans="1:10" ht="12.75">
      <c r="A3423" s="2" t="s">
        <v>4475</v>
      </c>
      <c r="B3423" s="2" t="s">
        <v>4476</v>
      </c>
      <c r="C3423" s="2" t="s">
        <v>24</v>
      </c>
      <c r="D3423" s="2" t="s">
        <v>4477</v>
      </c>
      <c r="E3423" s="2" t="s">
        <v>293</v>
      </c>
      <c r="F3423" s="11">
        <v>1026</v>
      </c>
      <c r="G3423" t="s">
        <v>36</v>
      </c>
      <c r="H3423" t="s">
        <v>4706</v>
      </c>
      <c r="I3423" t="s">
        <v>4499</v>
      </c>
      <c r="J3423" s="6" t="str">
        <f>HYPERLINK("https://www.biovista.com/db/link/%5B%5B%22Disease%7CZellweger%20Syndrome%22%5D,%20%5B%22Gene%7Cp21%22%5D%5D?strength-weight-map=%257B%2522MEDLINE_STRENGTH_AB%2522:1.0,%2522HPO%2522:100.0%257D", "Show Evidence...")</f>
        <v>Show Evidence...</v>
      </c>
    </row>
    <row r="3424" spans="1:10" ht="12.75">
      <c r="A3424" s="2" t="s">
        <v>4475</v>
      </c>
      <c r="B3424" s="2" t="s">
        <v>4476</v>
      </c>
      <c r="C3424" s="2" t="s">
        <v>24</v>
      </c>
      <c r="D3424" s="2" t="s">
        <v>4477</v>
      </c>
      <c r="E3424" s="2" t="s">
        <v>293</v>
      </c>
      <c r="F3424" s="11">
        <v>213</v>
      </c>
      <c r="G3424" t="s">
        <v>36</v>
      </c>
      <c r="H3424" t="s">
        <v>4707</v>
      </c>
      <c r="I3424" t="s">
        <v>4499</v>
      </c>
      <c r="J3424" s="6" t="str">
        <f>HYPERLINK("https://www.biovista.com/db/link/%5B%5B%22Disease%7CZellweger%20Syndrome%22%5D,%20%5B%22Gene%7Cserum%20albumin%22%5D%5D?strength-weight-map=%257B%2522MEDLINE_STRENGTH_AB%2522:1.0,%2522HPO%2522:100.0%257D", "Show Evidence...")</f>
        <v>Show Evidence...</v>
      </c>
    </row>
    <row r="3425" spans="1:10" ht="12.75">
      <c r="A3425" s="2" t="s">
        <v>4475</v>
      </c>
      <c r="B3425" s="2" t="s">
        <v>4476</v>
      </c>
      <c r="C3425" s="2" t="s">
        <v>24</v>
      </c>
      <c r="D3425" s="2" t="s">
        <v>4477</v>
      </c>
      <c r="E3425" s="2" t="s">
        <v>293</v>
      </c>
      <c r="F3425" s="11">
        <v>134549</v>
      </c>
      <c r="G3425" t="s">
        <v>36</v>
      </c>
      <c r="H3425" t="s">
        <v>4708</v>
      </c>
      <c r="I3425" t="s">
        <v>4499</v>
      </c>
      <c r="J3425" s="6" t="str">
        <f>HYPERLINK("https://www.biovista.com/db/link/%5B%5B%22Disease%7CZellweger%20Syndrome%22%5D,%20%5B%22Gene%7CSHROOM1%22%5D%5D?strength-weight-map=%257B%2522MEDLINE_STRENGTH_AB%2522:1.0,%2522HPO%2522:100.0%257D", "Show Evidence...")</f>
        <v>Show Evidence...</v>
      </c>
    </row>
    <row r="3426" spans="1:10" ht="12.75">
      <c r="A3426" s="2" t="s">
        <v>4475</v>
      </c>
      <c r="B3426" s="2" t="s">
        <v>4476</v>
      </c>
      <c r="C3426" s="2" t="s">
        <v>24</v>
      </c>
      <c r="D3426" s="2" t="s">
        <v>4477</v>
      </c>
      <c r="E3426" s="2" t="s">
        <v>293</v>
      </c>
      <c r="F3426" s="11">
        <v>7431</v>
      </c>
      <c r="G3426" t="s">
        <v>36</v>
      </c>
      <c r="H3426" t="s">
        <v>4347</v>
      </c>
      <c r="I3426" t="s">
        <v>4499</v>
      </c>
      <c r="J3426" s="6" t="str">
        <f>HYPERLINK("https://www.biovista.com/db/link/%5B%5B%22Disease%7CZellweger%20Syndrome%22%5D,%20%5B%22Gene%7Cvimentin%22%5D%5D?strength-weight-map=%257B%2522MEDLINE_STRENGTH_AB%2522:1.0,%2522HPO%2522:100.0%257D", "Show Evidence...")</f>
        <v>Show Evidence...</v>
      </c>
    </row>
    <row r="3427" spans="1:10" ht="12.75">
      <c r="A3427" s="2" t="s">
        <v>4475</v>
      </c>
      <c r="B3427" s="2" t="s">
        <v>4476</v>
      </c>
      <c r="C3427" s="2" t="s">
        <v>24</v>
      </c>
      <c r="D3427" s="2" t="s">
        <v>4477</v>
      </c>
      <c r="E3427" s="2" t="s">
        <v>431</v>
      </c>
      <c r="F3427" s="11" t="s">
        <v>3170</v>
      </c>
      <c r="G3427" t="s">
        <v>38</v>
      </c>
      <c r="H3427" t="s">
        <v>3171</v>
      </c>
      <c r="I3427" t="s">
        <v>4709</v>
      </c>
      <c r="J3427" s="6" t="str">
        <f>HYPERLINK("https://www.biovista.com/db/link/%5B%5B%22Disease%7CZellweger%20Syndrome%22%5D,%20%5B%22Human%20Phenotype%7CHepatomegaly%22%5D%5D?strength-weight-map=%257B%2522MEDLINE_STRENGTH_AB%2522:1.0,%2522HPO%2522:100.0%257D", "Show Evidence...")</f>
        <v>Show Evidence...</v>
      </c>
    </row>
    <row r="3428" spans="1:10" ht="12.75">
      <c r="A3428" s="2" t="s">
        <v>4475</v>
      </c>
      <c r="B3428" s="2" t="s">
        <v>4476</v>
      </c>
      <c r="C3428" s="2" t="s">
        <v>24</v>
      </c>
      <c r="D3428" s="2" t="s">
        <v>4477</v>
      </c>
      <c r="E3428" s="2" t="s">
        <v>431</v>
      </c>
      <c r="F3428" s="11" t="s">
        <v>2112</v>
      </c>
      <c r="G3428" t="s">
        <v>38</v>
      </c>
      <c r="H3428" t="s">
        <v>2113</v>
      </c>
      <c r="I3428" t="s">
        <v>4710</v>
      </c>
      <c r="J3428" s="6" t="str">
        <f>HYPERLINK("https://www.biovista.com/db/link/%5B%5B%22Disease%7CZellweger%20Syndrome%22%5D,%20%5B%22Human%20Phenotype%7CFailure%20to%20thrive%22%5D%5D?strength-weight-map=%257B%2522MEDLINE_STRENGTH_AB%2522:1.0,%2522HPO%2522:100.0%257D", "Show Evidence...")</f>
        <v>Show Evidence...</v>
      </c>
    </row>
    <row r="3429" spans="1:10" ht="12.75">
      <c r="A3429" s="2" t="s">
        <v>4475</v>
      </c>
      <c r="B3429" s="2" t="s">
        <v>4476</v>
      </c>
      <c r="C3429" s="2" t="s">
        <v>24</v>
      </c>
      <c r="D3429" s="2" t="s">
        <v>4477</v>
      </c>
      <c r="E3429" s="2" t="s">
        <v>431</v>
      </c>
      <c r="F3429" s="11" t="s">
        <v>4711</v>
      </c>
      <c r="G3429" t="s">
        <v>38</v>
      </c>
      <c r="H3429" t="s">
        <v>4712</v>
      </c>
      <c r="I3429" t="s">
        <v>4713</v>
      </c>
      <c r="J3429" s="6" t="str">
        <f>HYPERLINK("https://www.biovista.com/db/link/%5B%5B%22Disease%7CZellweger%20Syndrome%22%5D,%20%5B%22Human%20Phenotype%7CJaundice%22%5D%5D?strength-weight-map=%257B%2522MEDLINE_STRENGTH_AB%2522:1.0,%2522HPO%2522:100.0%257D", "Show Evidence...")</f>
        <v>Show Evidence...</v>
      </c>
    </row>
    <row r="3430" spans="1:10" ht="12.75">
      <c r="A3430" s="2" t="s">
        <v>4475</v>
      </c>
      <c r="B3430" s="2" t="s">
        <v>4476</v>
      </c>
      <c r="C3430" s="2" t="s">
        <v>24</v>
      </c>
      <c r="D3430" s="2" t="s">
        <v>4477</v>
      </c>
      <c r="E3430" s="2" t="s">
        <v>431</v>
      </c>
      <c r="F3430" s="11" t="s">
        <v>2185</v>
      </c>
      <c r="G3430" t="s">
        <v>38</v>
      </c>
      <c r="H3430" t="s">
        <v>2186</v>
      </c>
      <c r="I3430" t="s">
        <v>4714</v>
      </c>
      <c r="J3430" s="6" t="str">
        <f>HYPERLINK("https://www.biovista.com/db/link/%5B%5B%22Disease%7CZellweger%20Syndrome%22%5D,%20%5B%22Human%20Phenotype%7CHepatic%20failure%22%5D%5D?strength-weight-map=%257B%2522MEDLINE_STRENGTH_AB%2522:1.0,%2522HPO%2522:100.0%257D", "Show Evidence...")</f>
        <v>Show Evidence...</v>
      </c>
    </row>
    <row r="3431" spans="1:10" ht="12.75">
      <c r="A3431" s="2" t="s">
        <v>4475</v>
      </c>
      <c r="B3431" s="2" t="s">
        <v>4476</v>
      </c>
      <c r="C3431" s="2" t="s">
        <v>24</v>
      </c>
      <c r="D3431" s="2" t="s">
        <v>4477</v>
      </c>
      <c r="E3431" s="2" t="s">
        <v>431</v>
      </c>
      <c r="F3431" s="11" t="s">
        <v>2275</v>
      </c>
      <c r="G3431" t="s">
        <v>38</v>
      </c>
      <c r="H3431" t="s">
        <v>2276</v>
      </c>
      <c r="I3431" t="s">
        <v>4715</v>
      </c>
      <c r="J3431" s="6" t="str">
        <f>HYPERLINK("https://www.biovista.com/db/link/%5B%5B%22Disease%7CZellweger%20Syndrome%22%5D,%20%5B%22Human%20Phenotype%7CHigh%20forehead%22%5D%5D?strength-weight-map=%257B%2522MEDLINE_STRENGTH_AB%2522:1.0,%2522HPO%2522:100.0%257D", "Show Evidence...")</f>
        <v>Show Evidence...</v>
      </c>
    </row>
    <row r="3432" spans="1:10" ht="12.75">
      <c r="A3432" s="2" t="s">
        <v>4475</v>
      </c>
      <c r="B3432" s="2" t="s">
        <v>4476</v>
      </c>
      <c r="C3432" s="2" t="s">
        <v>24</v>
      </c>
      <c r="D3432" s="2" t="s">
        <v>4477</v>
      </c>
      <c r="E3432" s="2" t="s">
        <v>431</v>
      </c>
      <c r="F3432" s="11" t="s">
        <v>1346</v>
      </c>
      <c r="G3432" t="s">
        <v>38</v>
      </c>
      <c r="H3432" t="s">
        <v>1347</v>
      </c>
      <c r="I3432" t="s">
        <v>4715</v>
      </c>
      <c r="J3432" s="6" t="str">
        <f>HYPERLINK("https://www.biovista.com/db/link/%5B%5B%22Disease%7CZellweger%20Syndrome%22%5D,%20%5B%22Human%20Phenotype%7CSevere%20muscular%20hypotonia%22%5D%5D?strength-weight-map=%257B%2522MEDLINE_STRENGTH_AB%2522:1.0,%2522HPO%2522:100.0%257D", "Show Evidence...")</f>
        <v>Show Evidence...</v>
      </c>
    </row>
    <row r="3433" spans="1:10" ht="12.75">
      <c r="A3433" s="2" t="s">
        <v>4475</v>
      </c>
      <c r="B3433" s="2" t="s">
        <v>4476</v>
      </c>
      <c r="C3433" s="2" t="s">
        <v>24</v>
      </c>
      <c r="D3433" s="2" t="s">
        <v>4477</v>
      </c>
      <c r="E3433" s="2" t="s">
        <v>431</v>
      </c>
      <c r="F3433" s="11" t="s">
        <v>3208</v>
      </c>
      <c r="G3433" t="s">
        <v>38</v>
      </c>
      <c r="H3433" t="s">
        <v>3209</v>
      </c>
      <c r="I3433" t="s">
        <v>4716</v>
      </c>
      <c r="J3433" s="6" t="str">
        <f>HYPERLINK("https://www.biovista.com/db/link/%5B%5B%22Disease%7CZellweger%20Syndrome%22%5D,%20%5B%22Human%20Phenotype%7CEpicanthus%22%5D%5D?strength-weight-map=%257B%2522MEDLINE_STRENGTH_AB%2522:1.0,%2522HPO%2522:100.0%257D", "Show Evidence...")</f>
        <v>Show Evidence...</v>
      </c>
    </row>
    <row r="3434" spans="1:10" ht="12.75">
      <c r="A3434" s="2" t="s">
        <v>4475</v>
      </c>
      <c r="B3434" s="2" t="s">
        <v>4476</v>
      </c>
      <c r="C3434" s="2" t="s">
        <v>24</v>
      </c>
      <c r="D3434" s="2" t="s">
        <v>4477</v>
      </c>
      <c r="E3434" s="2" t="s">
        <v>431</v>
      </c>
      <c r="F3434" s="11" t="s">
        <v>694</v>
      </c>
      <c r="G3434" t="s">
        <v>38</v>
      </c>
      <c r="H3434" t="s">
        <v>695</v>
      </c>
      <c r="I3434" t="s">
        <v>4717</v>
      </c>
      <c r="J3434" s="6" t="str">
        <f>HYPERLINK("https://www.biovista.com/db/link/%5B%5B%22Disease%7CZellweger%20Syndrome%22%5D,%20%5B%22Human%20Phenotype%7CCognitive%20impairment%22%5D%5D?strength-weight-map=%257B%2522MEDLINE_STRENGTH_AB%2522:1.0,%2522HPO%2522:100.0%257D", "Show Evidence...")</f>
        <v>Show Evidence...</v>
      </c>
    </row>
    <row r="3435" spans="1:10" ht="12.75">
      <c r="A3435" s="2" t="s">
        <v>4475</v>
      </c>
      <c r="B3435" s="2" t="s">
        <v>4476</v>
      </c>
      <c r="C3435" s="2" t="s">
        <v>24</v>
      </c>
      <c r="D3435" s="2" t="s">
        <v>4477</v>
      </c>
      <c r="E3435" s="2" t="s">
        <v>431</v>
      </c>
      <c r="F3435" s="11" t="s">
        <v>4718</v>
      </c>
      <c r="G3435" t="s">
        <v>38</v>
      </c>
      <c r="H3435" t="s">
        <v>4719</v>
      </c>
      <c r="I3435" t="s">
        <v>4717</v>
      </c>
      <c r="J3435" s="6" t="str">
        <f>HYPERLINK("https://www.biovista.com/db/link/%5B%5B%22Disease%7CZellweger%20Syndrome%22%5D,%20%5B%22Human%20Phenotype%7CEpiphyseal%20stippling%22%5D%5D?strength-weight-map=%257B%2522MEDLINE_STRENGTH_AB%2522:1.0,%2522HPO%2522:100.0%257D", "Show Evidence...")</f>
        <v>Show Evidence...</v>
      </c>
    </row>
    <row r="3436" spans="1:10" ht="12.75">
      <c r="A3436" s="2" t="s">
        <v>4475</v>
      </c>
      <c r="B3436" s="2" t="s">
        <v>4476</v>
      </c>
      <c r="C3436" s="2" t="s">
        <v>24</v>
      </c>
      <c r="D3436" s="2" t="s">
        <v>4477</v>
      </c>
      <c r="E3436" s="2" t="s">
        <v>431</v>
      </c>
      <c r="F3436" s="11" t="s">
        <v>3278</v>
      </c>
      <c r="G3436" t="s">
        <v>38</v>
      </c>
      <c r="H3436" t="s">
        <v>3279</v>
      </c>
      <c r="I3436" t="s">
        <v>4720</v>
      </c>
      <c r="J3436" s="6" t="str">
        <f>HYPERLINK("https://www.biovista.com/db/link/%5B%5B%22Disease%7CZellweger%20Syndrome%22%5D,%20%5B%22Human%20Phenotype%7CAbnormal%20pinna%20morphology%22%5D%5D?strength-weight-map=%257B%2522MEDLINE_STRENGTH_AB%2522:1.0,%2522HPO%2522:100.0%257D", "Show Evidence...")</f>
        <v>Show Evidence...</v>
      </c>
    </row>
    <row r="3437" spans="1:10" ht="12.75">
      <c r="A3437" s="2" t="s">
        <v>4475</v>
      </c>
      <c r="B3437" s="2" t="s">
        <v>4476</v>
      </c>
      <c r="C3437" s="2" t="s">
        <v>24</v>
      </c>
      <c r="D3437" s="2" t="s">
        <v>4477</v>
      </c>
      <c r="E3437" s="2" t="s">
        <v>431</v>
      </c>
      <c r="F3437" s="11" t="s">
        <v>3243</v>
      </c>
      <c r="G3437" t="s">
        <v>38</v>
      </c>
      <c r="H3437" t="s">
        <v>3244</v>
      </c>
      <c r="I3437" t="s">
        <v>4720</v>
      </c>
      <c r="J3437" s="6" t="str">
        <f>HYPERLINK("https://www.biovista.com/db/link/%5B%5B%22Disease%7CZellweger%20Syndrome%22%5D,%20%5B%22Human%20Phenotype%7CDeath%20in%20infancy%22%5D%5D?strength-weight-map=%257B%2522MEDLINE_STRENGTH_AB%2522:1.0,%2522HPO%2522:100.0%257D", "Show Evidence...")</f>
        <v>Show Evidence...</v>
      </c>
    </row>
    <row r="3438" spans="1:10" ht="12.75">
      <c r="A3438" s="2" t="s">
        <v>4475</v>
      </c>
      <c r="B3438" s="2" t="s">
        <v>4476</v>
      </c>
      <c r="C3438" s="2" t="s">
        <v>24</v>
      </c>
      <c r="D3438" s="2" t="s">
        <v>4477</v>
      </c>
      <c r="E3438" s="2" t="s">
        <v>431</v>
      </c>
      <c r="F3438" s="11" t="s">
        <v>4721</v>
      </c>
      <c r="G3438" t="s">
        <v>38</v>
      </c>
      <c r="H3438" t="s">
        <v>4722</v>
      </c>
      <c r="I3438" t="s">
        <v>4720</v>
      </c>
      <c r="J3438" s="6" t="str">
        <f>HYPERLINK("https://www.biovista.com/db/link/%5B%5B%22Disease%7CZellweger%20Syndrome%22%5D,%20%5B%22Human%20Phenotype%7CDepressed%20nasal%20bridge%22%5D%5D?strength-weight-map=%257B%2522MEDLINE_STRENGTH_AB%2522:1.0,%2522HPO%2522:100.0%257D", "Show Evidence...")</f>
        <v>Show Evidence...</v>
      </c>
    </row>
    <row r="3439" spans="1:10" ht="12.75">
      <c r="A3439" s="2" t="s">
        <v>4475</v>
      </c>
      <c r="B3439" s="2" t="s">
        <v>4476</v>
      </c>
      <c r="C3439" s="2" t="s">
        <v>24</v>
      </c>
      <c r="D3439" s="2" t="s">
        <v>4477</v>
      </c>
      <c r="E3439" s="2" t="s">
        <v>431</v>
      </c>
      <c r="F3439" s="11" t="s">
        <v>2706</v>
      </c>
      <c r="G3439" t="s">
        <v>38</v>
      </c>
      <c r="H3439" t="s">
        <v>2707</v>
      </c>
      <c r="I3439" t="s">
        <v>4720</v>
      </c>
      <c r="J3439" s="6" t="str">
        <f>HYPERLINK("https://www.biovista.com/db/link/%5B%5B%22Disease%7CZellweger%20Syndrome%22%5D,%20%5B%22Human%20Phenotype%7CRespiratory%20insufficiency%22%5D%5D?strength-weight-map=%257B%2522MEDLINE_STRENGTH_AB%2522:1.0,%2522HPO%2522:100.0%257D", "Show Evidence...")</f>
        <v>Show Evidence...</v>
      </c>
    </row>
    <row r="3440" spans="1:10" ht="12.75">
      <c r="A3440" s="2" t="s">
        <v>4475</v>
      </c>
      <c r="B3440" s="2" t="s">
        <v>4476</v>
      </c>
      <c r="C3440" s="2" t="s">
        <v>24</v>
      </c>
      <c r="D3440" s="2" t="s">
        <v>4477</v>
      </c>
      <c r="E3440" s="2" t="s">
        <v>431</v>
      </c>
      <c r="F3440" s="11" t="s">
        <v>4723</v>
      </c>
      <c r="G3440" t="s">
        <v>38</v>
      </c>
      <c r="H3440" t="s">
        <v>4724</v>
      </c>
      <c r="I3440" t="s">
        <v>4720</v>
      </c>
      <c r="J3440" s="6" t="str">
        <f>HYPERLINK("https://www.biovista.com/db/link/%5B%5B%22Disease%7CZellweger%20Syndrome%22%5D,%20%5B%22Human%20Phenotype%7CShort%20stature%22%5D%5D?strength-weight-map=%257B%2522MEDLINE_STRENGTH_AB%2522:1.0,%2522HPO%2522:100.0%257D", "Show Evidence...")</f>
        <v>Show Evidence...</v>
      </c>
    </row>
    <row r="3441" spans="1:10" ht="12.75">
      <c r="A3441" s="2" t="s">
        <v>4475</v>
      </c>
      <c r="B3441" s="2" t="s">
        <v>4476</v>
      </c>
      <c r="C3441" s="2" t="s">
        <v>24</v>
      </c>
      <c r="D3441" s="2" t="s">
        <v>4477</v>
      </c>
      <c r="E3441" s="2" t="s">
        <v>431</v>
      </c>
      <c r="F3441" s="11" t="s">
        <v>4725</v>
      </c>
      <c r="G3441" t="s">
        <v>38</v>
      </c>
      <c r="H3441" t="s">
        <v>4726</v>
      </c>
      <c r="I3441" t="s">
        <v>4720</v>
      </c>
      <c r="J3441" s="6" t="str">
        <f>HYPERLINK("https://www.biovista.com/db/link/%5B%5B%22Disease%7CZellweger%20Syndrome%22%5D,%20%5B%22Human%20Phenotype%7CWide%20nasal%20bridge%22%5D%5D?strength-weight-map=%257B%2522MEDLINE_STRENGTH_AB%2522:1.0,%2522HPO%2522:100.0%257D", "Show Evidence...")</f>
        <v>Show Evidence...</v>
      </c>
    </row>
    <row r="3442" spans="1:10" ht="12.75">
      <c r="A3442" s="2" t="s">
        <v>4475</v>
      </c>
      <c r="B3442" s="2" t="s">
        <v>4476</v>
      </c>
      <c r="C3442" s="2" t="s">
        <v>24</v>
      </c>
      <c r="D3442" s="2" t="s">
        <v>4477</v>
      </c>
      <c r="E3442" s="2" t="s">
        <v>431</v>
      </c>
      <c r="F3442" s="11" t="s">
        <v>4727</v>
      </c>
      <c r="G3442" t="s">
        <v>38</v>
      </c>
      <c r="H3442" t="s">
        <v>4728</v>
      </c>
      <c r="I3442" t="s">
        <v>4729</v>
      </c>
      <c r="J3442" s="6" t="str">
        <f>HYPERLINK("https://www.biovista.com/db/link/%5B%5B%22Disease%7CZellweger%20Syndrome%22%5D,%20%5B%22Human%20Phenotype%7CCorneal%20opacity%22%5D%5D?strength-weight-map=%257B%2522MEDLINE_STRENGTH_AB%2522:1.0,%2522HPO%2522:100.0%257D", "Show Evidence...")</f>
        <v>Show Evidence...</v>
      </c>
    </row>
    <row r="3443" spans="1:10" ht="12.75">
      <c r="A3443" s="2" t="s">
        <v>4475</v>
      </c>
      <c r="B3443" s="2" t="s">
        <v>4476</v>
      </c>
      <c r="C3443" s="2" t="s">
        <v>24</v>
      </c>
      <c r="D3443" s="2" t="s">
        <v>4477</v>
      </c>
      <c r="E3443" s="2" t="s">
        <v>431</v>
      </c>
      <c r="F3443" s="11" t="s">
        <v>4393</v>
      </c>
      <c r="G3443" t="s">
        <v>38</v>
      </c>
      <c r="H3443" t="s">
        <v>4394</v>
      </c>
      <c r="I3443" t="s">
        <v>4729</v>
      </c>
      <c r="J3443" s="6" t="str">
        <f>HYPERLINK("https://www.biovista.com/db/link/%5B%5B%22Disease%7CZellweger%20Syndrome%22%5D,%20%5B%22Human%20Phenotype%7CEEG%20abnormality%22%5D%5D?strength-weight-map=%257B%2522MEDLINE_STRENGTH_AB%2522:1.0,%2522HPO%2522:100.0%257D", "Show Evidence...")</f>
        <v>Show Evidence...</v>
      </c>
    </row>
    <row r="3444" spans="1:10" ht="12.75">
      <c r="A3444" s="2" t="s">
        <v>4475</v>
      </c>
      <c r="B3444" s="2" t="s">
        <v>4476</v>
      </c>
      <c r="C3444" s="2" t="s">
        <v>24</v>
      </c>
      <c r="D3444" s="2" t="s">
        <v>4477</v>
      </c>
      <c r="E3444" s="2" t="s">
        <v>431</v>
      </c>
      <c r="F3444" s="11" t="s">
        <v>3151</v>
      </c>
      <c r="G3444" t="s">
        <v>38</v>
      </c>
      <c r="H3444" t="s">
        <v>3152</v>
      </c>
      <c r="I3444" t="s">
        <v>4729</v>
      </c>
      <c r="J3444" s="6" t="str">
        <f>HYPERLINK("https://www.biovista.com/db/link/%5B%5B%22Disease%7CZellweger%20Syndrome%22%5D,%20%5B%22Human%20Phenotype%7CUpslanted%20palpebral%20fissure%22%5D%5D?strength-weight-map=%257B%2522MEDLINE_STRENGTH_AB%2522:1.0,%2522HPO%2522:100.0%257D", "Show Evidence...")</f>
        <v>Show Evidence...</v>
      </c>
    </row>
    <row r="3445" spans="1:10" ht="12.75">
      <c r="A3445" s="2" t="s">
        <v>4475</v>
      </c>
      <c r="B3445" s="2" t="s">
        <v>4476</v>
      </c>
      <c r="C3445" s="2" t="s">
        <v>24</v>
      </c>
      <c r="D3445" s="2" t="s">
        <v>4477</v>
      </c>
      <c r="E3445" s="2" t="s">
        <v>431</v>
      </c>
      <c r="F3445" s="11" t="s">
        <v>4730</v>
      </c>
      <c r="G3445" t="s">
        <v>38</v>
      </c>
      <c r="H3445" t="s">
        <v>4731</v>
      </c>
      <c r="I3445" t="s">
        <v>4729</v>
      </c>
      <c r="J3445" s="6" t="str">
        <f>HYPERLINK("https://www.biovista.com/db/link/%5B%5B%22Disease%7CZellweger%20Syndrome%22%5D,%20%5B%22Human%20Phenotype%7CVery%20long%20chain%20fatty%20acid%20accumulation%22%5D%5D?strength-weight-map=%257B%2522MEDLINE_STRENGTH_AB%2522:1.0,%2522HPO%2522:100.0%257D", "Show Evidence...")</f>
        <v>Show Evidence...</v>
      </c>
    </row>
    <row r="3446" spans="1:10" ht="12.75">
      <c r="A3446" s="2" t="s">
        <v>4475</v>
      </c>
      <c r="B3446" s="2" t="s">
        <v>4476</v>
      </c>
      <c r="C3446" s="2" t="s">
        <v>24</v>
      </c>
      <c r="D3446" s="2" t="s">
        <v>4477</v>
      </c>
      <c r="E3446" s="2" t="s">
        <v>431</v>
      </c>
      <c r="F3446" s="11" t="s">
        <v>4732</v>
      </c>
      <c r="G3446" t="s">
        <v>38</v>
      </c>
      <c r="H3446" t="s">
        <v>4733</v>
      </c>
      <c r="I3446" t="s">
        <v>4729</v>
      </c>
      <c r="J3446" s="6" t="str">
        <f>HYPERLINK("https://www.biovista.com/db/link/%5B%5B%22Disease%7CZellweger%20Syndrome%22%5D,%20%5B%22Human%20Phenotype%7CWide%20anterior%20fontanel%22%5D%5D?strength-weight-map=%257B%2522MEDLINE_STRENGTH_AB%2522:1.0,%2522HPO%2522:100.0%257D", "Show Evidence...")</f>
        <v>Show Evidence...</v>
      </c>
    </row>
    <row r="3447" spans="1:10" ht="12.75">
      <c r="A3447" s="2" t="s">
        <v>4475</v>
      </c>
      <c r="B3447" s="2" t="s">
        <v>4476</v>
      </c>
      <c r="C3447" s="2" t="s">
        <v>24</v>
      </c>
      <c r="D3447" s="2" t="s">
        <v>4477</v>
      </c>
      <c r="E3447" s="2" t="s">
        <v>431</v>
      </c>
      <c r="F3447" s="11" t="s">
        <v>2846</v>
      </c>
      <c r="G3447" t="s">
        <v>38</v>
      </c>
      <c r="H3447" t="s">
        <v>2847</v>
      </c>
      <c r="I3447" t="s">
        <v>4734</v>
      </c>
      <c r="J3447" s="6" t="str">
        <f>HYPERLINK("https://www.biovista.com/db/link/%5B%5B%22Disease%7CZellweger%20Syndrome%22%5D,%20%5B%22Human%20Phenotype%7CFeeding%20difficulties%20in%20infancy%22%5D%5D?strength-weight-map=%257B%2522MEDLINE_STRENGTH_AB%2522:1.0,%2522HPO%2522:100.0%257D", "Show Evidence...")</f>
        <v>Show Evidence...</v>
      </c>
    </row>
    <row r="3448" spans="1:10" ht="12.75">
      <c r="A3448" s="2" t="s">
        <v>4475</v>
      </c>
      <c r="B3448" s="2" t="s">
        <v>4476</v>
      </c>
      <c r="C3448" s="2" t="s">
        <v>24</v>
      </c>
      <c r="D3448" s="2" t="s">
        <v>4477</v>
      </c>
      <c r="E3448" s="2" t="s">
        <v>431</v>
      </c>
      <c r="F3448" s="11" t="s">
        <v>4735</v>
      </c>
      <c r="G3448" t="s">
        <v>38</v>
      </c>
      <c r="H3448" t="s">
        <v>4736</v>
      </c>
      <c r="I3448" t="s">
        <v>4734</v>
      </c>
      <c r="J3448" s="6" t="str">
        <f>HYPERLINK("https://www.biovista.com/db/link/%5B%5B%22Disease%7CZellweger%20Syndrome%22%5D,%20%5B%22Human%20Phenotype%7CFlat%20face%22%5D%5D?strength-weight-map=%257B%2522MEDLINE_STRENGTH_AB%2522:1.0,%2522HPO%2522:100.0%257D", "Show Evidence...")</f>
        <v>Show Evidence...</v>
      </c>
    </row>
    <row r="3449" spans="1:10" ht="12.75">
      <c r="A3449" s="2" t="s">
        <v>4475</v>
      </c>
      <c r="B3449" s="2" t="s">
        <v>4476</v>
      </c>
      <c r="C3449" s="2" t="s">
        <v>24</v>
      </c>
      <c r="D3449" s="2" t="s">
        <v>4477</v>
      </c>
      <c r="E3449" s="2" t="s">
        <v>431</v>
      </c>
      <c r="F3449" s="11" t="s">
        <v>4737</v>
      </c>
      <c r="G3449" t="s">
        <v>38</v>
      </c>
      <c r="H3449" t="s">
        <v>4738</v>
      </c>
      <c r="I3449" t="s">
        <v>4734</v>
      </c>
      <c r="J3449" s="6" t="str">
        <f>HYPERLINK("https://www.biovista.com/db/link/%5B%5B%22Disease%7CZellweger%20Syndrome%22%5D,%20%5B%22Human%20Phenotype%7CProfound%20global%20developmental%20delay%22%5D%5D?strength-weight-map=%257B%2522MEDLINE_STRENGTH_AB%2522:1.0,%2522HPO%2522:100.0%257D", "Show Evidence...")</f>
        <v>Show Evidence...</v>
      </c>
    </row>
    <row r="3450" spans="1:10" ht="12.75">
      <c r="A3450" s="2" t="s">
        <v>4475</v>
      </c>
      <c r="B3450" s="2" t="s">
        <v>4476</v>
      </c>
      <c r="C3450" s="2" t="s">
        <v>24</v>
      </c>
      <c r="D3450" s="2" t="s">
        <v>4477</v>
      </c>
      <c r="E3450" s="2" t="s">
        <v>431</v>
      </c>
      <c r="F3450" s="11" t="s">
        <v>4739</v>
      </c>
      <c r="G3450" t="s">
        <v>38</v>
      </c>
      <c r="H3450" t="s">
        <v>4740</v>
      </c>
      <c r="I3450" t="s">
        <v>4734</v>
      </c>
      <c r="J3450" s="6" t="str">
        <f>HYPERLINK("https://www.biovista.com/db/link/%5B%5B%22Disease%7CZellweger%20Syndrome%22%5D,%20%5B%22Human%20Phenotype%7CReduced%20tendon%20reflexes%22%5D%5D?strength-weight-map=%257B%2522MEDLINE_STRENGTH_AB%2522:1.0,%2522HPO%2522:100.0%257D", "Show Evidence...")</f>
        <v>Show Evidence...</v>
      </c>
    </row>
    <row r="3451" spans="1:10" ht="12.75">
      <c r="A3451" s="2" t="s">
        <v>4475</v>
      </c>
      <c r="B3451" s="2" t="s">
        <v>4476</v>
      </c>
      <c r="C3451" s="2" t="s">
        <v>24</v>
      </c>
      <c r="D3451" s="2" t="s">
        <v>4477</v>
      </c>
      <c r="E3451" s="2" t="s">
        <v>431</v>
      </c>
      <c r="F3451" s="11" t="s">
        <v>4741</v>
      </c>
      <c r="G3451" t="s">
        <v>38</v>
      </c>
      <c r="H3451" t="s">
        <v>4742</v>
      </c>
      <c r="I3451" t="s">
        <v>4734</v>
      </c>
      <c r="J3451" s="6" t="str">
        <f>HYPERLINK("https://www.biovista.com/db/link/%5B%5B%22Disease%7CZellweger%20Syndrome%22%5D,%20%5B%22Human%20Phenotype%7CSkeletal%20dysplasia%22%5D%5D?strength-weight-map=%257B%2522MEDLINE_STRENGTH_AB%2522:1.0,%2522HPO%2522:100.0%257D", "Show Evidence...")</f>
        <v>Show Evidence...</v>
      </c>
    </row>
    <row r="3452" spans="1:10" ht="12.75">
      <c r="A3452" s="2" t="s">
        <v>4475</v>
      </c>
      <c r="B3452" s="2" t="s">
        <v>4476</v>
      </c>
      <c r="C3452" s="2" t="s">
        <v>24</v>
      </c>
      <c r="D3452" s="2" t="s">
        <v>4477</v>
      </c>
      <c r="E3452" s="2" t="s">
        <v>431</v>
      </c>
      <c r="F3452" s="11" t="s">
        <v>4743</v>
      </c>
      <c r="G3452" t="s">
        <v>38</v>
      </c>
      <c r="H3452" t="s">
        <v>4744</v>
      </c>
      <c r="I3452" t="s">
        <v>4745</v>
      </c>
      <c r="J3452" s="6" t="str">
        <f>HYPERLINK("https://www.biovista.com/db/link/%5B%5B%22Disease%7CZellweger%20Syndrome%22%5D,%20%5B%22Human%20Phenotype%7CPolymicrogyria%22%5D%5D?strength-weight-map=%257B%2522MEDLINE_STRENGTH_AB%2522:1.0,%2522HPO%2522:100.0%257D", "Show Evidence...")</f>
        <v>Show Evidence...</v>
      </c>
    </row>
    <row r="3453" spans="1:10" ht="12.75">
      <c r="A3453" s="2" t="s">
        <v>4475</v>
      </c>
      <c r="B3453" s="2" t="s">
        <v>4476</v>
      </c>
      <c r="C3453" s="2" t="s">
        <v>24</v>
      </c>
      <c r="D3453" s="2" t="s">
        <v>4477</v>
      </c>
      <c r="E3453" s="2" t="s">
        <v>431</v>
      </c>
      <c r="F3453" s="11" t="s">
        <v>2109</v>
      </c>
      <c r="G3453" t="s">
        <v>38</v>
      </c>
      <c r="H3453" t="s">
        <v>2110</v>
      </c>
      <c r="I3453" t="s">
        <v>4746</v>
      </c>
      <c r="J3453" s="6" t="str">
        <f>HYPERLINK("https://www.biovista.com/db/link/%5B%5B%22Disease%7CZellweger%20Syndrome%22%5D,%20%5B%22Human%20Phenotype%7COptic%20atrophy%22%5D%5D?strength-weight-map=%257B%2522MEDLINE_STRENGTH_AB%2522:1.0,%2522HPO%2522:100.0%257D", "Show Evidence...")</f>
        <v>Show Evidence...</v>
      </c>
    </row>
    <row r="3454" spans="1:10" ht="12.75">
      <c r="A3454" s="2" t="s">
        <v>4475</v>
      </c>
      <c r="B3454" s="2" t="s">
        <v>4476</v>
      </c>
      <c r="C3454" s="2" t="s">
        <v>24</v>
      </c>
      <c r="D3454" s="2" t="s">
        <v>4477</v>
      </c>
      <c r="E3454" s="2" t="s">
        <v>431</v>
      </c>
      <c r="F3454" s="11" t="s">
        <v>4747</v>
      </c>
      <c r="G3454" t="s">
        <v>38</v>
      </c>
      <c r="H3454" t="s">
        <v>4748</v>
      </c>
      <c r="I3454" t="s">
        <v>4749</v>
      </c>
      <c r="J3454" s="6" t="str">
        <f>HYPERLINK("https://www.biovista.com/db/link/%5B%5B%22Disease%7CZellweger%20Syndrome%22%5D,%20%5B%22Human%20Phenotype%7CCryptorchidism%22%5D%5D?strength-weight-map=%257B%2522MEDLINE_STRENGTH_AB%2522:1.0,%2522HPO%2522:100.0%257D", "Show Evidence...")</f>
        <v>Show Evidence...</v>
      </c>
    </row>
    <row r="3455" spans="1:10" ht="12.75">
      <c r="A3455" s="2" t="s">
        <v>4475</v>
      </c>
      <c r="B3455" s="2" t="s">
        <v>4476</v>
      </c>
      <c r="C3455" s="2" t="s">
        <v>24</v>
      </c>
      <c r="D3455" s="2" t="s">
        <v>4477</v>
      </c>
      <c r="E3455" s="2" t="s">
        <v>431</v>
      </c>
      <c r="F3455" s="11" t="s">
        <v>4750</v>
      </c>
      <c r="G3455" t="s">
        <v>38</v>
      </c>
      <c r="H3455" t="s">
        <v>4751</v>
      </c>
      <c r="I3455" t="s">
        <v>4749</v>
      </c>
      <c r="J3455" s="6" t="str">
        <f>HYPERLINK("https://www.biovista.com/db/link/%5B%5B%22Disease%7CZellweger%20Syndrome%22%5D,%20%5B%22Human%20Phenotype%7CMalabsorption%22%5D%5D?strength-weight-map=%257B%2522MEDLINE_STRENGTH_AB%2522:1.0,%2522HPO%2522:100.0%257D", "Show Evidence...")</f>
        <v>Show Evidence...</v>
      </c>
    </row>
    <row r="3456" spans="1:10" ht="12.75">
      <c r="A3456" s="2" t="s">
        <v>4475</v>
      </c>
      <c r="B3456" s="2" t="s">
        <v>4476</v>
      </c>
      <c r="C3456" s="2" t="s">
        <v>24</v>
      </c>
      <c r="D3456" s="2" t="s">
        <v>4477</v>
      </c>
      <c r="E3456" s="2" t="s">
        <v>431</v>
      </c>
      <c r="F3456" s="11" t="s">
        <v>4752</v>
      </c>
      <c r="G3456" t="s">
        <v>38</v>
      </c>
      <c r="H3456" t="s">
        <v>4753</v>
      </c>
      <c r="I3456" t="s">
        <v>4749</v>
      </c>
      <c r="J3456" s="6" t="str">
        <f>HYPERLINK("https://www.biovista.com/db/link/%5B%5B%22Disease%7CZellweger%20Syndrome%22%5D,%20%5B%22Human%20Phenotype%7CMulticystic%20kidney%20dysplasia%22%5D%5D?strength-weight-map=%257B%2522MEDLINE_STRENGTH_AB%2522:1.0,%2522HPO%2522:100.0%257D", "Show Evidence...")</f>
        <v>Show Evidence...</v>
      </c>
    </row>
    <row r="3457" spans="1:10" ht="12.75">
      <c r="A3457" s="2" t="s">
        <v>4475</v>
      </c>
      <c r="B3457" s="2" t="s">
        <v>4476</v>
      </c>
      <c r="C3457" s="2" t="s">
        <v>24</v>
      </c>
      <c r="D3457" s="2" t="s">
        <v>4477</v>
      </c>
      <c r="E3457" s="2" t="s">
        <v>431</v>
      </c>
      <c r="F3457" s="11" t="s">
        <v>1765</v>
      </c>
      <c r="G3457" t="s">
        <v>38</v>
      </c>
      <c r="H3457" t="s">
        <v>1766</v>
      </c>
      <c r="I3457" t="s">
        <v>4754</v>
      </c>
      <c r="J3457" s="6" t="str">
        <f>HYPERLINK("https://www.biovista.com/db/link/%5B%5B%22Disease%7CZellweger%20Syndrome%22%5D,%20%5B%22Human%20Phenotype%7CMicrocephaly%22%5D%5D?strength-weight-map=%257B%2522MEDLINE_STRENGTH_AB%2522:1.0,%2522HPO%2522:100.0%257D", "Show Evidence...")</f>
        <v>Show Evidence...</v>
      </c>
    </row>
    <row r="3458" spans="1:10" ht="12.75">
      <c r="A3458" s="2" t="s">
        <v>4475</v>
      </c>
      <c r="B3458" s="2" t="s">
        <v>4476</v>
      </c>
      <c r="C3458" s="2" t="s">
        <v>24</v>
      </c>
      <c r="D3458" s="2" t="s">
        <v>4477</v>
      </c>
      <c r="E3458" s="2" t="s">
        <v>431</v>
      </c>
      <c r="F3458" s="11" t="s">
        <v>4755</v>
      </c>
      <c r="G3458" t="s">
        <v>38</v>
      </c>
      <c r="H3458" t="s">
        <v>4756</v>
      </c>
      <c r="I3458" t="s">
        <v>4754</v>
      </c>
      <c r="J3458" s="6" t="str">
        <f>HYPERLINK("https://www.biovista.com/db/link/%5B%5B%22Disease%7CZellweger%20Syndrome%22%5D,%20%5B%22Human%20Phenotype%7CMicrognathia%22%5D%5D?strength-weight-map=%257B%2522MEDLINE_STRENGTH_AB%2522:1.0,%2522HPO%2522:100.0%257D", "Show Evidence...")</f>
        <v>Show Evidence...</v>
      </c>
    </row>
    <row r="3459" spans="1:10" ht="12.75">
      <c r="A3459" s="2" t="s">
        <v>4475</v>
      </c>
      <c r="B3459" s="2" t="s">
        <v>4476</v>
      </c>
      <c r="C3459" s="2" t="s">
        <v>24</v>
      </c>
      <c r="D3459" s="2" t="s">
        <v>4477</v>
      </c>
      <c r="E3459" s="2" t="s">
        <v>431</v>
      </c>
      <c r="F3459" s="11" t="s">
        <v>587</v>
      </c>
      <c r="G3459" t="s">
        <v>38</v>
      </c>
      <c r="H3459" t="s">
        <v>588</v>
      </c>
      <c r="I3459" t="s">
        <v>4754</v>
      </c>
      <c r="J3459" s="6" t="str">
        <f>HYPERLINK("https://www.biovista.com/db/link/%5B%5B%22Disease%7CZellweger%20Syndrome%22%5D,%20%5B%22Human%20Phenotype%7CNystagmus%22%5D%5D?strength-weight-map=%257B%2522MEDLINE_STRENGTH_AB%2522:1.0,%2522HPO%2522:100.0%257D", "Show Evidence...")</f>
        <v>Show Evidence...</v>
      </c>
    </row>
    <row r="3460" spans="1:10" ht="12.75">
      <c r="A3460" s="2" t="s">
        <v>4475</v>
      </c>
      <c r="B3460" s="2" t="s">
        <v>4476</v>
      </c>
      <c r="C3460" s="2" t="s">
        <v>24</v>
      </c>
      <c r="D3460" s="2" t="s">
        <v>4477</v>
      </c>
      <c r="E3460" s="2" t="s">
        <v>431</v>
      </c>
      <c r="F3460" s="11" t="s">
        <v>4757</v>
      </c>
      <c r="G3460" t="s">
        <v>38</v>
      </c>
      <c r="H3460" t="s">
        <v>4758</v>
      </c>
      <c r="I3460" t="s">
        <v>4754</v>
      </c>
      <c r="J3460" s="6" t="str">
        <f>HYPERLINK("https://www.biovista.com/db/link/%5B%5B%22Disease%7CZellweger%20Syndrome%22%5D,%20%5B%22Human%20Phenotype%7CVisual%20impairment%22%5D%5D?strength-weight-map=%257B%2522MEDLINE_STRENGTH_AB%2522:1.0,%2522HPO%2522:100.0%257D", "Show Evidence...")</f>
        <v>Show Evidence...</v>
      </c>
    </row>
    <row r="3461" spans="1:10" ht="12.75">
      <c r="A3461" s="2" t="s">
        <v>4475</v>
      </c>
      <c r="B3461" s="2" t="s">
        <v>4476</v>
      </c>
      <c r="C3461" s="2" t="s">
        <v>24</v>
      </c>
      <c r="D3461" s="2" t="s">
        <v>4477</v>
      </c>
      <c r="E3461" s="2" t="s">
        <v>431</v>
      </c>
      <c r="F3461" s="11" t="s">
        <v>4759</v>
      </c>
      <c r="G3461" t="s">
        <v>38</v>
      </c>
      <c r="H3461" t="s">
        <v>4760</v>
      </c>
      <c r="I3461" t="s">
        <v>4761</v>
      </c>
      <c r="J3461" s="6" t="str">
        <f>HYPERLINK("https://www.biovista.com/db/link/%5B%5B%22Disease%7CZellweger%20Syndrome%22%5D,%20%5B%22Human%20Phenotype%7CHydronephrosis%22%5D%5D?strength-weight-map=%257B%2522MEDLINE_STRENGTH_AB%2522:1.0,%2522HPO%2522:100.0%257D", "Show Evidence...")</f>
        <v>Show Evidence...</v>
      </c>
    </row>
    <row r="3462" spans="1:10" ht="12.75">
      <c r="A3462" s="2" t="s">
        <v>4475</v>
      </c>
      <c r="B3462" s="2" t="s">
        <v>4476</v>
      </c>
      <c r="C3462" s="2" t="s">
        <v>24</v>
      </c>
      <c r="D3462" s="2" t="s">
        <v>4477</v>
      </c>
      <c r="E3462" s="2" t="s">
        <v>431</v>
      </c>
      <c r="F3462" s="11" t="s">
        <v>4762</v>
      </c>
      <c r="G3462" t="s">
        <v>38</v>
      </c>
      <c r="H3462" t="s">
        <v>4763</v>
      </c>
      <c r="I3462" t="s">
        <v>4761</v>
      </c>
      <c r="J3462" s="6" t="str">
        <f>HYPERLINK("https://www.biovista.com/db/link/%5B%5B%22Disease%7CZellweger%20Syndrome%22%5D,%20%5B%22Human%20Phenotype%7CHypospadias%22%5D%5D?strength-weight-map=%257B%2522MEDLINE_STRENGTH_AB%2522:1.0,%2522HPO%2522:100.0%257D", "Show Evidence...")</f>
        <v>Show Evidence...</v>
      </c>
    </row>
    <row r="3463" spans="1:10" ht="12.75">
      <c r="A3463" s="2" t="s">
        <v>4475</v>
      </c>
      <c r="B3463" s="2" t="s">
        <v>4476</v>
      </c>
      <c r="C3463" s="2" t="s">
        <v>24</v>
      </c>
      <c r="D3463" s="2" t="s">
        <v>4477</v>
      </c>
      <c r="E3463" s="2" t="s">
        <v>431</v>
      </c>
      <c r="F3463" s="11" t="s">
        <v>4764</v>
      </c>
      <c r="G3463" t="s">
        <v>38</v>
      </c>
      <c r="H3463" t="s">
        <v>4765</v>
      </c>
      <c r="I3463" t="s">
        <v>4761</v>
      </c>
      <c r="J3463" s="6" t="str">
        <f>HYPERLINK("https://www.biovista.com/db/link/%5B%5B%22Disease%7CZellweger%20Syndrome%22%5D,%20%5B%22Human%20Phenotype%7CPosterior%20embryotoxon%22%5D%5D?strength-weight-map=%257B%2522MEDLINE_STRENGTH_AB%2522:1.0,%2522HPO%2522:100.0%257D", "Show Evidence...")</f>
        <v>Show Evidence...</v>
      </c>
    </row>
    <row r="3464" spans="1:10" ht="12.75">
      <c r="A3464" s="2" t="s">
        <v>4475</v>
      </c>
      <c r="B3464" s="2" t="s">
        <v>4476</v>
      </c>
      <c r="C3464" s="2" t="s">
        <v>24</v>
      </c>
      <c r="D3464" s="2" t="s">
        <v>4477</v>
      </c>
      <c r="E3464" s="2" t="s">
        <v>431</v>
      </c>
      <c r="F3464" s="11" t="s">
        <v>4766</v>
      </c>
      <c r="G3464" t="s">
        <v>38</v>
      </c>
      <c r="H3464" t="s">
        <v>4767</v>
      </c>
      <c r="I3464" t="s">
        <v>4761</v>
      </c>
      <c r="J3464" s="6" t="str">
        <f>HYPERLINK("https://www.biovista.com/db/link/%5B%5B%22Disease%7CZellweger%20Syndrome%22%5D,%20%5B%22Human%20Phenotype%7CUnderdeveloped%20supraorbital%20ridges%22%5D%5D?strength-weight-map=%257B%2522MEDLINE_STRENGTH_AB%2522:1.0,%2522HPO%2522:100.0%257D", "Show Evidence...")</f>
        <v>Show Evidence...</v>
      </c>
    </row>
    <row r="3465" spans="1:10" ht="12.75">
      <c r="A3465" s="2" t="s">
        <v>4475</v>
      </c>
      <c r="B3465" s="2" t="s">
        <v>4476</v>
      </c>
      <c r="C3465" s="2" t="s">
        <v>24</v>
      </c>
      <c r="D3465" s="2" t="s">
        <v>4477</v>
      </c>
      <c r="E3465" s="2" t="s">
        <v>431</v>
      </c>
      <c r="F3465" s="11" t="s">
        <v>1257</v>
      </c>
      <c r="G3465" t="s">
        <v>38</v>
      </c>
      <c r="H3465" t="s">
        <v>1258</v>
      </c>
      <c r="I3465" t="s">
        <v>4768</v>
      </c>
      <c r="J3465" s="6" t="str">
        <f>HYPERLINK("https://www.biovista.com/db/link/%5B%5B%22Disease%7CZellweger%20Syndrome%22%5D,%20%5B%22Human%20Phenotype%7CMacrocephaly%22%5D%5D?strength-weight-map=%257B%2522MEDLINE_STRENGTH_AB%2522:1.0,%2522HPO%2522:100.0%257D", "Show Evidence...")</f>
        <v>Show Evidence...</v>
      </c>
    </row>
    <row r="3466" spans="1:10" ht="12.75">
      <c r="A3466" s="2" t="s">
        <v>4475</v>
      </c>
      <c r="B3466" s="2" t="s">
        <v>4476</v>
      </c>
      <c r="C3466" s="2" t="s">
        <v>24</v>
      </c>
      <c r="D3466" s="2" t="s">
        <v>4477</v>
      </c>
      <c r="E3466" s="2" t="s">
        <v>431</v>
      </c>
      <c r="F3466" s="11" t="s">
        <v>4769</v>
      </c>
      <c r="G3466" t="s">
        <v>38</v>
      </c>
      <c r="H3466" t="s">
        <v>4770</v>
      </c>
      <c r="I3466" t="s">
        <v>4771</v>
      </c>
      <c r="J3466" s="6" t="str">
        <f>HYPERLINK("https://www.biovista.com/db/link/%5B%5B%22Disease%7CZellweger%20Syndrome%22%5D,%20%5B%22Human%20Phenotype%7CAbnormal%20chorioretinal%20morphology%22%5D%5D?strength-weight-map=%257B%2522MEDLINE_STRENGTH_AB%2522:1.0,%2522HPO%2522:100.0%257D", "Show Evidence...")</f>
        <v>Show Evidence...</v>
      </c>
    </row>
    <row r="3467" spans="1:10" ht="12.75">
      <c r="A3467" s="2" t="s">
        <v>4475</v>
      </c>
      <c r="B3467" s="2" t="s">
        <v>4476</v>
      </c>
      <c r="C3467" s="2" t="s">
        <v>24</v>
      </c>
      <c r="D3467" s="2" t="s">
        <v>4477</v>
      </c>
      <c r="E3467" s="2" t="s">
        <v>431</v>
      </c>
      <c r="F3467" s="11" t="s">
        <v>4772</v>
      </c>
      <c r="G3467" t="s">
        <v>38</v>
      </c>
      <c r="H3467" t="s">
        <v>4773</v>
      </c>
      <c r="I3467" t="s">
        <v>4771</v>
      </c>
      <c r="J3467" s="6" t="str">
        <f>HYPERLINK("https://www.biovista.com/db/link/%5B%5B%22Disease%7CZellweger%20Syndrome%22%5D,%20%5B%22Human%20Phenotype%7CClitoral%20hypertrophy%22%5D%5D?strength-weight-map=%257B%2522MEDLINE_STRENGTH_AB%2522:1.0,%2522HPO%2522:100.0%257D", "Show Evidence...")</f>
        <v>Show Evidence...</v>
      </c>
    </row>
    <row r="3468" spans="1:10" ht="12.75">
      <c r="A3468" s="2" t="s">
        <v>4475</v>
      </c>
      <c r="B3468" s="2" t="s">
        <v>4476</v>
      </c>
      <c r="C3468" s="2" t="s">
        <v>24</v>
      </c>
      <c r="D3468" s="2" t="s">
        <v>4477</v>
      </c>
      <c r="E3468" s="2" t="s">
        <v>431</v>
      </c>
      <c r="F3468" s="11" t="s">
        <v>4774</v>
      </c>
      <c r="G3468" t="s">
        <v>38</v>
      </c>
      <c r="H3468" t="s">
        <v>4775</v>
      </c>
      <c r="I3468" t="s">
        <v>4771</v>
      </c>
      <c r="J3468" s="6" t="str">
        <f>HYPERLINK("https://www.biovista.com/db/link/%5B%5B%22Disease%7CZellweger%20Syndrome%22%5D,%20%5B%22Human%20Phenotype%7CFlat%20occiput%22%5D%5D?strength-weight-map=%257B%2522MEDLINE_STRENGTH_AB%2522:1.0,%2522HPO%2522:100.0%257D", "Show Evidence...")</f>
        <v>Show Evidence...</v>
      </c>
    </row>
    <row r="3469" spans="1:10" ht="12.75">
      <c r="A3469" s="2" t="s">
        <v>4475</v>
      </c>
      <c r="B3469" s="2" t="s">
        <v>4476</v>
      </c>
      <c r="C3469" s="2" t="s">
        <v>24</v>
      </c>
      <c r="D3469" s="2" t="s">
        <v>4477</v>
      </c>
      <c r="E3469" s="2" t="s">
        <v>431</v>
      </c>
      <c r="F3469" s="11" t="s">
        <v>532</v>
      </c>
      <c r="G3469" t="s">
        <v>38</v>
      </c>
      <c r="H3469" t="s">
        <v>533</v>
      </c>
      <c r="I3469" t="s">
        <v>4771</v>
      </c>
      <c r="J3469" s="6" t="str">
        <f>HYPERLINK("https://www.biovista.com/db/link/%5B%5B%22Disease%7CZellweger%20Syndrome%22%5D,%20%5B%22Human%20Phenotype%7CHigh%20palate%22%5D%5D?strength-weight-map=%257B%2522MEDLINE_STRENGTH_AB%2522:1.0,%2522HPO%2522:100.0%257D", "Show Evidence...")</f>
        <v>Show Evidence...</v>
      </c>
    </row>
    <row r="3470" spans="1:10" ht="12.75">
      <c r="A3470" s="2" t="s">
        <v>4475</v>
      </c>
      <c r="B3470" s="2" t="s">
        <v>4476</v>
      </c>
      <c r="C3470" s="2" t="s">
        <v>24</v>
      </c>
      <c r="D3470" s="2" t="s">
        <v>4477</v>
      </c>
      <c r="E3470" s="2" t="s">
        <v>431</v>
      </c>
      <c r="F3470" s="11" t="s">
        <v>4776</v>
      </c>
      <c r="G3470" t="s">
        <v>38</v>
      </c>
      <c r="H3470" t="s">
        <v>4777</v>
      </c>
      <c r="I3470" t="s">
        <v>4771</v>
      </c>
      <c r="J3470" s="6" t="str">
        <f>HYPERLINK("https://www.biovista.com/db/link/%5B%5B%22Disease%7CZellweger%20Syndrome%22%5D,%20%5B%22Human%20Phenotype%7CPremature%20birth%22%5D%5D?strength-weight-map=%257B%2522MEDLINE_STRENGTH_AB%2522:1.0,%2522HPO%2522:100.0%257D", "Show Evidence...")</f>
        <v>Show Evidence...</v>
      </c>
    </row>
    <row r="3471" spans="1:10" ht="12.75">
      <c r="A3471" s="2" t="s">
        <v>4475</v>
      </c>
      <c r="B3471" s="2" t="s">
        <v>4476</v>
      </c>
      <c r="C3471" s="2" t="s">
        <v>24</v>
      </c>
      <c r="D3471" s="2" t="s">
        <v>4477</v>
      </c>
      <c r="E3471" s="2" t="s">
        <v>431</v>
      </c>
      <c r="F3471" s="11" t="s">
        <v>4778</v>
      </c>
      <c r="G3471" t="s">
        <v>38</v>
      </c>
      <c r="H3471" t="s">
        <v>4779</v>
      </c>
      <c r="I3471" t="s">
        <v>4771</v>
      </c>
      <c r="J3471" s="6" t="str">
        <f>HYPERLINK("https://www.biovista.com/db/link/%5B%5B%22Disease%7CZellweger%20Syndrome%22%5D,%20%5B%22Human%20Phenotype%7CPyloric%20stenosis%22%5D%5D?strength-weight-map=%257B%2522MEDLINE_STRENGTH_AB%2522:1.0,%2522HPO%2522:100.0%257D", "Show Evidence...")</f>
        <v>Show Evidence...</v>
      </c>
    </row>
    <row r="3472" spans="1:10" ht="12.75">
      <c r="A3472" s="2" t="s">
        <v>4475</v>
      </c>
      <c r="B3472" s="2" t="s">
        <v>4476</v>
      </c>
      <c r="C3472" s="2" t="s">
        <v>24</v>
      </c>
      <c r="D3472" s="2" t="s">
        <v>4477</v>
      </c>
      <c r="E3472" s="2" t="s">
        <v>431</v>
      </c>
      <c r="F3472" s="11" t="s">
        <v>517</v>
      </c>
      <c r="G3472" t="s">
        <v>38</v>
      </c>
      <c r="H3472" t="s">
        <v>518</v>
      </c>
      <c r="I3472" t="s">
        <v>4780</v>
      </c>
      <c r="J3472" s="6" t="str">
        <f>HYPERLINK("https://www.biovista.com/db/link/%5B%5B%22Disease%7CZellweger%20Syndrome%22%5D,%20%5B%22Human%20Phenotype%7CSeizure%22%5D%5D?strength-weight-map=%257B%2522MEDLINE_STRENGTH_AB%2522:1.0,%2522HPO%2522:100.0%257D", "Show Evidence...")</f>
        <v>Show Evidence...</v>
      </c>
    </row>
    <row r="3473" spans="1:10" ht="12.75">
      <c r="A3473" s="2" t="s">
        <v>4475</v>
      </c>
      <c r="B3473" s="2" t="s">
        <v>4476</v>
      </c>
      <c r="C3473" s="2" t="s">
        <v>24</v>
      </c>
      <c r="D3473" s="2" t="s">
        <v>4477</v>
      </c>
      <c r="E3473" s="2" t="s">
        <v>431</v>
      </c>
      <c r="F3473" s="11" t="s">
        <v>575</v>
      </c>
      <c r="G3473" t="s">
        <v>38</v>
      </c>
      <c r="H3473" t="s">
        <v>576</v>
      </c>
      <c r="I3473" t="s">
        <v>4781</v>
      </c>
      <c r="J3473" s="6" t="str">
        <f>HYPERLINK("https://www.biovista.com/db/link/%5B%5B%22Disease%7CZellweger%20Syndrome%22%5D,%20%5B%22Human%20Phenotype%7CSensorineural%20hearing%20impairment%22%5D%5D?strength-weight-map=%257B%2522MEDLINE_STRENGTH_AB%2522:1.0,%2522HPO%2522:100.0%257D", "Show Evidence...")</f>
        <v>Show Evidence...</v>
      </c>
    </row>
    <row r="3474" spans="1:10" ht="12.75">
      <c r="A3474" s="2" t="s">
        <v>4475</v>
      </c>
      <c r="B3474" s="2" t="s">
        <v>4476</v>
      </c>
      <c r="C3474" s="2" t="s">
        <v>24</v>
      </c>
      <c r="D3474" s="2" t="s">
        <v>4477</v>
      </c>
      <c r="E3474" s="2" t="s">
        <v>431</v>
      </c>
      <c r="F3474" s="11" t="s">
        <v>2242</v>
      </c>
      <c r="G3474" t="s">
        <v>38</v>
      </c>
      <c r="H3474" t="s">
        <v>2243</v>
      </c>
      <c r="I3474" t="s">
        <v>4782</v>
      </c>
      <c r="J3474" s="6" t="str">
        <f>HYPERLINK("https://www.biovista.com/db/link/%5B%5B%22Disease%7CZellweger%20Syndrome%22%5D,%20%5B%22Human%20Phenotype%7CCataract%22%5D%5D?strength-weight-map=%257B%2522MEDLINE_STRENGTH_AB%2522:1.0,%2522HPO%2522:100.0%257D", "Show Evidence...")</f>
        <v>Show Evidence...</v>
      </c>
    </row>
    <row r="3475" spans="1:10" ht="12.75">
      <c r="A3475" s="2" t="s">
        <v>4475</v>
      </c>
      <c r="B3475" s="2" t="s">
        <v>4476</v>
      </c>
      <c r="C3475" s="2" t="s">
        <v>24</v>
      </c>
      <c r="D3475" s="2" t="s">
        <v>4477</v>
      </c>
      <c r="E3475" s="2" t="s">
        <v>431</v>
      </c>
      <c r="F3475" s="11" t="s">
        <v>4783</v>
      </c>
      <c r="G3475" t="s">
        <v>38</v>
      </c>
      <c r="H3475" t="s">
        <v>4784</v>
      </c>
      <c r="I3475" t="s">
        <v>4785</v>
      </c>
      <c r="J3475" s="6" t="str">
        <f>HYPERLINK("https://www.biovista.com/db/link/%5B%5B%22Disease%7CZellweger%20Syndrome%22%5D,%20%5B%22Human%20Phenotype%7CPrimary%20adrenal%20insufficiency%22%5D%5D?strength-weight-map=%257B%2522MEDLINE_STRENGTH_AB%2522:1.0,%2522HPO%2522:100.0%257D", "Show Evidence...")</f>
        <v>Show Evidence...</v>
      </c>
    </row>
    <row r="3476" spans="1:10" ht="12.75">
      <c r="A3476" s="2" t="s">
        <v>4475</v>
      </c>
      <c r="B3476" s="2" t="s">
        <v>4476</v>
      </c>
      <c r="C3476" s="2" t="s">
        <v>24</v>
      </c>
      <c r="D3476" s="2" t="s">
        <v>4477</v>
      </c>
      <c r="E3476" s="2" t="s">
        <v>431</v>
      </c>
      <c r="F3476" s="11" t="s">
        <v>4786</v>
      </c>
      <c r="G3476" t="s">
        <v>38</v>
      </c>
      <c r="H3476" t="s">
        <v>4787</v>
      </c>
      <c r="I3476" t="s">
        <v>4788</v>
      </c>
      <c r="J3476" s="6" t="str">
        <f>HYPERLINK("https://www.biovista.com/db/link/%5B%5B%22Disease%7CZellweger%20Syndrome%22%5D,%20%5B%22Human%20Phenotype%7CBrushfield%20spots%22%5D%5D?strength-weight-map=%257B%2522MEDLINE_STRENGTH_AB%2522:1.0,%2522HPO%2522:100.0%257D", "Show Evidence...")</f>
        <v>Show Evidence...</v>
      </c>
    </row>
    <row r="3477" spans="1:10" ht="12.75">
      <c r="A3477" s="2" t="s">
        <v>4475</v>
      </c>
      <c r="B3477" s="2" t="s">
        <v>4476</v>
      </c>
      <c r="C3477" s="2" t="s">
        <v>24</v>
      </c>
      <c r="D3477" s="2" t="s">
        <v>4477</v>
      </c>
      <c r="E3477" s="2" t="s">
        <v>431</v>
      </c>
      <c r="F3477" s="11" t="s">
        <v>4789</v>
      </c>
      <c r="G3477" t="s">
        <v>38</v>
      </c>
      <c r="H3477" t="s">
        <v>4790</v>
      </c>
      <c r="I3477" t="s">
        <v>4788</v>
      </c>
      <c r="J3477" s="6" t="str">
        <f>HYPERLINK("https://www.biovista.com/db/link/%5B%5B%22Disease%7CZellweger%20Syndrome%22%5D,%20%5B%22Human%20Phenotype%7CGlaucoma%22%5D%5D?strength-weight-map=%257B%2522MEDLINE_STRENGTH_AB%2522:1.0,%2522HPO%2522:100.0%257D", "Show Evidence...")</f>
        <v>Show Evidence...</v>
      </c>
    </row>
    <row r="3478" spans="1:10" ht="12.75">
      <c r="A3478" s="2" t="s">
        <v>4475</v>
      </c>
      <c r="B3478" s="2" t="s">
        <v>4476</v>
      </c>
      <c r="C3478" s="2" t="s">
        <v>24</v>
      </c>
      <c r="D3478" s="2" t="s">
        <v>4477</v>
      </c>
      <c r="E3478" s="2" t="s">
        <v>431</v>
      </c>
      <c r="F3478" s="11" t="s">
        <v>4791</v>
      </c>
      <c r="G3478" t="s">
        <v>38</v>
      </c>
      <c r="H3478" t="s">
        <v>4792</v>
      </c>
      <c r="I3478" t="s">
        <v>4788</v>
      </c>
      <c r="J3478" s="6" t="str">
        <f>HYPERLINK("https://www.biovista.com/db/link/%5B%5B%22Disease%7CZellweger%20Syndrome%22%5D,%20%5B%22Human%20Phenotype%7CVentricular%20septal%20defect%22%5D%5D?strength-weight-map=%257B%2522MEDLINE_STRENGTH_AB%2522:1.0,%2522HPO%2522:100.0%257D", "Show Evidence...")</f>
        <v>Show Evidence...</v>
      </c>
    </row>
    <row r="3479" spans="1:10" ht="12.75">
      <c r="A3479" s="2" t="s">
        <v>4475</v>
      </c>
      <c r="B3479" s="2" t="s">
        <v>4476</v>
      </c>
      <c r="C3479" s="2" t="s">
        <v>24</v>
      </c>
      <c r="D3479" s="2" t="s">
        <v>4477</v>
      </c>
      <c r="E3479" s="2" t="s">
        <v>431</v>
      </c>
      <c r="F3479" s="11" t="s">
        <v>4793</v>
      </c>
      <c r="G3479" t="s">
        <v>38</v>
      </c>
      <c r="H3479" t="s">
        <v>4794</v>
      </c>
      <c r="I3479" t="s">
        <v>4795</v>
      </c>
      <c r="J3479" s="6" t="str">
        <f>HYPERLINK("https://www.biovista.com/db/link/%5B%5B%22Disease%7CZellweger%20Syndrome%22%5D,%20%5B%22Human%20Phenotype%7CAbnormality%20of%20coagulation%22%5D%5D?strength-weight-map=%257B%2522MEDLINE_STRENGTH_AB%2522:1.0,%2522HPO%2522:100.0%257D", "Show Evidence...")</f>
        <v>Show Evidence...</v>
      </c>
    </row>
    <row r="3480" spans="1:10" ht="12.75">
      <c r="A3480" s="2" t="s">
        <v>4475</v>
      </c>
      <c r="B3480" s="2" t="s">
        <v>4476</v>
      </c>
      <c r="C3480" s="2" t="s">
        <v>24</v>
      </c>
      <c r="D3480" s="2" t="s">
        <v>4477</v>
      </c>
      <c r="E3480" s="2" t="s">
        <v>431</v>
      </c>
      <c r="F3480" s="11" t="s">
        <v>4796</v>
      </c>
      <c r="G3480" t="s">
        <v>38</v>
      </c>
      <c r="H3480" t="s">
        <v>4797</v>
      </c>
      <c r="I3480" t="s">
        <v>4795</v>
      </c>
      <c r="J3480" s="6" t="str">
        <f>HYPERLINK("https://www.biovista.com/db/link/%5B%5B%22Disease%7CZellweger%20Syndrome%22%5D,%20%5B%22Human%20Phenotype%7CAbnormality%20of%20the%20tongue%22%5D%5D?strength-weight-map=%257B%2522MEDLINE_STRENGTH_AB%2522:1.0,%2522HPO%2522:100.0%257D", "Show Evidence...")</f>
        <v>Show Evidence...</v>
      </c>
    </row>
    <row r="3481" spans="1:10" ht="12.75">
      <c r="A3481" s="2" t="s">
        <v>4475</v>
      </c>
      <c r="B3481" s="2" t="s">
        <v>4476</v>
      </c>
      <c r="C3481" s="2" t="s">
        <v>24</v>
      </c>
      <c r="D3481" s="2" t="s">
        <v>4477</v>
      </c>
      <c r="E3481" s="2" t="s">
        <v>431</v>
      </c>
      <c r="F3481" s="11" t="s">
        <v>4798</v>
      </c>
      <c r="G3481" t="s">
        <v>38</v>
      </c>
      <c r="H3481" t="s">
        <v>4799</v>
      </c>
      <c r="I3481" t="s">
        <v>4795</v>
      </c>
      <c r="J3481" s="6" t="str">
        <f>HYPERLINK("https://www.biovista.com/db/link/%5B%5B%22Disease%7CZellweger%20Syndrome%22%5D,%20%5B%22Human%20Phenotype%7CThickened%20nuchal%20skin%20fold%22%5D%5D?strength-weight-map=%257B%2522MEDLINE_STRENGTH_AB%2522:1.0,%2522HPO%2522:100.0%257D", "Show Evidence...")</f>
        <v>Show Evidence...</v>
      </c>
    </row>
    <row r="3482" spans="1:10" ht="12.75">
      <c r="A3482" s="2" t="s">
        <v>4475</v>
      </c>
      <c r="B3482" s="2" t="s">
        <v>4476</v>
      </c>
      <c r="C3482" s="2" t="s">
        <v>24</v>
      </c>
      <c r="D3482" s="2" t="s">
        <v>4477</v>
      </c>
      <c r="E3482" s="2" t="s">
        <v>431</v>
      </c>
      <c r="F3482" s="11" t="s">
        <v>514</v>
      </c>
      <c r="G3482" t="s">
        <v>38</v>
      </c>
      <c r="H3482" t="s">
        <v>515</v>
      </c>
      <c r="I3482" t="s">
        <v>4800</v>
      </c>
      <c r="J3482" s="6" t="str">
        <f>HYPERLINK("https://www.biovista.com/db/link/%5B%5B%22Disease%7CZellweger%20Syndrome%22%5D,%20%5B%22Human%20Phenotype%7CHypotonia%22%5D%5D?strength-weight-map=%257B%2522MEDLINE_STRENGTH_AB%2522:1.0,%2522HPO%2522:100.0%257D", "Show Evidence...")</f>
        <v>Show Evidence...</v>
      </c>
    </row>
    <row r="3483" spans="1:10" ht="12.75">
      <c r="A3483" s="2" t="s">
        <v>4475</v>
      </c>
      <c r="B3483" s="2" t="s">
        <v>4476</v>
      </c>
      <c r="C3483" s="2" t="s">
        <v>24</v>
      </c>
      <c r="D3483" s="2" t="s">
        <v>4477</v>
      </c>
      <c r="E3483" s="2" t="s">
        <v>431</v>
      </c>
      <c r="F3483" s="11" t="s">
        <v>617</v>
      </c>
      <c r="G3483" t="s">
        <v>38</v>
      </c>
      <c r="H3483" t="s">
        <v>618</v>
      </c>
      <c r="I3483" t="s">
        <v>4801</v>
      </c>
      <c r="J3483" s="6" t="str">
        <f>HYPERLINK("https://www.biovista.com/db/link/%5B%5B%22Disease%7CZellweger%20Syndrome%22%5D,%20%5B%22Human%20Phenotype%7CHealthy%22%5D%5D?strength-weight-map=%257B%2522MEDLINE_STRENGTH_AB%2522:1.0,%2522HPO%2522:100.0%257D", "Show Evidence...")</f>
        <v>Show Evidence...</v>
      </c>
    </row>
    <row r="3484" spans="1:10" ht="12.75">
      <c r="A3484" s="2" t="s">
        <v>4475</v>
      </c>
      <c r="B3484" s="2" t="s">
        <v>4476</v>
      </c>
      <c r="C3484" s="2" t="s">
        <v>24</v>
      </c>
      <c r="D3484" s="2" t="s">
        <v>4477</v>
      </c>
      <c r="E3484" s="2" t="s">
        <v>431</v>
      </c>
      <c r="F3484" s="11" t="s">
        <v>614</v>
      </c>
      <c r="G3484" t="s">
        <v>38</v>
      </c>
      <c r="H3484" t="s">
        <v>615</v>
      </c>
      <c r="I3484" t="s">
        <v>4802</v>
      </c>
      <c r="J3484" s="6" t="str">
        <f>HYPERLINK("https://www.biovista.com/db/link/%5B%5B%22Disease%7CZellweger%20Syndrome%22%5D,%20%5B%22Human%20Phenotype%7CNeoplasm%22%5D%5D?strength-weight-map=%257B%2522MEDLINE_STRENGTH_AB%2522:1.0,%2522HPO%2522:100.0%257D", "Show Evidence...")</f>
        <v>Show Evidence...</v>
      </c>
    </row>
    <row r="3485" spans="1:10" ht="12.75">
      <c r="A3485" s="2" t="s">
        <v>4475</v>
      </c>
      <c r="B3485" s="2" t="s">
        <v>4476</v>
      </c>
      <c r="C3485" s="2" t="s">
        <v>24</v>
      </c>
      <c r="D3485" s="2" t="s">
        <v>4477</v>
      </c>
      <c r="E3485" s="2" t="s">
        <v>431</v>
      </c>
      <c r="F3485" s="11" t="s">
        <v>4803</v>
      </c>
      <c r="G3485" t="s">
        <v>38</v>
      </c>
      <c r="H3485" t="s">
        <v>4804</v>
      </c>
      <c r="I3485" t="s">
        <v>4805</v>
      </c>
      <c r="J3485" s="6" t="str">
        <f>HYPERLINK("https://www.biovista.com/db/link/%5B%5B%22Disease%7CZellweger%20Syndrome%22%5D,%20%5B%22Human%20Phenotype%7CAbsence%20of%20peroxisomes%22%5D%5D?strength-weight-map=%257B%2522MEDLINE_STRENGTH_AB%2522:1.0,%2522HPO%2522:100.0%257D", "Show Evidence...")</f>
        <v>Show Evidence...</v>
      </c>
    </row>
    <row r="3486" spans="1:10" ht="12.75">
      <c r="A3486" s="2" t="s">
        <v>4475</v>
      </c>
      <c r="B3486" s="2" t="s">
        <v>4476</v>
      </c>
      <c r="C3486" s="2" t="s">
        <v>24</v>
      </c>
      <c r="D3486" s="2" t="s">
        <v>4477</v>
      </c>
      <c r="E3486" s="2" t="s">
        <v>431</v>
      </c>
      <c r="F3486" s="11" t="s">
        <v>643</v>
      </c>
      <c r="G3486" t="s">
        <v>38</v>
      </c>
      <c r="H3486" t="s">
        <v>644</v>
      </c>
      <c r="I3486" t="s">
        <v>4621</v>
      </c>
      <c r="J3486" s="6" t="str">
        <f>HYPERLINK("https://www.biovista.com/db/link/%5B%5B%22Disease%7CZellweger%20Syndrome%22%5D,%20%5B%22Human%20Phenotype%7CIncreased%20reactive%20oxygen%20species%20production%22%5D%5D?strength-weight-map=%257B%2522MEDLINE_STRENGTH_AB%2522:1.0,%2522HPO%2522:100.0%257D", "Show Evidence...")</f>
        <v>Show Evidence...</v>
      </c>
    </row>
    <row r="3487" spans="1:10" ht="12.75">
      <c r="A3487" s="2" t="s">
        <v>4475</v>
      </c>
      <c r="B3487" s="2" t="s">
        <v>4476</v>
      </c>
      <c r="C3487" s="2" t="s">
        <v>24</v>
      </c>
      <c r="D3487" s="2" t="s">
        <v>4477</v>
      </c>
      <c r="E3487" s="2" t="s">
        <v>431</v>
      </c>
      <c r="F3487" s="11" t="s">
        <v>1372</v>
      </c>
      <c r="G3487" t="s">
        <v>38</v>
      </c>
      <c r="H3487" t="s">
        <v>1373</v>
      </c>
      <c r="I3487" t="s">
        <v>4479</v>
      </c>
      <c r="J3487" s="6" t="str">
        <f>HYPERLINK("https://www.biovista.com/db/link/%5B%5B%22Disease%7CZellweger%20Syndrome%22%5D,%20%5B%22Human%20Phenotype%7CGlobal%20developmental%20delay%22%5D%5D?strength-weight-map=%257B%2522MEDLINE_STRENGTH_AB%2522:1.0,%2522HPO%2522:100.0%257D", "Show Evidence...")</f>
        <v>Show Evidence...</v>
      </c>
    </row>
    <row r="3488" spans="1:10" ht="12.75">
      <c r="A3488" s="2" t="s">
        <v>4475</v>
      </c>
      <c r="B3488" s="2" t="s">
        <v>4476</v>
      </c>
      <c r="C3488" s="2" t="s">
        <v>24</v>
      </c>
      <c r="D3488" s="2" t="s">
        <v>4477</v>
      </c>
      <c r="E3488" s="2" t="s">
        <v>431</v>
      </c>
      <c r="F3488" s="11" t="s">
        <v>4806</v>
      </c>
      <c r="G3488" t="s">
        <v>38</v>
      </c>
      <c r="H3488" t="s">
        <v>4807</v>
      </c>
      <c r="I3488" t="s">
        <v>4482</v>
      </c>
      <c r="J3488" s="6" t="str">
        <f>HYPERLINK("https://www.biovista.com/db/link/%5B%5B%22Disease%7CZellweger%20Syndrome%22%5D,%20%5B%22Human%20Phenotype%7CAbnormality%20of%20the%20liver%22%5D%5D?strength-weight-map=%257B%2522MEDLINE_STRENGTH_AB%2522:1.0,%2522HPO%2522:100.0%257D", "Show Evidence...")</f>
        <v>Show Evidence...</v>
      </c>
    </row>
    <row r="3489" spans="1:10" ht="12.75">
      <c r="A3489" s="2" t="s">
        <v>4475</v>
      </c>
      <c r="B3489" s="2" t="s">
        <v>4476</v>
      </c>
      <c r="C3489" s="2" t="s">
        <v>24</v>
      </c>
      <c r="D3489" s="2" t="s">
        <v>4477</v>
      </c>
      <c r="E3489" s="2" t="s">
        <v>431</v>
      </c>
      <c r="F3489" s="11" t="s">
        <v>470</v>
      </c>
      <c r="G3489" t="s">
        <v>38</v>
      </c>
      <c r="H3489" t="s">
        <v>471</v>
      </c>
      <c r="I3489" t="s">
        <v>4808</v>
      </c>
      <c r="J3489" s="6" t="str">
        <f>HYPERLINK("https://www.biovista.com/db/link/%5B%5B%22Disease%7CZellweger%20Syndrome%22%5D,%20%5B%22Human%20Phenotype%7CIntellectual%20disability%22%5D%5D?strength-weight-map=%257B%2522MEDLINE_STRENGTH_AB%2522:1.0,%2522HPO%2522:100.0%257D", "Show Evidence...")</f>
        <v>Show Evidence...</v>
      </c>
    </row>
    <row r="3490" spans="1:10" ht="12.75">
      <c r="A3490" s="2" t="s">
        <v>4475</v>
      </c>
      <c r="B3490" s="2" t="s">
        <v>4476</v>
      </c>
      <c r="C3490" s="2" t="s">
        <v>24</v>
      </c>
      <c r="D3490" s="2" t="s">
        <v>4477</v>
      </c>
      <c r="E3490" s="2" t="s">
        <v>431</v>
      </c>
      <c r="F3490" s="11" t="s">
        <v>4407</v>
      </c>
      <c r="G3490" t="s">
        <v>38</v>
      </c>
      <c r="H3490" t="s">
        <v>4408</v>
      </c>
      <c r="I3490" t="s">
        <v>4809</v>
      </c>
      <c r="J3490" s="6" t="str">
        <f>HYPERLINK("https://www.biovista.com/db/link/%5B%5B%22Disease%7CZellweger%20Syndrome%22%5D,%20%5B%22Human%20Phenotype%7CHearing%20impairment%22%5D%5D?strength-weight-map=%257B%2522MEDLINE_STRENGTH_AB%2522:1.0,%2522HPO%2522:100.0%257D", "Show Evidence...")</f>
        <v>Show Evidence...</v>
      </c>
    </row>
    <row r="3491" spans="1:10" ht="12.75">
      <c r="A3491" s="2" t="s">
        <v>4475</v>
      </c>
      <c r="B3491" s="2" t="s">
        <v>4476</v>
      </c>
      <c r="C3491" s="2" t="s">
        <v>24</v>
      </c>
      <c r="D3491" s="2" t="s">
        <v>4477</v>
      </c>
      <c r="E3491" s="2" t="s">
        <v>431</v>
      </c>
      <c r="F3491" s="11" t="s">
        <v>4810</v>
      </c>
      <c r="G3491" t="s">
        <v>38</v>
      </c>
      <c r="H3491" t="s">
        <v>4811</v>
      </c>
      <c r="I3491" t="s">
        <v>4633</v>
      </c>
      <c r="J3491" s="6" t="str">
        <f>HYPERLINK("https://www.biovista.com/db/link/%5B%5B%22Disease%7CZellweger%20Syndrome%22%5D,%20%5B%22Human%20Phenotype%7CCholestasis%22%5D%5D?strength-weight-map=%257B%2522MEDLINE_STRENGTH_AB%2522:1.0,%2522HPO%2522:100.0%257D", "Show Evidence...")</f>
        <v>Show Evidence...</v>
      </c>
    </row>
    <row r="3492" spans="1:10" ht="12.75">
      <c r="A3492" s="2" t="s">
        <v>4475</v>
      </c>
      <c r="B3492" s="2" t="s">
        <v>4476</v>
      </c>
      <c r="C3492" s="2" t="s">
        <v>24</v>
      </c>
      <c r="D3492" s="2" t="s">
        <v>4477</v>
      </c>
      <c r="E3492" s="2" t="s">
        <v>431</v>
      </c>
      <c r="F3492" s="11" t="s">
        <v>4812</v>
      </c>
      <c r="G3492" t="s">
        <v>38</v>
      </c>
      <c r="H3492" t="s">
        <v>4813</v>
      </c>
      <c r="I3492" t="s">
        <v>4635</v>
      </c>
      <c r="J3492" s="6" t="str">
        <f>HYPERLINK("https://www.biovista.com/db/link/%5B%5B%22Disease%7CZellweger%20Syndrome%22%5D,%20%5B%22Human%20Phenotype%7CCirrhosis%22%5D%5D?strength-weight-map=%257B%2522MEDLINE_STRENGTH_AB%2522:1.0,%2522HPO%2522:100.0%257D", "Show Evidence...")</f>
        <v>Show Evidence...</v>
      </c>
    </row>
    <row r="3493" spans="1:10" ht="12.75">
      <c r="A3493" s="2" t="s">
        <v>4475</v>
      </c>
      <c r="B3493" s="2" t="s">
        <v>4476</v>
      </c>
      <c r="C3493" s="2" t="s">
        <v>24</v>
      </c>
      <c r="D3493" s="2" t="s">
        <v>4477</v>
      </c>
      <c r="E3493" s="2" t="s">
        <v>431</v>
      </c>
      <c r="F3493" s="11" t="s">
        <v>657</v>
      </c>
      <c r="G3493" t="s">
        <v>38</v>
      </c>
      <c r="H3493" t="s">
        <v>658</v>
      </c>
      <c r="I3493" t="s">
        <v>4641</v>
      </c>
      <c r="J3493" s="6" t="str">
        <f>HYPERLINK("https://www.biovista.com/db/link/%5B%5B%22Disease%7CZellweger%20Syndrome%22%5D,%20%5B%22Human%20Phenotype%7CObesity%22%5D%5D?strength-weight-map=%257B%2522MEDLINE_STRENGTH_AB%2522:1.0,%2522HPO%2522:100.0%257D", "Show Evidence...")</f>
        <v>Show Evidence...</v>
      </c>
    </row>
    <row r="3494" spans="1:10" ht="12.75">
      <c r="A3494" s="2" t="s">
        <v>4475</v>
      </c>
      <c r="B3494" s="2" t="s">
        <v>4476</v>
      </c>
      <c r="C3494" s="2" t="s">
        <v>24</v>
      </c>
      <c r="D3494" s="2" t="s">
        <v>4477</v>
      </c>
      <c r="E3494" s="2" t="s">
        <v>431</v>
      </c>
      <c r="F3494" s="11" t="s">
        <v>1408</v>
      </c>
      <c r="G3494" t="s">
        <v>38</v>
      </c>
      <c r="H3494" t="s">
        <v>1409</v>
      </c>
      <c r="I3494" t="s">
        <v>4487</v>
      </c>
      <c r="J3494" s="6" t="str">
        <f>HYPERLINK("https://www.biovista.com/db/link/%5B%5B%22Disease%7CZellweger%20Syndrome%22%5D,%20%5B%22Human%20Phenotype%7CClinical%20course%22%5D%5D?strength-weight-map=%257B%2522MEDLINE_STRENGTH_AB%2522:1.0,%2522HPO%2522:100.0%257D", "Show Evidence...")</f>
        <v>Show Evidence...</v>
      </c>
    </row>
    <row r="3495" spans="1:10" ht="12.75">
      <c r="A3495" s="2" t="s">
        <v>4475</v>
      </c>
      <c r="B3495" s="2" t="s">
        <v>4476</v>
      </c>
      <c r="C3495" s="2" t="s">
        <v>24</v>
      </c>
      <c r="D3495" s="2" t="s">
        <v>4477</v>
      </c>
      <c r="E3495" s="2" t="s">
        <v>431</v>
      </c>
      <c r="F3495" s="11" t="s">
        <v>566</v>
      </c>
      <c r="G3495" t="s">
        <v>38</v>
      </c>
      <c r="H3495" t="s">
        <v>567</v>
      </c>
      <c r="I3495" t="s">
        <v>4487</v>
      </c>
      <c r="J3495" s="6" t="str">
        <f>HYPERLINK("https://www.biovista.com/db/link/%5B%5B%22Disease%7CZellweger%20Syndrome%22%5D,%20%5B%22Human%20Phenotype%7CDepression%22%5D%5D?strength-weight-map=%257B%2522MEDLINE_STRENGTH_AB%2522:1.0,%2522HPO%2522:100.0%257D", "Show Evidence...")</f>
        <v>Show Evidence...</v>
      </c>
    </row>
    <row r="3496" spans="1:10" ht="12.75">
      <c r="A3496" s="2" t="s">
        <v>4475</v>
      </c>
      <c r="B3496" s="2" t="s">
        <v>4476</v>
      </c>
      <c r="C3496" s="2" t="s">
        <v>24</v>
      </c>
      <c r="D3496" s="2" t="s">
        <v>4477</v>
      </c>
      <c r="E3496" s="2" t="s">
        <v>431</v>
      </c>
      <c r="F3496" s="11" t="s">
        <v>4080</v>
      </c>
      <c r="G3496" t="s">
        <v>38</v>
      </c>
      <c r="H3496" t="s">
        <v>4081</v>
      </c>
      <c r="I3496" t="s">
        <v>4487</v>
      </c>
      <c r="J3496" s="6" t="str">
        <f>HYPERLINK("https://www.biovista.com/db/link/%5B%5B%22Disease%7CZellweger%20Syndrome%22%5D,%20%5B%22Human%20Phenotype%7CMode%20of%20inheritance%22%5D%5D?strength-weight-map=%257B%2522MEDLINE_STRENGTH_AB%2522:1.0,%2522HPO%2522:100.0%257D", "Show Evidence...")</f>
        <v>Show Evidence...</v>
      </c>
    </row>
    <row r="3497" spans="1:10" ht="12.75">
      <c r="A3497" s="2" t="s">
        <v>4475</v>
      </c>
      <c r="B3497" s="2" t="s">
        <v>4476</v>
      </c>
      <c r="C3497" s="2" t="s">
        <v>24</v>
      </c>
      <c r="D3497" s="2" t="s">
        <v>4477</v>
      </c>
      <c r="E3497" s="2" t="s">
        <v>431</v>
      </c>
      <c r="F3497" s="11" t="s">
        <v>4131</v>
      </c>
      <c r="G3497" t="s">
        <v>38</v>
      </c>
      <c r="H3497" t="s">
        <v>4132</v>
      </c>
      <c r="I3497" t="s">
        <v>4645</v>
      </c>
      <c r="J3497" s="6" t="str">
        <f>HYPERLINK("https://www.biovista.com/db/link/%5B%5B%22Disease%7CZellweger%20Syndrome%22%5D,%20%5B%22Human%20Phenotype%7CPeripheral%20demyelination%22%5D%5D?strength-weight-map=%257B%2522MEDLINE_STRENGTH_AB%2522:1.0,%2522HPO%2522:100.0%257D", "Show Evidence...")</f>
        <v>Show Evidence...</v>
      </c>
    </row>
    <row r="3498" spans="1:10" ht="12.75">
      <c r="A3498" s="2" t="s">
        <v>4475</v>
      </c>
      <c r="B3498" s="2" t="s">
        <v>4476</v>
      </c>
      <c r="C3498" s="2" t="s">
        <v>24</v>
      </c>
      <c r="D3498" s="2" t="s">
        <v>4477</v>
      </c>
      <c r="E3498" s="2" t="s">
        <v>431</v>
      </c>
      <c r="F3498" s="11" t="s">
        <v>3251</v>
      </c>
      <c r="G3498" t="s">
        <v>38</v>
      </c>
      <c r="H3498" t="s">
        <v>3252</v>
      </c>
      <c r="I3498" t="s">
        <v>4645</v>
      </c>
      <c r="J3498" s="6" t="str">
        <f>HYPERLINK("https://www.biovista.com/db/link/%5B%5B%22Disease%7CZellweger%20Syndrome%22%5D,%20%5B%22Human%20Phenotype%7CRod-cone%20dystrophy%22%5D%5D?strength-weight-map=%257B%2522MEDLINE_STRENGTH_AB%2522:1.0,%2522HPO%2522:100.0%257D", "Show Evidence...")</f>
        <v>Show Evidence...</v>
      </c>
    </row>
    <row r="3499" spans="1:10" ht="12.75">
      <c r="A3499" s="2" t="s">
        <v>4475</v>
      </c>
      <c r="B3499" s="2" t="s">
        <v>4476</v>
      </c>
      <c r="C3499" s="2" t="s">
        <v>24</v>
      </c>
      <c r="D3499" s="2" t="s">
        <v>4477</v>
      </c>
      <c r="E3499" s="2" t="s">
        <v>431</v>
      </c>
      <c r="F3499" s="11" t="s">
        <v>4814</v>
      </c>
      <c r="G3499" t="s">
        <v>38</v>
      </c>
      <c r="H3499" t="s">
        <v>4815</v>
      </c>
      <c r="I3499" t="s">
        <v>4490</v>
      </c>
      <c r="J3499" s="6" t="str">
        <f>HYPERLINK("https://www.biovista.com/db/link/%5B%5B%22Disease%7CZellweger%20Syndrome%22%5D,%20%5B%22Human%20Phenotype%7CHyperoxaluria%22%5D%5D?strength-weight-map=%257B%2522MEDLINE_STRENGTH_AB%2522:1.0,%2522HPO%2522:100.0%257D", "Show Evidence...")</f>
        <v>Show Evidence...</v>
      </c>
    </row>
    <row r="3500" spans="1:10" ht="12.75">
      <c r="A3500" s="2" t="s">
        <v>4475</v>
      </c>
      <c r="B3500" s="2" t="s">
        <v>4476</v>
      </c>
      <c r="C3500" s="2" t="s">
        <v>24</v>
      </c>
      <c r="D3500" s="2" t="s">
        <v>4477</v>
      </c>
      <c r="E3500" s="2" t="s">
        <v>431</v>
      </c>
      <c r="F3500" s="11" t="s">
        <v>2252</v>
      </c>
      <c r="G3500" t="s">
        <v>38</v>
      </c>
      <c r="H3500" t="s">
        <v>2253</v>
      </c>
      <c r="I3500" t="s">
        <v>4650</v>
      </c>
      <c r="J3500" s="6" t="str">
        <f>HYPERLINK("https://www.biovista.com/db/link/%5B%5B%22Disease%7CZellweger%20Syndrome%22%5D,%20%5B%22Human%20Phenotype%7CAbnormal%20facial%20shape%22%5D%5D?strength-weight-map=%257B%2522MEDLINE_STRENGTH_AB%2522:1.0,%2522HPO%2522:100.0%257D", "Show Evidence...")</f>
        <v>Show Evidence...</v>
      </c>
    </row>
    <row r="3501" spans="1:10" ht="12.75">
      <c r="A3501" s="2" t="s">
        <v>4475</v>
      </c>
      <c r="B3501" s="2" t="s">
        <v>4476</v>
      </c>
      <c r="C3501" s="2" t="s">
        <v>24</v>
      </c>
      <c r="D3501" s="2" t="s">
        <v>4477</v>
      </c>
      <c r="E3501" s="2" t="s">
        <v>431</v>
      </c>
      <c r="F3501" s="11" t="s">
        <v>1450</v>
      </c>
      <c r="G3501" t="s">
        <v>38</v>
      </c>
      <c r="H3501" t="s">
        <v>1451</v>
      </c>
      <c r="I3501" t="s">
        <v>4650</v>
      </c>
      <c r="J3501" s="6" t="str">
        <f>HYPERLINK("https://www.biovista.com/db/link/%5B%5B%22Disease%7CZellweger%20Syndrome%22%5D,%20%5B%22Human%20Phenotype%7CLeukodystrophy%22%5D%5D?strength-weight-map=%257B%2522MEDLINE_STRENGTH_AB%2522:1.0,%2522HPO%2522:100.0%257D", "Show Evidence...")</f>
        <v>Show Evidence...</v>
      </c>
    </row>
    <row r="3502" spans="1:10" ht="12.75">
      <c r="A3502" s="2" t="s">
        <v>4475</v>
      </c>
      <c r="B3502" s="2" t="s">
        <v>4476</v>
      </c>
      <c r="C3502" s="2" t="s">
        <v>24</v>
      </c>
      <c r="D3502" s="2" t="s">
        <v>4477</v>
      </c>
      <c r="E3502" s="2" t="s">
        <v>431</v>
      </c>
      <c r="F3502" s="11" t="s">
        <v>3161</v>
      </c>
      <c r="G3502" t="s">
        <v>38</v>
      </c>
      <c r="H3502" t="s">
        <v>3162</v>
      </c>
      <c r="I3502" t="s">
        <v>4493</v>
      </c>
      <c r="J3502" s="6" t="str">
        <f>HYPERLINK("https://www.biovista.com/db/link/%5B%5B%22Disease%7CZellweger%20Syndrome%22%5D,%20%5B%22Human%20Phenotype%7CRenal%20cyst%22%5D%5D?strength-weight-map=%257B%2522MEDLINE_STRENGTH_AB%2522:1.0,%2522HPO%2522:100.0%257D", "Show Evidence...")</f>
        <v>Show Evidence...</v>
      </c>
    </row>
    <row r="3503" spans="1:10" ht="12.75">
      <c r="A3503" s="2" t="s">
        <v>4475</v>
      </c>
      <c r="B3503" s="2" t="s">
        <v>4476</v>
      </c>
      <c r="C3503" s="2" t="s">
        <v>24</v>
      </c>
      <c r="D3503" s="2" t="s">
        <v>4477</v>
      </c>
      <c r="E3503" s="2" t="s">
        <v>431</v>
      </c>
      <c r="F3503" s="11" t="s">
        <v>4816</v>
      </c>
      <c r="G3503" t="s">
        <v>38</v>
      </c>
      <c r="H3503" t="s">
        <v>4817</v>
      </c>
      <c r="I3503" t="s">
        <v>4658</v>
      </c>
      <c r="J3503" s="6" t="str">
        <f>HYPERLINK("https://www.biovista.com/db/link/%5B%5B%22Disease%7CZellweger%20Syndrome%22%5D,%20%5B%22Human%20Phenotype%7CAbnormality%20of%20neuronal%20migration%22%5D%5D?strength-weight-map=%257B%2522MEDLINE_STRENGTH_AB%2522:1.0,%2522HPO%2522:100.0%257D", "Show Evidence...")</f>
        <v>Show Evidence...</v>
      </c>
    </row>
    <row r="3504" spans="1:10" ht="12.75">
      <c r="A3504" s="2" t="s">
        <v>4475</v>
      </c>
      <c r="B3504" s="2" t="s">
        <v>4476</v>
      </c>
      <c r="C3504" s="2" t="s">
        <v>24</v>
      </c>
      <c r="D3504" s="2" t="s">
        <v>4477</v>
      </c>
      <c r="E3504" s="2" t="s">
        <v>431</v>
      </c>
      <c r="F3504" s="11" t="s">
        <v>4818</v>
      </c>
      <c r="G3504" t="s">
        <v>38</v>
      </c>
      <c r="H3504" t="s">
        <v>4819</v>
      </c>
      <c r="I3504" t="s">
        <v>4658</v>
      </c>
      <c r="J3504" s="6" t="str">
        <f>HYPERLINK("https://www.biovista.com/db/link/%5B%5B%22Disease%7CZellweger%20Syndrome%22%5D,%20%5B%22Human%20Phenotype%7CDecreased%20liver%20function%22%5D%5D?strength-weight-map=%257B%2522MEDLINE_STRENGTH_AB%2522:1.0,%2522HPO%2522:100.0%257D", "Show Evidence...")</f>
        <v>Show Evidence...</v>
      </c>
    </row>
    <row r="3505" spans="1:10" ht="12.75">
      <c r="A3505" s="2" t="s">
        <v>4475</v>
      </c>
      <c r="B3505" s="2" t="s">
        <v>4476</v>
      </c>
      <c r="C3505" s="2" t="s">
        <v>24</v>
      </c>
      <c r="D3505" s="2" t="s">
        <v>4477</v>
      </c>
      <c r="E3505" s="2" t="s">
        <v>431</v>
      </c>
      <c r="F3505" s="11" t="s">
        <v>444</v>
      </c>
      <c r="G3505" t="s">
        <v>38</v>
      </c>
      <c r="H3505" t="s">
        <v>445</v>
      </c>
      <c r="I3505" t="s">
        <v>4658</v>
      </c>
      <c r="J3505" s="6" t="str">
        <f>HYPERLINK("https://www.biovista.com/db/link/%5B%5B%22Disease%7CZellweger%20Syndrome%22%5D,%20%5B%22Human%20Phenotype%7CFeeding%20difficulties%22%5D%5D?strength-weight-map=%257B%2522MEDLINE_STRENGTH_AB%2522:1.0,%2522HPO%2522:100.0%257D", "Show Evidence...")</f>
        <v>Show Evidence...</v>
      </c>
    </row>
    <row r="3506" spans="1:10" ht="12.75">
      <c r="A3506" s="2" t="s">
        <v>4475</v>
      </c>
      <c r="B3506" s="2" t="s">
        <v>4476</v>
      </c>
      <c r="C3506" s="2" t="s">
        <v>24</v>
      </c>
      <c r="D3506" s="2" t="s">
        <v>4477</v>
      </c>
      <c r="E3506" s="2" t="s">
        <v>431</v>
      </c>
      <c r="F3506" s="11" t="s">
        <v>4820</v>
      </c>
      <c r="G3506" t="s">
        <v>38</v>
      </c>
      <c r="H3506" t="s">
        <v>4821</v>
      </c>
      <c r="I3506" t="s">
        <v>4658</v>
      </c>
      <c r="J3506" s="6" t="str">
        <f>HYPERLINK("https://www.biovista.com/db/link/%5B%5B%22Disease%7CZellweger%20Syndrome%22%5D,%20%5B%22Human%20Phenotype%7CRetinopathy%22%5D%5D?strength-weight-map=%257B%2522MEDLINE_STRENGTH_AB%2522:1.0,%2522HPO%2522:100.0%257D", "Show Evidence...")</f>
        <v>Show Evidence...</v>
      </c>
    </row>
    <row r="3507" spans="1:10" ht="12.75">
      <c r="A3507" s="2" t="s">
        <v>4475</v>
      </c>
      <c r="B3507" s="2" t="s">
        <v>4476</v>
      </c>
      <c r="C3507" s="2" t="s">
        <v>24</v>
      </c>
      <c r="D3507" s="2" t="s">
        <v>4477</v>
      </c>
      <c r="E3507" s="2" t="s">
        <v>431</v>
      </c>
      <c r="F3507" s="11" t="s">
        <v>4822</v>
      </c>
      <c r="G3507" t="s">
        <v>38</v>
      </c>
      <c r="H3507" t="s">
        <v>4823</v>
      </c>
      <c r="I3507" t="s">
        <v>4494</v>
      </c>
      <c r="J3507" s="6" t="str">
        <f>HYPERLINK("https://www.biovista.com/db/link/%5B%5B%22Disease%7CZellweger%20Syndrome%22%5D,%20%5B%22Human%20Phenotype%7CPachygyria%22%5D%5D?strength-weight-map=%257B%2522MEDLINE_STRENGTH_AB%2522:1.0,%2522HPO%2522:100.0%257D", "Show Evidence...")</f>
        <v>Show Evidence...</v>
      </c>
    </row>
    <row r="3508" spans="1:10" ht="12.75">
      <c r="A3508" s="2" t="s">
        <v>4475</v>
      </c>
      <c r="B3508" s="2" t="s">
        <v>4476</v>
      </c>
      <c r="C3508" s="2" t="s">
        <v>24</v>
      </c>
      <c r="D3508" s="2" t="s">
        <v>4477</v>
      </c>
      <c r="E3508" s="2" t="s">
        <v>431</v>
      </c>
      <c r="F3508" s="11" t="s">
        <v>1433</v>
      </c>
      <c r="G3508" t="s">
        <v>38</v>
      </c>
      <c r="H3508" t="s">
        <v>1434</v>
      </c>
      <c r="I3508" t="s">
        <v>4495</v>
      </c>
      <c r="J3508" s="6" t="str">
        <f>HYPERLINK("https://www.biovista.com/db/link/%5B%5B%22Disease%7CZellweger%20Syndrome%22%5D,%20%5B%22Human%20Phenotype%7CAbnormality%20of%20mitochondrial%20metabolism%22%5D%5D?strength-weight-map=%257B%2522MEDLINE_STRENGTH_AB%2522:1.0,%2522HPO%2522:100.0%257D", "Show Evidence...")</f>
        <v>Show Evidence...</v>
      </c>
    </row>
    <row r="3509" spans="1:10" ht="12.75">
      <c r="A3509" s="2" t="s">
        <v>4475</v>
      </c>
      <c r="B3509" s="2" t="s">
        <v>4476</v>
      </c>
      <c r="C3509" s="2" t="s">
        <v>24</v>
      </c>
      <c r="D3509" s="2" t="s">
        <v>4477</v>
      </c>
      <c r="E3509" s="2" t="s">
        <v>431</v>
      </c>
      <c r="F3509" s="11" t="s">
        <v>4824</v>
      </c>
      <c r="G3509" t="s">
        <v>38</v>
      </c>
      <c r="H3509" t="s">
        <v>4825</v>
      </c>
      <c r="I3509" t="s">
        <v>4495</v>
      </c>
      <c r="J3509" s="6" t="str">
        <f>HYPERLINK("https://www.biovista.com/db/link/%5B%5B%22Disease%7CZellweger%20Syndrome%22%5D,%20%5B%22Human%20Phenotype%7CAdrenal%20insufficiency%22%5D%5D?strength-weight-map=%257B%2522MEDLINE_STRENGTH_AB%2522:1.0,%2522HPO%2522:100.0%257D", "Show Evidence...")</f>
        <v>Show Evidence...</v>
      </c>
    </row>
    <row r="3510" spans="1:10" ht="12.75">
      <c r="A3510" s="2" t="s">
        <v>4475</v>
      </c>
      <c r="B3510" s="2" t="s">
        <v>4476</v>
      </c>
      <c r="C3510" s="2" t="s">
        <v>24</v>
      </c>
      <c r="D3510" s="2" t="s">
        <v>4477</v>
      </c>
      <c r="E3510" s="2" t="s">
        <v>431</v>
      </c>
      <c r="F3510" s="11" t="s">
        <v>1448</v>
      </c>
      <c r="G3510" t="s">
        <v>38</v>
      </c>
      <c r="H3510" t="s">
        <v>1449</v>
      </c>
      <c r="I3510" t="s">
        <v>4495</v>
      </c>
      <c r="J3510" s="6" t="str">
        <f>HYPERLINK("https://www.biovista.com/db/link/%5B%5B%22Disease%7CZellweger%20Syndrome%22%5D,%20%5B%22Human%20Phenotype%7CGliosis%22%5D%5D?strength-weight-map=%257B%2522MEDLINE_STRENGTH_AB%2522:1.0,%2522HPO%2522:100.0%257D", "Show Evidence...")</f>
        <v>Show Evidence...</v>
      </c>
    </row>
    <row r="3511" spans="1:10" ht="12.75">
      <c r="A3511" s="2" t="s">
        <v>4475</v>
      </c>
      <c r="B3511" s="2" t="s">
        <v>4476</v>
      </c>
      <c r="C3511" s="2" t="s">
        <v>24</v>
      </c>
      <c r="D3511" s="2" t="s">
        <v>4477</v>
      </c>
      <c r="E3511" s="2" t="s">
        <v>431</v>
      </c>
      <c r="F3511" s="11" t="s">
        <v>4826</v>
      </c>
      <c r="G3511" t="s">
        <v>38</v>
      </c>
      <c r="H3511" t="s">
        <v>4827</v>
      </c>
      <c r="I3511" t="s">
        <v>4495</v>
      </c>
      <c r="J3511" s="6" t="str">
        <f>HYPERLINK("https://www.biovista.com/db/link/%5B%5B%22Disease%7CZellweger%20Syndrome%22%5D,%20%5B%22Human%20Phenotype%7CGray%20matter%20heterotopia%22%5D%5D?strength-weight-map=%257B%2522MEDLINE_STRENGTH_AB%2522:1.0,%2522HPO%2522:100.0%257D", "Show Evidence...")</f>
        <v>Show Evidence...</v>
      </c>
    </row>
    <row r="3512" spans="1:10" ht="12.75">
      <c r="A3512" s="2" t="s">
        <v>4475</v>
      </c>
      <c r="B3512" s="2" t="s">
        <v>4476</v>
      </c>
      <c r="C3512" s="2" t="s">
        <v>24</v>
      </c>
      <c r="D3512" s="2" t="s">
        <v>4477</v>
      </c>
      <c r="E3512" s="2" t="s">
        <v>431</v>
      </c>
      <c r="F3512" s="11" t="s">
        <v>4828</v>
      </c>
      <c r="G3512" t="s">
        <v>38</v>
      </c>
      <c r="H3512" t="s">
        <v>4829</v>
      </c>
      <c r="I3512" t="s">
        <v>4495</v>
      </c>
      <c r="J3512" s="6" t="str">
        <f>HYPERLINK("https://www.biovista.com/db/link/%5B%5B%22Disease%7CZellweger%20Syndrome%22%5D,%20%5B%22Human%20Phenotype%7CSeminal%20vesicle%20cyst%22%5D%5D?strength-weight-map=%257B%2522MEDLINE_STRENGTH_AB%2522:1.0,%2522HPO%2522:100.0%257D", "Show Evidence...")</f>
        <v>Show Evidence...</v>
      </c>
    </row>
    <row r="3513" spans="1:10" ht="12.75">
      <c r="A3513" s="2" t="s">
        <v>4475</v>
      </c>
      <c r="B3513" s="2" t="s">
        <v>4476</v>
      </c>
      <c r="C3513" s="2" t="s">
        <v>24</v>
      </c>
      <c r="D3513" s="2" t="s">
        <v>4477</v>
      </c>
      <c r="E3513" s="2" t="s">
        <v>431</v>
      </c>
      <c r="F3513" s="11" t="s">
        <v>1751</v>
      </c>
      <c r="G3513" t="s">
        <v>38</v>
      </c>
      <c r="H3513" t="s">
        <v>1752</v>
      </c>
      <c r="I3513" t="s">
        <v>4671</v>
      </c>
      <c r="J3513" s="6" t="str">
        <f>HYPERLINK("https://www.biovista.com/db/link/%5B%5B%22Disease%7CZellweger%20Syndrome%22%5D,%20%5B%22Human%20Phenotype%7CGrowth%20delay%22%5D%5D?strength-weight-map=%257B%2522MEDLINE_STRENGTH_AB%2522:1.0,%2522HPO%2522:100.0%257D", "Show Evidence...")</f>
        <v>Show Evidence...</v>
      </c>
    </row>
    <row r="3514" spans="1:10" ht="12.75">
      <c r="A3514" s="2" t="s">
        <v>4475</v>
      </c>
      <c r="B3514" s="2" t="s">
        <v>4476</v>
      </c>
      <c r="C3514" s="2" t="s">
        <v>24</v>
      </c>
      <c r="D3514" s="2" t="s">
        <v>4477</v>
      </c>
      <c r="E3514" s="2" t="s">
        <v>431</v>
      </c>
      <c r="F3514" s="11" t="s">
        <v>3135</v>
      </c>
      <c r="G3514" t="s">
        <v>38</v>
      </c>
      <c r="H3514" t="s">
        <v>3136</v>
      </c>
      <c r="I3514" t="s">
        <v>4671</v>
      </c>
      <c r="J3514" s="6" t="str">
        <f>HYPERLINK("https://www.biovista.com/db/link/%5B%5B%22Disease%7CZellweger%20Syndrome%22%5D,%20%5B%22Human%20Phenotype%7CHepatic%20fibrosis%22%5D%5D?strength-weight-map=%257B%2522MEDLINE_STRENGTH_AB%2522:1.0,%2522HPO%2522:100.0%257D", "Show Evidence...")</f>
        <v>Show Evidence...</v>
      </c>
    </row>
    <row r="3515" spans="1:10" ht="12.75">
      <c r="A3515" s="2" t="s">
        <v>4475</v>
      </c>
      <c r="B3515" s="2" t="s">
        <v>4476</v>
      </c>
      <c r="C3515" s="2" t="s">
        <v>24</v>
      </c>
      <c r="D3515" s="2" t="s">
        <v>4477</v>
      </c>
      <c r="E3515" s="2" t="s">
        <v>431</v>
      </c>
      <c r="F3515" s="11" t="s">
        <v>4830</v>
      </c>
      <c r="G3515" t="s">
        <v>38</v>
      </c>
      <c r="H3515" t="s">
        <v>4831</v>
      </c>
      <c r="I3515" t="s">
        <v>4671</v>
      </c>
      <c r="J3515" s="6" t="str">
        <f>HYPERLINK("https://www.biovista.com/db/link/%5B%5B%22Disease%7CZellweger%20Syndrome%22%5D,%20%5B%22Human%20Phenotype%7CInfertility%22%5D%5D?strength-weight-map=%257B%2522MEDLINE_STRENGTH_AB%2522:1.0,%2522HPO%2522:100.0%257D", "Show Evidence...")</f>
        <v>Show Evidence...</v>
      </c>
    </row>
    <row r="3516" spans="1:10" ht="12.75">
      <c r="A3516" s="2" t="s">
        <v>4475</v>
      </c>
      <c r="B3516" s="2" t="s">
        <v>4476</v>
      </c>
      <c r="C3516" s="2" t="s">
        <v>24</v>
      </c>
      <c r="D3516" s="2" t="s">
        <v>4477</v>
      </c>
      <c r="E3516" s="2" t="s">
        <v>431</v>
      </c>
      <c r="F3516" s="11" t="s">
        <v>4832</v>
      </c>
      <c r="G3516" t="s">
        <v>38</v>
      </c>
      <c r="H3516" t="s">
        <v>4833</v>
      </c>
      <c r="I3516" t="s">
        <v>4671</v>
      </c>
      <c r="J3516" s="6" t="str">
        <f>HYPERLINK("https://www.biovista.com/db/link/%5B%5B%22Disease%7CZellweger%20Syndrome%22%5D,%20%5B%22Human%20Phenotype%7CNephropathy%22%5D%5D?strength-weight-map=%257B%2522MEDLINE_STRENGTH_AB%2522:1.0,%2522HPO%2522:100.0%257D", "Show Evidence...")</f>
        <v>Show Evidence...</v>
      </c>
    </row>
    <row r="3517" spans="1:10" ht="12.75">
      <c r="A3517" s="2" t="s">
        <v>4475</v>
      </c>
      <c r="B3517" s="2" t="s">
        <v>4476</v>
      </c>
      <c r="C3517" s="2" t="s">
        <v>24</v>
      </c>
      <c r="D3517" s="2" t="s">
        <v>4477</v>
      </c>
      <c r="E3517" s="2" t="s">
        <v>431</v>
      </c>
      <c r="F3517" s="11" t="s">
        <v>1376</v>
      </c>
      <c r="G3517" t="s">
        <v>38</v>
      </c>
      <c r="H3517" t="s">
        <v>1377</v>
      </c>
      <c r="I3517" t="s">
        <v>4671</v>
      </c>
      <c r="J3517" s="6" t="str">
        <f>HYPERLINK("https://www.biovista.com/db/link/%5B%5B%22Disease%7CZellweger%20Syndrome%22%5D,%20%5B%22Human%20Phenotype%7CNeurodegeneration%22%5D%5D?strength-weight-map=%257B%2522MEDLINE_STRENGTH_AB%2522:1.0,%2522HPO%2522:100.0%257D", "Show Evidence...")</f>
        <v>Show Evidence...</v>
      </c>
    </row>
    <row r="3518" spans="1:10" ht="12.75">
      <c r="A3518" s="2" t="s">
        <v>4475</v>
      </c>
      <c r="B3518" s="2" t="s">
        <v>4476</v>
      </c>
      <c r="C3518" s="2" t="s">
        <v>24</v>
      </c>
      <c r="D3518" s="2" t="s">
        <v>4477</v>
      </c>
      <c r="E3518" s="2" t="s">
        <v>431</v>
      </c>
      <c r="F3518" s="11" t="s">
        <v>1359</v>
      </c>
      <c r="G3518" t="s">
        <v>38</v>
      </c>
      <c r="H3518" t="s">
        <v>1360</v>
      </c>
      <c r="I3518" t="s">
        <v>4671</v>
      </c>
      <c r="J3518" s="6" t="str">
        <f>HYPERLINK("https://www.biovista.com/db/link/%5B%5B%22Disease%7CZellweger%20Syndrome%22%5D,%20%5B%22Human%20Phenotype%7CPeripheral%20neuropathy%22%5D%5D?strength-weight-map=%257B%2522MEDLINE_STRENGTH_AB%2522:1.0,%2522HPO%2522:100.0%257D", "Show Evidence...")</f>
        <v>Show Evidence...</v>
      </c>
    </row>
    <row r="3519" spans="1:10" ht="12.75">
      <c r="A3519" s="2" t="s">
        <v>4475</v>
      </c>
      <c r="B3519" s="2" t="s">
        <v>4476</v>
      </c>
      <c r="C3519" s="2" t="s">
        <v>24</v>
      </c>
      <c r="D3519" s="2" t="s">
        <v>4477</v>
      </c>
      <c r="E3519" s="2" t="s">
        <v>431</v>
      </c>
      <c r="F3519" s="11" t="s">
        <v>640</v>
      </c>
      <c r="G3519" t="s">
        <v>38</v>
      </c>
      <c r="H3519" t="s">
        <v>641</v>
      </c>
      <c r="I3519" t="s">
        <v>4671</v>
      </c>
      <c r="J3519" s="6" t="str">
        <f>HYPERLINK("https://www.biovista.com/db/link/%5B%5B%22Disease%7CZellweger%20Syndrome%22%5D,%20%5B%22Human%20Phenotype%7CRecurrent%22%5D%5D?strength-weight-map=%257B%2522MEDLINE_STRENGTH_AB%2522:1.0,%2522HPO%2522:100.0%257D", "Show Evidence...")</f>
        <v>Show Evidence...</v>
      </c>
    </row>
    <row r="3520" spans="1:10" ht="12.75">
      <c r="A3520" s="2" t="s">
        <v>4475</v>
      </c>
      <c r="B3520" s="2" t="s">
        <v>4476</v>
      </c>
      <c r="C3520" s="2" t="s">
        <v>24</v>
      </c>
      <c r="D3520" s="2" t="s">
        <v>4477</v>
      </c>
      <c r="E3520" s="2" t="s">
        <v>431</v>
      </c>
      <c r="F3520" s="11" t="s">
        <v>4834</v>
      </c>
      <c r="G3520" t="s">
        <v>38</v>
      </c>
      <c r="H3520" t="s">
        <v>4835</v>
      </c>
      <c r="I3520" t="s">
        <v>4671</v>
      </c>
      <c r="J3520" s="6" t="str">
        <f>HYPERLINK("https://www.biovista.com/db/link/%5B%5B%22Disease%7CZellweger%20Syndrome%22%5D,%20%5B%22Human%20Phenotype%7CSuicidal%20ideation%22%5D%5D?strength-weight-map=%257B%2522MEDLINE_STRENGTH_AB%2522:1.0,%2522HPO%2522:100.0%257D", "Show Evidence...")</f>
        <v>Show Evidence...</v>
      </c>
    </row>
    <row r="3521" spans="1:10" ht="12.75">
      <c r="A3521" s="2" t="s">
        <v>4475</v>
      </c>
      <c r="B3521" s="2" t="s">
        <v>4476</v>
      </c>
      <c r="C3521" s="2" t="s">
        <v>24</v>
      </c>
      <c r="D3521" s="2" t="s">
        <v>4477</v>
      </c>
      <c r="E3521" s="2" t="s">
        <v>431</v>
      </c>
      <c r="F3521" s="11" t="s">
        <v>1418</v>
      </c>
      <c r="G3521" t="s">
        <v>38</v>
      </c>
      <c r="H3521" t="s">
        <v>1419</v>
      </c>
      <c r="I3521" t="s">
        <v>4678</v>
      </c>
      <c r="J3521" s="6" t="str">
        <f>HYPERLINK("https://www.biovista.com/db/link/%5B%5B%22Disease%7CZellweger%20Syndrome%22%5D,%20%5B%22Human%20Phenotype%7CPurpura%22%5D%5D?strength-weight-map=%257B%2522MEDLINE_STRENGTH_AB%2522:1.0,%2522HPO%2522:100.0%257D", "Show Evidence...")</f>
        <v>Show Evidence...</v>
      </c>
    </row>
    <row r="3522" spans="1:10" ht="12.75">
      <c r="A3522" s="2" t="s">
        <v>4475</v>
      </c>
      <c r="B3522" s="2" t="s">
        <v>4476</v>
      </c>
      <c r="C3522" s="2" t="s">
        <v>24</v>
      </c>
      <c r="D3522" s="2" t="s">
        <v>4477</v>
      </c>
      <c r="E3522" s="2" t="s">
        <v>431</v>
      </c>
      <c r="F3522" s="11" t="s">
        <v>4836</v>
      </c>
      <c r="G3522" t="s">
        <v>38</v>
      </c>
      <c r="H3522" t="s">
        <v>4837</v>
      </c>
      <c r="I3522" t="s">
        <v>4678</v>
      </c>
      <c r="J3522" s="6" t="str">
        <f>HYPERLINK("https://www.biovista.com/db/link/%5B%5B%22Disease%7CZellweger%20Syndrome%22%5D,%20%5B%22Human%20Phenotype%7CRenal%20agenesis%22%5D%5D?strength-weight-map=%257B%2522MEDLINE_STRENGTH_AB%2522:1.0,%2522HPO%2522:100.0%257D", "Show Evidence...")</f>
        <v>Show Evidence...</v>
      </c>
    </row>
    <row r="3523" spans="1:10" ht="15.75" customHeight="1">
      <c r="A3523" t="s">
        <v>4475</v>
      </c>
      <c r="B3523" t="s">
        <v>4476</v>
      </c>
      <c r="C3523" t="s">
        <v>24</v>
      </c>
      <c r="D3523" t="s">
        <v>4477</v>
      </c>
      <c r="E3523" t="s">
        <v>431</v>
      </c>
      <c r="F3523" s="2" t="s">
        <v>4838</v>
      </c>
      <c r="G3523" t="s">
        <v>38</v>
      </c>
      <c r="H3523" t="s">
        <v>4839</v>
      </c>
      <c r="I3523" t="s">
        <v>4678</v>
      </c>
      <c r="J3523" s="6" t="str">
        <f>HYPERLINK("https://www.biovista.com/db/link/%5B%5B%22Disease%7CZellweger%20Syndrome%22%5D,%20%5B%22Human%20Phenotype%7CRenal%20cortical%20cysts%22%5D%5D?strength-weight-map=%257B%2522MEDLINE_STRENGTH_AB%2522:1.0,%2522HPO%2522:100.0%257D", "Show Evidence...")</f>
        <v>Show Evidence...</v>
      </c>
    </row>
    <row r="3524" spans="1:10" ht="15.75" customHeight="1">
      <c r="A3524" t="s">
        <v>4475</v>
      </c>
      <c r="B3524" t="s">
        <v>4476</v>
      </c>
      <c r="C3524" t="s">
        <v>24</v>
      </c>
      <c r="D3524" t="s">
        <v>4477</v>
      </c>
      <c r="E3524" t="s">
        <v>431</v>
      </c>
      <c r="F3524" s="2" t="s">
        <v>4110</v>
      </c>
      <c r="G3524" t="s">
        <v>38</v>
      </c>
      <c r="H3524" t="s">
        <v>4111</v>
      </c>
      <c r="I3524" t="s">
        <v>4678</v>
      </c>
      <c r="J3524" s="6" t="str">
        <f>HYPERLINK("https://www.biovista.com/db/link/%5B%5B%22Disease%7CZellweger%20Syndrome%22%5D,%20%5B%22Human%20Phenotype%7CRetinal%20degeneration%22%5D%5D?strength-weight-map=%257B%2522MEDLINE_STRENGTH_AB%2522:1.0,%2522HPO%2522:100.0%257D", "Show Evidence...")</f>
        <v>Show Evidence...</v>
      </c>
    </row>
    <row r="3525" spans="1:10" ht="15.75" customHeight="1">
      <c r="A3525" t="s">
        <v>4475</v>
      </c>
      <c r="B3525" t="s">
        <v>4476</v>
      </c>
      <c r="C3525" t="s">
        <v>24</v>
      </c>
      <c r="D3525" t="s">
        <v>4477</v>
      </c>
      <c r="E3525" t="s">
        <v>431</v>
      </c>
      <c r="F3525" s="2" t="s">
        <v>4840</v>
      </c>
      <c r="G3525" t="s">
        <v>38</v>
      </c>
      <c r="H3525" t="s">
        <v>4841</v>
      </c>
      <c r="I3525" t="s">
        <v>4683</v>
      </c>
      <c r="J3525" s="6" t="str">
        <f>HYPERLINK("https://www.biovista.com/db/link/%5B%5B%22Disease%7CZellweger%20Syndrome%22%5D,%20%5B%22Human%20Phenotype%7CCNS%20hypomyelination%22%5D%5D?strength-weight-map=%257B%2522MEDLINE_STRENGTH_AB%2522:1.0,%2522HPO%2522:100.0%257D", "Show Evidence...")</f>
        <v>Show Evidence...</v>
      </c>
    </row>
    <row r="3526" spans="1:10" ht="15.75" customHeight="1">
      <c r="A3526" t="s">
        <v>4475</v>
      </c>
      <c r="B3526" t="s">
        <v>4476</v>
      </c>
      <c r="C3526" t="s">
        <v>24</v>
      </c>
      <c r="D3526" t="s">
        <v>4477</v>
      </c>
      <c r="E3526" t="s">
        <v>431</v>
      </c>
      <c r="F3526" s="2" t="s">
        <v>4842</v>
      </c>
      <c r="G3526" t="s">
        <v>38</v>
      </c>
      <c r="H3526" t="s">
        <v>4843</v>
      </c>
      <c r="I3526" t="s">
        <v>4683</v>
      </c>
      <c r="J3526" s="6" t="str">
        <f>HYPERLINK("https://www.biovista.com/db/link/%5B%5B%22Disease%7CZellweger%20Syndrome%22%5D,%20%5B%22Human%20Phenotype%7CLarge%20fontanelles%22%5D%5D?strength-weight-map=%257B%2522MEDLINE_STRENGTH_AB%2522:1.0,%2522HPO%2522:100.0%257D", "Show Evidence...")</f>
        <v>Show Evidence...</v>
      </c>
    </row>
    <row r="3527" spans="1:10" ht="15.75" customHeight="1">
      <c r="A3527" t="s">
        <v>4475</v>
      </c>
      <c r="B3527" t="s">
        <v>4476</v>
      </c>
      <c r="C3527" t="s">
        <v>24</v>
      </c>
      <c r="D3527" t="s">
        <v>4477</v>
      </c>
      <c r="E3527" t="s">
        <v>704</v>
      </c>
      <c r="F3527" s="2" t="s">
        <v>4844</v>
      </c>
      <c r="G3527" t="s">
        <v>37</v>
      </c>
      <c r="H3527" t="s">
        <v>4845</v>
      </c>
      <c r="I3527" t="s">
        <v>4615</v>
      </c>
      <c r="J3527" s="6" t="str">
        <f>HYPERLINK("https://www.biovista.com/db/link/%5B%5B%22Disease%7CZellweger%20Syndrome%22%5D,%20%5B%22Pathway%7Cprotein%20import%22%5D%5D?strength-weight-map=%257B%2522MEDLINE_STRENGTH_AB%2522:1.0,%2522HPO%2522:100.0%257D", "Show Evidence...")</f>
        <v>Show Evidence...</v>
      </c>
    </row>
    <row r="3528" spans="1:10" ht="15.75" customHeight="1">
      <c r="A3528" t="s">
        <v>4475</v>
      </c>
      <c r="B3528" t="s">
        <v>4476</v>
      </c>
      <c r="C3528" t="s">
        <v>24</v>
      </c>
      <c r="D3528" t="s">
        <v>4477</v>
      </c>
      <c r="E3528" t="s">
        <v>704</v>
      </c>
      <c r="F3528" s="2" t="s">
        <v>799</v>
      </c>
      <c r="G3528" t="s">
        <v>37</v>
      </c>
      <c r="H3528" t="s">
        <v>800</v>
      </c>
      <c r="I3528" t="s">
        <v>4846</v>
      </c>
      <c r="J3528" s="6" t="str">
        <f>HYPERLINK("https://www.biovista.com/db/link/%5B%5B%22Disease%7CZellweger%20Syndrome%22%5D,%20%5B%22Pathway%7Clipid%20metabolic%20process%22%5D%5D?strength-weight-map=%257B%2522MEDLINE_STRENGTH_AB%2522:1.0,%2522HPO%2522:100.0%257D", "Show Evidence...")</f>
        <v>Show Evidence...</v>
      </c>
    </row>
    <row r="3529" spans="1:10" ht="15.75" customHeight="1">
      <c r="A3529" t="s">
        <v>4475</v>
      </c>
      <c r="B3529" t="s">
        <v>4476</v>
      </c>
      <c r="C3529" t="s">
        <v>24</v>
      </c>
      <c r="D3529" t="s">
        <v>4477</v>
      </c>
      <c r="E3529" t="s">
        <v>704</v>
      </c>
      <c r="F3529" s="2" t="s">
        <v>3742</v>
      </c>
      <c r="G3529" t="s">
        <v>37</v>
      </c>
      <c r="H3529" t="s">
        <v>3743</v>
      </c>
      <c r="I3529" t="s">
        <v>4847</v>
      </c>
      <c r="J3529" s="6" t="str">
        <f>HYPERLINK("https://www.biovista.com/db/link/%5B%5B%22Disease%7CZellweger%20Syndrome%22%5D,%20%5B%22Pathway%7Cbile%20acid%20biosynthetic%20process%22%5D%5D?strength-weight-map=%257B%2522MEDLINE_STRENGTH_AB%2522:1.0,%2522HPO%2522:100.0%257D", "Show Evidence...")</f>
        <v>Show Evidence...</v>
      </c>
    </row>
    <row r="3530" spans="1:10" ht="15.75" customHeight="1">
      <c r="A3530" t="s">
        <v>4475</v>
      </c>
      <c r="B3530" t="s">
        <v>4476</v>
      </c>
      <c r="C3530" t="s">
        <v>24</v>
      </c>
      <c r="D3530" t="s">
        <v>4477</v>
      </c>
      <c r="E3530" t="s">
        <v>704</v>
      </c>
      <c r="F3530" s="2" t="s">
        <v>1454</v>
      </c>
      <c r="G3530" t="s">
        <v>37</v>
      </c>
      <c r="H3530" t="s">
        <v>1455</v>
      </c>
      <c r="I3530" t="s">
        <v>4848</v>
      </c>
      <c r="J3530" s="6" t="str">
        <f>HYPERLINK("https://www.biovista.com/db/link/%5B%5B%22Disease%7CZellweger%20Syndrome%22%5D,%20%5B%22Pathway%7Cexcretion%22%5D%5D?strength-weight-map=%257B%2522MEDLINE_STRENGTH_AB%2522:1.0,%2522HPO%2522:100.0%257D", "Show Evidence...")</f>
        <v>Show Evidence...</v>
      </c>
    </row>
    <row r="3531" spans="1:10" ht="15.75" customHeight="1">
      <c r="A3531" t="s">
        <v>4475</v>
      </c>
      <c r="B3531" t="s">
        <v>4476</v>
      </c>
      <c r="C3531" t="s">
        <v>24</v>
      </c>
      <c r="D3531" t="s">
        <v>4477</v>
      </c>
      <c r="E3531" t="s">
        <v>704</v>
      </c>
      <c r="F3531" s="2" t="s">
        <v>720</v>
      </c>
      <c r="G3531" t="s">
        <v>37</v>
      </c>
      <c r="H3531" t="s">
        <v>721</v>
      </c>
      <c r="I3531" t="s">
        <v>4849</v>
      </c>
      <c r="J3531" s="6" t="str">
        <f>HYPERLINK("https://www.biovista.com/db/link/%5B%5B%22Disease%7CZellweger%20Syndrome%22%5D,%20%5B%22Pathway%7Capoptotic%20process%22%5D%5D?strength-weight-map=%257B%2522MEDLINE_STRENGTH_AB%2522:1.0,%2522HPO%2522:100.0%257D", "Show Evidence...")</f>
        <v>Show Evidence...</v>
      </c>
    </row>
    <row r="3532" spans="1:10" ht="15.75" customHeight="1">
      <c r="A3532" t="s">
        <v>4475</v>
      </c>
      <c r="B3532" t="s">
        <v>4476</v>
      </c>
      <c r="C3532" t="s">
        <v>24</v>
      </c>
      <c r="D3532" t="s">
        <v>4477</v>
      </c>
      <c r="E3532" t="s">
        <v>704</v>
      </c>
      <c r="F3532" s="2" t="s">
        <v>2306</v>
      </c>
      <c r="G3532" t="s">
        <v>37</v>
      </c>
      <c r="H3532" t="s">
        <v>2307</v>
      </c>
      <c r="I3532" t="s">
        <v>4482</v>
      </c>
      <c r="J3532" s="6" t="str">
        <f>HYPERLINK("https://www.biovista.com/db/link/%5B%5B%22Disease%7CZellweger%20Syndrome%22%5D,%20%5B%22Pathway%7Cfatty%20acid%20beta-oxidation%22%5D%5D?strength-weight-map=%257B%2522MEDLINE_STRENGTH_AB%2522:1.0,%2522HPO%2522:100.0%257D", "Show Evidence...")</f>
        <v>Show Evidence...</v>
      </c>
    </row>
    <row r="3533" spans="1:10" ht="15.75" customHeight="1">
      <c r="A3533" t="s">
        <v>4475</v>
      </c>
      <c r="B3533" t="s">
        <v>4476</v>
      </c>
      <c r="C3533" t="s">
        <v>24</v>
      </c>
      <c r="D3533" t="s">
        <v>4477</v>
      </c>
      <c r="E3533" t="s">
        <v>704</v>
      </c>
      <c r="F3533" s="2" t="s">
        <v>711</v>
      </c>
      <c r="G3533" t="s">
        <v>37</v>
      </c>
      <c r="H3533" t="s">
        <v>712</v>
      </c>
      <c r="I3533" t="s">
        <v>4631</v>
      </c>
      <c r="J3533" s="6" t="str">
        <f>HYPERLINK("https://www.biovista.com/db/link/%5B%5B%22Disease%7CZellweger%20Syndrome%22%5D,%20%5B%22Pathway%7Cinflammatory%20response%22%5D%5D?strength-weight-map=%257B%2522MEDLINE_STRENGTH_AB%2522:1.0,%2522HPO%2522:100.0%257D", "Show Evidence...")</f>
        <v>Show Evidence...</v>
      </c>
    </row>
    <row r="3534" spans="1:10" ht="15.75" customHeight="1">
      <c r="A3534" t="s">
        <v>4475</v>
      </c>
      <c r="B3534" t="s">
        <v>4476</v>
      </c>
      <c r="C3534" t="s">
        <v>24</v>
      </c>
      <c r="D3534" t="s">
        <v>4477</v>
      </c>
      <c r="E3534" t="s">
        <v>704</v>
      </c>
      <c r="F3534" s="2" t="s">
        <v>4850</v>
      </c>
      <c r="G3534" t="s">
        <v>37</v>
      </c>
      <c r="H3534" t="s">
        <v>4851</v>
      </c>
      <c r="I3534" t="s">
        <v>4631</v>
      </c>
      <c r="J3534" s="6" t="str">
        <f>HYPERLINK("https://www.biovista.com/db/link/%5B%5B%22Disease%7CZellweger%20Syndrome%22%5D,%20%5B%22Pathway%7Cneuron%20migration%22%5D%5D?strength-weight-map=%257B%2522MEDLINE_STRENGTH_AB%2522:1.0,%2522HPO%2522:100.0%257D", "Show Evidence...")</f>
        <v>Show Evidence...</v>
      </c>
    </row>
    <row r="3535" spans="1:10" ht="15.75" customHeight="1">
      <c r="A3535" t="s">
        <v>4475</v>
      </c>
      <c r="B3535" t="s">
        <v>4476</v>
      </c>
      <c r="C3535" t="s">
        <v>24</v>
      </c>
      <c r="D3535" t="s">
        <v>4477</v>
      </c>
      <c r="E3535" t="s">
        <v>704</v>
      </c>
      <c r="F3535" s="2" t="s">
        <v>2915</v>
      </c>
      <c r="G3535" t="s">
        <v>37</v>
      </c>
      <c r="H3535" t="s">
        <v>2916</v>
      </c>
      <c r="I3535" t="s">
        <v>4809</v>
      </c>
      <c r="J3535" s="6" t="str">
        <f>HYPERLINK("https://www.biovista.com/db/link/%5B%5B%22Disease%7CZellweger%20Syndrome%22%5D,%20%5B%22Pathway%7Cconjugation%20with%20cellular%20fusion%22%5D%5D?strength-weight-map=%257B%2522MEDLINE_STRENGTH_AB%2522:1.0,%2522HPO%2522:100.0%257D", "Show Evidence...")</f>
        <v>Show Evidence...</v>
      </c>
    </row>
    <row r="3536" spans="1:10" ht="15.75" customHeight="1">
      <c r="A3536" t="s">
        <v>4475</v>
      </c>
      <c r="B3536" t="s">
        <v>4476</v>
      </c>
      <c r="C3536" t="s">
        <v>24</v>
      </c>
      <c r="D3536" t="s">
        <v>4477</v>
      </c>
      <c r="E3536" t="s">
        <v>704</v>
      </c>
      <c r="F3536" s="2" t="s">
        <v>1478</v>
      </c>
      <c r="G3536" t="s">
        <v>37</v>
      </c>
      <c r="H3536" t="s">
        <v>1479</v>
      </c>
      <c r="I3536" t="s">
        <v>4809</v>
      </c>
      <c r="J3536" s="6" t="str">
        <f>HYPERLINK("https://www.biovista.com/db/link/%5B%5B%22Disease%7CZellweger%20Syndrome%22%5D,%20%5B%22Pathway%7Cfatty%20acid%20oxidation%22%5D%5D?strength-weight-map=%257B%2522MEDLINE_STRENGTH_AB%2522:1.0,%2522HPO%2522:100.0%257D", "Show Evidence...")</f>
        <v>Show Evidence...</v>
      </c>
    </row>
    <row r="3537" spans="1:10" ht="15.75" customHeight="1">
      <c r="A3537" t="s">
        <v>4475</v>
      </c>
      <c r="B3537" t="s">
        <v>4476</v>
      </c>
      <c r="C3537" t="s">
        <v>24</v>
      </c>
      <c r="D3537" t="s">
        <v>4477</v>
      </c>
      <c r="E3537" t="s">
        <v>704</v>
      </c>
      <c r="F3537" s="2" t="s">
        <v>825</v>
      </c>
      <c r="G3537" t="s">
        <v>37</v>
      </c>
      <c r="H3537" t="s">
        <v>826</v>
      </c>
      <c r="I3537" t="s">
        <v>4809</v>
      </c>
      <c r="J3537" s="6" t="str">
        <f>HYPERLINK("https://www.biovista.com/db/link/%5B%5B%22Disease%7CZellweger%20Syndrome%22%5D,%20%5B%22Pathway%7Cprotein%20transport%22%5D%5D?strength-weight-map=%257B%2522MEDLINE_STRENGTH_AB%2522:1.0,%2522HPO%2522:100.0%257D", "Show Evidence...")</f>
        <v>Show Evidence...</v>
      </c>
    </row>
    <row r="3538" spans="1:10" ht="15.75" customHeight="1">
      <c r="A3538" t="s">
        <v>4475</v>
      </c>
      <c r="B3538" t="s">
        <v>4476</v>
      </c>
      <c r="C3538" t="s">
        <v>24</v>
      </c>
      <c r="D3538" t="s">
        <v>4477</v>
      </c>
      <c r="E3538" t="s">
        <v>704</v>
      </c>
      <c r="F3538" s="2" t="s">
        <v>839</v>
      </c>
      <c r="G3538" t="s">
        <v>37</v>
      </c>
      <c r="H3538" t="s">
        <v>840</v>
      </c>
      <c r="I3538" t="s">
        <v>4633</v>
      </c>
      <c r="J3538" s="6" t="str">
        <f>HYPERLINK("https://www.biovista.com/db/link/%5B%5B%22Disease%7CZellweger%20Syndrome%22%5D,%20%5B%22Pathway%7Ccell%20motility%22%5D%5D?strength-weight-map=%257B%2522MEDLINE_STRENGTH_AB%2522:1.0,%2522HPO%2522:100.0%257D", "Show Evidence...")</f>
        <v>Show Evidence...</v>
      </c>
    </row>
    <row r="3539" spans="1:10" ht="15.75" customHeight="1">
      <c r="A3539" t="s">
        <v>4475</v>
      </c>
      <c r="B3539" t="s">
        <v>4476</v>
      </c>
      <c r="C3539" t="s">
        <v>24</v>
      </c>
      <c r="D3539" t="s">
        <v>4477</v>
      </c>
      <c r="E3539" t="s">
        <v>717</v>
      </c>
      <c r="F3539" s="2" t="s">
        <v>718</v>
      </c>
      <c r="G3539" t="s">
        <v>37</v>
      </c>
      <c r="H3539" t="s">
        <v>719</v>
      </c>
      <c r="I3539" t="s">
        <v>4486</v>
      </c>
      <c r="J3539" s="6" t="str">
        <f>HYPERLINK("https://www.biovista.com/db/link/%5B%5B%22Disease%7CZellweger%20Syndrome%22%5D,%20%5B%22Pathway%7Caging%22%5D%5D?strength-weight-map=%257B%2522MEDLINE_STRENGTH_AB%2522:1.0,%2522HPO%2522:100.0%257D", "Show Evidence...")</f>
        <v>Show Evidence...</v>
      </c>
    </row>
    <row r="3540" spans="1:10" ht="15.75" customHeight="1">
      <c r="A3540" t="s">
        <v>4475</v>
      </c>
      <c r="B3540" t="s">
        <v>4476</v>
      </c>
      <c r="C3540" t="s">
        <v>24</v>
      </c>
      <c r="D3540" t="s">
        <v>4477</v>
      </c>
      <c r="E3540" t="s">
        <v>704</v>
      </c>
      <c r="F3540" s="2" t="s">
        <v>760</v>
      </c>
      <c r="G3540" t="s">
        <v>37</v>
      </c>
      <c r="H3540" t="s">
        <v>761</v>
      </c>
      <c r="I3540" t="s">
        <v>4486</v>
      </c>
      <c r="J3540" s="6" t="str">
        <f>HYPERLINK("https://www.biovista.com/db/link/%5B%5B%22Disease%7CZellweger%20Syndrome%22%5D,%20%5B%22Pathway%7Chomeostatic%20process%22%5D%5D?strength-weight-map=%257B%2522MEDLINE_STRENGTH_AB%2522:1.0,%2522HPO%2522:100.0%257D", "Show Evidence...")</f>
        <v>Show Evidence...</v>
      </c>
    </row>
    <row r="3541" spans="1:10" ht="15.75" customHeight="1">
      <c r="A3541" t="s">
        <v>4475</v>
      </c>
      <c r="B3541" t="s">
        <v>4476</v>
      </c>
      <c r="C3541" t="s">
        <v>24</v>
      </c>
      <c r="D3541" t="s">
        <v>4477</v>
      </c>
      <c r="E3541" t="s">
        <v>704</v>
      </c>
      <c r="F3541" s="2" t="s">
        <v>1460</v>
      </c>
      <c r="G3541" t="s">
        <v>37</v>
      </c>
      <c r="H3541" t="s">
        <v>1461</v>
      </c>
      <c r="I3541" t="s">
        <v>4650</v>
      </c>
      <c r="J3541" s="6" t="str">
        <f>HYPERLINK("https://www.biovista.com/db/link/%5B%5B%22Disease%7CZellweger%20Syndrome%22%5D,%20%5B%22Pathway%7Ccatabolic%20process%22%5D%5D?strength-weight-map=%257B%2522MEDLINE_STRENGTH_AB%2522:1.0,%2522HPO%2522:100.0%257D", "Show Evidence...")</f>
        <v>Show Evidence...</v>
      </c>
    </row>
    <row r="3542" spans="1:10" ht="15.75" customHeight="1">
      <c r="A3542" t="s">
        <v>4475</v>
      </c>
      <c r="B3542" t="s">
        <v>4476</v>
      </c>
      <c r="C3542" t="s">
        <v>24</v>
      </c>
      <c r="D3542" t="s">
        <v>4477</v>
      </c>
      <c r="E3542" t="s">
        <v>704</v>
      </c>
      <c r="F3542" s="2" t="s">
        <v>890</v>
      </c>
      <c r="G3542" t="s">
        <v>37</v>
      </c>
      <c r="H3542" t="s">
        <v>891</v>
      </c>
      <c r="I3542" t="s">
        <v>4650</v>
      </c>
      <c r="J3542" s="6" t="str">
        <f>HYPERLINK("https://www.biovista.com/db/link/%5B%5B%22Disease%7CZellweger%20Syndrome%22%5D,%20%5B%22Pathway%7Cembryo%20development%22%5D%5D?strength-weight-map=%257B%2522MEDLINE_STRENGTH_AB%2522:1.0,%2522HPO%2522:100.0%257D", "Show Evidence...")</f>
        <v>Show Evidence...</v>
      </c>
    </row>
    <row r="3543" spans="1:10" ht="15.75" customHeight="1">
      <c r="A3543" t="s">
        <v>4475</v>
      </c>
      <c r="B3543" t="s">
        <v>4476</v>
      </c>
      <c r="C3543" t="s">
        <v>24</v>
      </c>
      <c r="D3543" t="s">
        <v>4477</v>
      </c>
      <c r="E3543" t="s">
        <v>704</v>
      </c>
      <c r="F3543" s="2" t="s">
        <v>836</v>
      </c>
      <c r="G3543" t="s">
        <v>37</v>
      </c>
      <c r="H3543" t="s">
        <v>837</v>
      </c>
      <c r="I3543" t="s">
        <v>4493</v>
      </c>
      <c r="J3543" s="6" t="str">
        <f>HYPERLINK("https://www.biovista.com/db/link/%5B%5B%22Disease%7CZellweger%20Syndrome%22%5D,%20%5B%22Pathway%7Cautophagy%22%5D%5D?strength-weight-map=%257B%2522MEDLINE_STRENGTH_AB%2522:1.0,%2522HPO%2522:100.0%257D", "Show Evidence...")</f>
        <v>Show Evidence...</v>
      </c>
    </row>
    <row r="3544" spans="1:10" ht="15.75" customHeight="1">
      <c r="A3544" t="s">
        <v>4475</v>
      </c>
      <c r="B3544" t="s">
        <v>4476</v>
      </c>
      <c r="C3544" t="s">
        <v>24</v>
      </c>
      <c r="D3544" t="s">
        <v>4477</v>
      </c>
      <c r="E3544" t="s">
        <v>704</v>
      </c>
      <c r="F3544" s="2" t="s">
        <v>4852</v>
      </c>
      <c r="G3544" t="s">
        <v>37</v>
      </c>
      <c r="H3544" t="s">
        <v>4853</v>
      </c>
      <c r="I3544" t="s">
        <v>4493</v>
      </c>
      <c r="J3544" s="6" t="str">
        <f>HYPERLINK("https://www.biovista.com/db/link/%5B%5B%22Disease%7CZellweger%20Syndrome%22%5D,%20%5B%22Pathway%7Cether%20lipid%20biosynthetic%20process%22%5D%5D?strength-weight-map=%257B%2522MEDLINE_STRENGTH_AB%2522:1.0,%2522HPO%2522:100.0%257D", "Show Evidence...")</f>
        <v>Show Evidence...</v>
      </c>
    </row>
    <row r="3545" spans="1:10" ht="15.75" customHeight="1">
      <c r="A3545" t="s">
        <v>4475</v>
      </c>
      <c r="B3545" t="s">
        <v>4476</v>
      </c>
      <c r="C3545" t="s">
        <v>24</v>
      </c>
      <c r="D3545" t="s">
        <v>4477</v>
      </c>
      <c r="E3545" t="s">
        <v>704</v>
      </c>
      <c r="F3545" s="2" t="s">
        <v>1472</v>
      </c>
      <c r="G3545" t="s">
        <v>37</v>
      </c>
      <c r="H3545" t="s">
        <v>1473</v>
      </c>
      <c r="I3545" t="s">
        <v>4493</v>
      </c>
      <c r="J3545" s="6" t="str">
        <f>HYPERLINK("https://www.biovista.com/db/link/%5B%5B%22Disease%7CZellweger%20Syndrome%22%5D,%20%5B%22Pathway%7Cmyelination%22%5D%5D?strength-weight-map=%257B%2522MEDLINE_STRENGTH_AB%2522:1.0,%2522HPO%2522:100.0%257D", "Show Evidence...")</f>
        <v>Show Evidence...</v>
      </c>
    </row>
    <row r="3546" spans="1:10" ht="15.75" customHeight="1">
      <c r="A3546" t="s">
        <v>4475</v>
      </c>
      <c r="B3546" t="s">
        <v>4476</v>
      </c>
      <c r="C3546" t="s">
        <v>24</v>
      </c>
      <c r="D3546" t="s">
        <v>4477</v>
      </c>
      <c r="E3546" t="s">
        <v>704</v>
      </c>
      <c r="F3546" s="2" t="s">
        <v>723</v>
      </c>
      <c r="G3546" t="s">
        <v>37</v>
      </c>
      <c r="H3546" t="s">
        <v>724</v>
      </c>
      <c r="I3546" t="s">
        <v>4493</v>
      </c>
      <c r="J3546" s="6" t="str">
        <f>HYPERLINK("https://www.biovista.com/db/link/%5B%5B%22Disease%7CZellweger%20Syndrome%22%5D,%20%5B%22Pathway%7Ctranslation%22%5D%5D?strength-weight-map=%257B%2522MEDLINE_STRENGTH_AB%2522:1.0,%2522HPO%2522:100.0%257D", "Show Evidence...")</f>
        <v>Show Evidence...</v>
      </c>
    </row>
    <row r="3547" spans="1:10" ht="15.75" customHeight="1">
      <c r="A3547" t="s">
        <v>4475</v>
      </c>
      <c r="B3547" t="s">
        <v>4476</v>
      </c>
      <c r="C3547" t="s">
        <v>24</v>
      </c>
      <c r="D3547" t="s">
        <v>4477</v>
      </c>
      <c r="E3547" t="s">
        <v>704</v>
      </c>
      <c r="F3547" s="2" t="s">
        <v>4449</v>
      </c>
      <c r="G3547" t="s">
        <v>37</v>
      </c>
      <c r="H3547" t="s">
        <v>4450</v>
      </c>
      <c r="I3547" t="s">
        <v>4658</v>
      </c>
      <c r="J3547" s="6" t="str">
        <f>HYPERLINK("https://www.biovista.com/db/link/%5B%5B%22Disease%7CZellweger%20Syndrome%22%5D,%20%5B%22Pathway%7Ccholesterol%20biosynthetic%20process%22%5D%5D?strength-weight-map=%257B%2522MEDLINE_STRENGTH_AB%2522:1.0,%2522HPO%2522:100.0%257D", "Show Evidence...")</f>
        <v>Show Evidence...</v>
      </c>
    </row>
    <row r="3548" spans="1:10" ht="15.75" customHeight="1">
      <c r="A3548" t="s">
        <v>4475</v>
      </c>
      <c r="B3548" t="s">
        <v>4476</v>
      </c>
      <c r="C3548" t="s">
        <v>24</v>
      </c>
      <c r="D3548" t="s">
        <v>4477</v>
      </c>
      <c r="E3548" t="s">
        <v>704</v>
      </c>
      <c r="F3548" s="2" t="s">
        <v>821</v>
      </c>
      <c r="G3548" t="s">
        <v>37</v>
      </c>
      <c r="H3548" t="s">
        <v>822</v>
      </c>
      <c r="I3548" t="s">
        <v>4658</v>
      </c>
      <c r="J3548" s="6" t="str">
        <f>HYPERLINK("https://www.biovista.com/db/link/%5B%5B%22Disease%7CZellweger%20Syndrome%22%5D,%20%5B%22Pathway%7Cfemale%20pregnancy%22%5D%5D?strength-weight-map=%257B%2522MEDLINE_STRENGTH_AB%2522:1.0,%2522HPO%2522:100.0%257D", "Show Evidence...")</f>
        <v>Show Evidence...</v>
      </c>
    </row>
    <row r="3549" spans="1:10" ht="15.75" customHeight="1">
      <c r="A3549" t="s">
        <v>4475</v>
      </c>
      <c r="B3549" t="s">
        <v>4476</v>
      </c>
      <c r="C3549" t="s">
        <v>24</v>
      </c>
      <c r="D3549" t="s">
        <v>4477</v>
      </c>
      <c r="E3549" t="s">
        <v>704</v>
      </c>
      <c r="F3549" s="2" t="s">
        <v>750</v>
      </c>
      <c r="G3549" t="s">
        <v>37</v>
      </c>
      <c r="H3549" t="s">
        <v>751</v>
      </c>
      <c r="I3549" t="s">
        <v>4494</v>
      </c>
      <c r="J3549" s="6" t="str">
        <f>HYPERLINK("https://www.biovista.com/db/link/%5B%5B%22Disease%7CZellweger%20Syndrome%22%5D,%20%5B%22Pathway%7Ccell%20death%22%5D%5D?strength-weight-map=%257B%2522MEDLINE_STRENGTH_AB%2522:1.0,%2522HPO%2522:100.0%257D", "Show Evidence...")</f>
        <v>Show Evidence...</v>
      </c>
    </row>
    <row r="3550" spans="1:10" ht="15.75" customHeight="1">
      <c r="A3550" t="s">
        <v>4475</v>
      </c>
      <c r="B3550" t="s">
        <v>4476</v>
      </c>
      <c r="C3550" t="s">
        <v>24</v>
      </c>
      <c r="D3550" t="s">
        <v>4477</v>
      </c>
      <c r="E3550" t="s">
        <v>704</v>
      </c>
      <c r="F3550" s="2" t="s">
        <v>753</v>
      </c>
      <c r="G3550" t="s">
        <v>37</v>
      </c>
      <c r="H3550" t="s">
        <v>754</v>
      </c>
      <c r="I3550" t="s">
        <v>4494</v>
      </c>
      <c r="J3550" s="6" t="str">
        <f>HYPERLINK("https://www.biovista.com/db/link/%5B%5B%22Disease%7CZellweger%20Syndrome%22%5D,%20%5B%22Pathway%7Ccell%20differentiation%22%5D%5D?strength-weight-map=%257B%2522MEDLINE_STRENGTH_AB%2522:1.0,%2522HPO%2522:100.0%257D", "Show Evidence...")</f>
        <v>Show Evidence...</v>
      </c>
    </row>
    <row r="3551" spans="1:10" ht="15.75" customHeight="1">
      <c r="A3551" t="s">
        <v>4475</v>
      </c>
      <c r="B3551" t="s">
        <v>4476</v>
      </c>
      <c r="C3551" t="s">
        <v>24</v>
      </c>
      <c r="D3551" t="s">
        <v>4477</v>
      </c>
      <c r="E3551" t="s">
        <v>704</v>
      </c>
      <c r="F3551" s="2" t="s">
        <v>1502</v>
      </c>
      <c r="G3551" t="s">
        <v>37</v>
      </c>
      <c r="H3551" t="s">
        <v>1503</v>
      </c>
      <c r="I3551" t="s">
        <v>4494</v>
      </c>
      <c r="J3551" s="6" t="str">
        <f>HYPERLINK("https://www.biovista.com/db/link/%5B%5B%22Disease%7CZellweger%20Syndrome%22%5D,%20%5B%22Pathway%7Cdetoxification%22%5D%5D?strength-weight-map=%257B%2522MEDLINE_STRENGTH_AB%2522:1.0,%2522HPO%2522:100.0%257D", "Show Evidence...")</f>
        <v>Show Evidence...</v>
      </c>
    </row>
    <row r="3552" spans="1:10" ht="15.75" customHeight="1">
      <c r="A3552" t="s">
        <v>4475</v>
      </c>
      <c r="B3552" t="s">
        <v>4476</v>
      </c>
      <c r="C3552" t="s">
        <v>24</v>
      </c>
      <c r="D3552" t="s">
        <v>4477</v>
      </c>
      <c r="E3552" t="s">
        <v>704</v>
      </c>
      <c r="F3552" s="2" t="s">
        <v>781</v>
      </c>
      <c r="G3552" t="s">
        <v>37</v>
      </c>
      <c r="H3552" t="s">
        <v>782</v>
      </c>
      <c r="I3552" t="s">
        <v>4494</v>
      </c>
      <c r="J3552" s="6" t="str">
        <f>HYPERLINK("https://www.biovista.com/db/link/%5B%5B%22Disease%7CZellweger%20Syndrome%22%5D,%20%5B%22Pathway%7Cossification%22%5D%5D?strength-weight-map=%257B%2522MEDLINE_STRENGTH_AB%2522:1.0,%2522HPO%2522:100.0%257D", "Show Evidence...")</f>
        <v>Show Evidence...</v>
      </c>
    </row>
    <row r="3553" spans="1:10" ht="15.75" customHeight="1">
      <c r="A3553" t="s">
        <v>4475</v>
      </c>
      <c r="B3553" t="s">
        <v>4476</v>
      </c>
      <c r="C3553" t="s">
        <v>24</v>
      </c>
      <c r="D3553" t="s">
        <v>4477</v>
      </c>
      <c r="E3553" t="s">
        <v>704</v>
      </c>
      <c r="F3553" s="2" t="s">
        <v>834</v>
      </c>
      <c r="G3553" t="s">
        <v>37</v>
      </c>
      <c r="H3553" t="s">
        <v>835</v>
      </c>
      <c r="I3553" t="s">
        <v>4494</v>
      </c>
      <c r="J3553" s="6" t="str">
        <f>HYPERLINK("https://www.biovista.com/db/link/%5B%5B%22Disease%7CZellweger%20Syndrome%22%5D,%20%5B%22Pathway%7Csensory%20perception%20of%20sound%22%5D%5D?strength-weight-map=%257B%2522MEDLINE_STRENGTH_AB%2522:1.0,%2522HPO%2522:100.0%257D", "Show Evidence...")</f>
        <v>Show Evidence...</v>
      </c>
    </row>
    <row r="3554" spans="1:10" ht="15.75" customHeight="1">
      <c r="A3554" t="s">
        <v>4475</v>
      </c>
      <c r="B3554" t="s">
        <v>4476</v>
      </c>
      <c r="C3554" t="s">
        <v>24</v>
      </c>
      <c r="D3554" t="s">
        <v>4477</v>
      </c>
      <c r="E3554" t="s">
        <v>704</v>
      </c>
      <c r="F3554" s="2" t="s">
        <v>803</v>
      </c>
      <c r="G3554" t="s">
        <v>37</v>
      </c>
      <c r="H3554" t="s">
        <v>804</v>
      </c>
      <c r="I3554" t="s">
        <v>4495</v>
      </c>
      <c r="J3554" s="6" t="str">
        <f>HYPERLINK("https://www.biovista.com/db/link/%5B%5B%22Disease%7CZellweger%20Syndrome%22%5D,%20%5B%22Pathway%7Ccell%20cycle%22%5D%5D?strength-weight-map=%257B%2522MEDLINE_STRENGTH_AB%2522:1.0,%2522HPO%2522:100.0%257D", "Show Evidence...")</f>
        <v>Show Evidence...</v>
      </c>
    </row>
    <row r="3555" spans="1:10" ht="15.75" customHeight="1">
      <c r="A3555" t="s">
        <v>4475</v>
      </c>
      <c r="B3555" t="s">
        <v>4476</v>
      </c>
      <c r="C3555" t="s">
        <v>24</v>
      </c>
      <c r="D3555" t="s">
        <v>4477</v>
      </c>
      <c r="E3555" t="s">
        <v>704</v>
      </c>
      <c r="F3555" s="2" t="s">
        <v>1491</v>
      </c>
      <c r="G3555" t="s">
        <v>37</v>
      </c>
      <c r="H3555" t="s">
        <v>1492</v>
      </c>
      <c r="I3555" t="s">
        <v>4495</v>
      </c>
      <c r="J3555" s="6" t="str">
        <f>HYPERLINK("https://www.biovista.com/db/link/%5B%5B%22Disease%7CZellweger%20Syndrome%22%5D,%20%5B%22Pathway%7Creactive%20gliosis%22%5D%5D?strength-weight-map=%257B%2522MEDLINE_STRENGTH_AB%2522:1.0,%2522HPO%2522:100.0%257D", "Show Evidence...")</f>
        <v>Show Evidence...</v>
      </c>
    </row>
    <row r="3556" spans="1:10" ht="15.75" customHeight="1">
      <c r="A3556" t="s">
        <v>4475</v>
      </c>
      <c r="B3556" t="s">
        <v>4476</v>
      </c>
      <c r="C3556" t="s">
        <v>24</v>
      </c>
      <c r="D3556" t="s">
        <v>4477</v>
      </c>
      <c r="E3556" t="s">
        <v>704</v>
      </c>
      <c r="F3556" s="2" t="s">
        <v>1470</v>
      </c>
      <c r="G3556" t="s">
        <v>37</v>
      </c>
      <c r="H3556" t="s">
        <v>1471</v>
      </c>
      <c r="I3556" t="s">
        <v>4671</v>
      </c>
      <c r="J3556" s="6" t="str">
        <f>HYPERLINK("https://www.biovista.com/db/link/%5B%5B%22Disease%7CZellweger%20Syndrome%22%5D,%20%5B%22Pathway%7Cbrain%20development%22%5D%5D?strength-weight-map=%257B%2522MEDLINE_STRENGTH_AB%2522:1.0,%2522HPO%2522:100.0%257D", "Show Evidence...")</f>
        <v>Show Evidence...</v>
      </c>
    </row>
    <row r="3557" spans="1:10" ht="15.75" customHeight="1">
      <c r="A3557" t="s">
        <v>4475</v>
      </c>
      <c r="B3557" t="s">
        <v>4476</v>
      </c>
      <c r="C3557" t="s">
        <v>24</v>
      </c>
      <c r="D3557" t="s">
        <v>4477</v>
      </c>
      <c r="E3557" t="s">
        <v>704</v>
      </c>
      <c r="F3557" s="2" t="s">
        <v>4854</v>
      </c>
      <c r="G3557" t="s">
        <v>37</v>
      </c>
      <c r="H3557" t="s">
        <v>4855</v>
      </c>
      <c r="I3557" t="s">
        <v>4671</v>
      </c>
      <c r="J3557" s="6" t="str">
        <f>HYPERLINK("https://www.biovista.com/db/link/%5B%5B%22Disease%7CZellweger%20Syndrome%22%5D,%20%5B%22Pathway%7Cphospholipid%20biosynthetic%20process%22%5D%5D?strength-weight-map=%257B%2522MEDLINE_STRENGTH_AB%2522:1.0,%2522HPO%2522:100.0%257D", "Show Evidence...")</f>
        <v>Show Evidence...</v>
      </c>
    </row>
    <row r="3558" spans="1:10" ht="15.75" customHeight="1">
      <c r="A3558" t="s">
        <v>4475</v>
      </c>
      <c r="B3558" t="s">
        <v>4476</v>
      </c>
      <c r="C3558" t="s">
        <v>24</v>
      </c>
      <c r="D3558" t="s">
        <v>4477</v>
      </c>
      <c r="E3558" t="s">
        <v>704</v>
      </c>
      <c r="F3558" s="2" t="s">
        <v>870</v>
      </c>
      <c r="G3558" t="s">
        <v>37</v>
      </c>
      <c r="H3558" t="s">
        <v>871</v>
      </c>
      <c r="I3558" t="s">
        <v>4671</v>
      </c>
      <c r="J3558" s="6" t="str">
        <f>HYPERLINK("https://www.biovista.com/db/link/%5B%5B%22Disease%7CZellweger%20Syndrome%22%5D,%20%5B%22Pathway%7Cphotosynthesis%22%5D%5D?strength-weight-map=%257B%2522MEDLINE_STRENGTH_AB%2522:1.0,%2522HPO%2522:100.0%257D", "Show Evidence...")</f>
        <v>Show Evidence...</v>
      </c>
    </row>
    <row r="3559" spans="1:10" ht="15.75" customHeight="1">
      <c r="A3559" t="s">
        <v>4475</v>
      </c>
      <c r="B3559" t="s">
        <v>4476</v>
      </c>
      <c r="C3559" t="s">
        <v>24</v>
      </c>
      <c r="D3559" t="s">
        <v>4477</v>
      </c>
      <c r="E3559" t="s">
        <v>704</v>
      </c>
      <c r="F3559" s="2" t="s">
        <v>4856</v>
      </c>
      <c r="G3559" t="s">
        <v>37</v>
      </c>
      <c r="H3559" t="s">
        <v>4857</v>
      </c>
      <c r="I3559" t="s">
        <v>4678</v>
      </c>
      <c r="J3559" s="6" t="str">
        <f>HYPERLINK("https://www.biovista.com/db/link/%5B%5B%22Disease%7CZellweger%20Syndrome%22%5D,%20%5B%22Pathway%7Cbile%20acid%20metabolic%20process%22%5D%5D?strength-weight-map=%257B%2522MEDLINE_STRENGTH_AB%2522:1.0,%2522HPO%2522:100.0%257D", "Show Evidence...")</f>
        <v>Show Evidence...</v>
      </c>
    </row>
    <row r="3560" spans="1:10" ht="15.75" customHeight="1">
      <c r="A3560" t="s">
        <v>4475</v>
      </c>
      <c r="B3560" t="s">
        <v>4476</v>
      </c>
      <c r="C3560" t="s">
        <v>24</v>
      </c>
      <c r="D3560" t="s">
        <v>4477</v>
      </c>
      <c r="E3560" t="s">
        <v>704</v>
      </c>
      <c r="F3560" s="2" t="s">
        <v>813</v>
      </c>
      <c r="G3560" t="s">
        <v>37</v>
      </c>
      <c r="H3560" t="s">
        <v>814</v>
      </c>
      <c r="I3560" t="s">
        <v>4678</v>
      </c>
      <c r="J3560" s="6" t="str">
        <f>HYPERLINK("https://www.biovista.com/db/link/%5B%5B%22Disease%7CZellweger%20Syndrome%22%5D,%20%5B%22Pathway%7Ccell%20division%22%5D%5D?strength-weight-map=%257B%2522MEDLINE_STRENGTH_AB%2522:1.0,%2522HPO%2522:100.0%257D", "Show Evidence...")</f>
        <v>Show Evidence...</v>
      </c>
    </row>
    <row r="3561" spans="1:10" ht="15.75" customHeight="1">
      <c r="A3561" t="s">
        <v>4475</v>
      </c>
      <c r="B3561" t="s">
        <v>4476</v>
      </c>
      <c r="C3561" t="s">
        <v>24</v>
      </c>
      <c r="D3561" t="s">
        <v>4477</v>
      </c>
      <c r="E3561" t="s">
        <v>704</v>
      </c>
      <c r="F3561" s="2" t="s">
        <v>2314</v>
      </c>
      <c r="G3561" t="s">
        <v>37</v>
      </c>
      <c r="H3561" t="s">
        <v>2315</v>
      </c>
      <c r="I3561" t="s">
        <v>4678</v>
      </c>
      <c r="J3561" s="6" t="str">
        <f>HYPERLINK("https://www.biovista.com/db/link/%5B%5B%22Disease%7CZellweger%20Syndrome%22%5D,%20%5B%22Pathway%7Ccellular%20metabolic%20process%22%5D%5D?strength-weight-map=%257B%2522MEDLINE_STRENGTH_AB%2522:1.0,%2522HPO%2522:100.0%257D", "Show Evidence...")</f>
        <v>Show Evidence...</v>
      </c>
    </row>
    <row r="3562" spans="1:10" ht="15.75" customHeight="1">
      <c r="A3562" t="s">
        <v>4475</v>
      </c>
      <c r="B3562" t="s">
        <v>4476</v>
      </c>
      <c r="C3562" t="s">
        <v>24</v>
      </c>
      <c r="D3562" t="s">
        <v>4477</v>
      </c>
      <c r="E3562" t="s">
        <v>704</v>
      </c>
      <c r="F3562" s="2" t="s">
        <v>4858</v>
      </c>
      <c r="G3562" t="s">
        <v>37</v>
      </c>
      <c r="H3562" t="s">
        <v>4859</v>
      </c>
      <c r="I3562" t="s">
        <v>4678</v>
      </c>
      <c r="J3562" s="6" t="str">
        <f>HYPERLINK("https://www.biovista.com/db/link/%5B%5B%22Disease%7CZellweger%20Syndrome%22%5D,%20%5B%22Pathway%7Cmembrane%20assembly%22%5D%5D?strength-weight-map=%257B%2522MEDLINE_STRENGTH_AB%2522:1.0,%2522HPO%2522:100.0%257D", "Show Evidence...")</f>
        <v>Show Evidence...</v>
      </c>
    </row>
    <row r="3563" spans="1:10" ht="15.75" customHeight="1">
      <c r="A3563" t="s">
        <v>4475</v>
      </c>
      <c r="B3563" t="s">
        <v>4476</v>
      </c>
      <c r="C3563" t="s">
        <v>24</v>
      </c>
      <c r="D3563" t="s">
        <v>4477</v>
      </c>
      <c r="E3563" t="s">
        <v>704</v>
      </c>
      <c r="F3563" s="2" t="s">
        <v>2907</v>
      </c>
      <c r="G3563" t="s">
        <v>37</v>
      </c>
      <c r="H3563" t="s">
        <v>2908</v>
      </c>
      <c r="I3563" t="s">
        <v>4683</v>
      </c>
      <c r="J3563" s="6" t="str">
        <f>HYPERLINK("https://www.biovista.com/db/link/%5B%5B%22Disease%7CZellweger%20Syndrome%22%5D,%20%5B%22Pathway%7Ccellular%20localization%22%5D%5D?strength-weight-map=%257B%2522MEDLINE_STRENGTH_AB%2522:1.0,%2522HPO%2522:100.0%257D", "Show Evidence...")</f>
        <v>Show Evidence...</v>
      </c>
    </row>
    <row r="3564" spans="1:10" ht="15.75" customHeight="1">
      <c r="A3564" t="s">
        <v>4475</v>
      </c>
      <c r="B3564" t="s">
        <v>4476</v>
      </c>
      <c r="C3564" t="s">
        <v>24</v>
      </c>
      <c r="D3564" t="s">
        <v>4477</v>
      </c>
      <c r="E3564" t="s">
        <v>704</v>
      </c>
      <c r="F3564" s="2" t="s">
        <v>733</v>
      </c>
      <c r="G3564" t="s">
        <v>37</v>
      </c>
      <c r="H3564" t="s">
        <v>734</v>
      </c>
      <c r="I3564" t="s">
        <v>4683</v>
      </c>
      <c r="J3564" s="6" t="str">
        <f>HYPERLINK("https://www.biovista.com/db/link/%5B%5B%22Disease%7CZellweger%20Syndrome%22%5D,%20%5B%22Pathway%7Ccellular%20respiration%22%5D%5D?strength-weight-map=%257B%2522MEDLINE_STRENGTH_AB%2522:1.0,%2522HPO%2522:100.0%257D", "Show Evidence...")</f>
        <v>Show Evidence...</v>
      </c>
    </row>
    <row r="3565" spans="1:10" ht="15.75" customHeight="1">
      <c r="A3565" t="s">
        <v>4475</v>
      </c>
      <c r="B3565" t="s">
        <v>4476</v>
      </c>
      <c r="C3565" t="s">
        <v>24</v>
      </c>
      <c r="D3565" t="s">
        <v>4477</v>
      </c>
      <c r="E3565" t="s">
        <v>704</v>
      </c>
      <c r="F3565" s="2" t="s">
        <v>4860</v>
      </c>
      <c r="G3565" t="s">
        <v>37</v>
      </c>
      <c r="H3565" t="s">
        <v>4861</v>
      </c>
      <c r="I3565" t="s">
        <v>4683</v>
      </c>
      <c r="J3565" s="6" t="str">
        <f>HYPERLINK("https://www.biovista.com/db/link/%5B%5B%22Disease%7CZellweger%20Syndrome%22%5D,%20%5B%22Pathway%7Cperoxisome%20fission%22%5D%5D?strength-weight-map=%257B%2522MEDLINE_STRENGTH_AB%2522:1.0,%2522HPO%2522:100.0%257D", "Show Evidence...")</f>
        <v>Show Evidence...</v>
      </c>
    </row>
    <row r="3566" spans="1:10" ht="15.75" customHeight="1">
      <c r="A3566" t="s">
        <v>4475</v>
      </c>
      <c r="B3566" t="s">
        <v>4476</v>
      </c>
      <c r="C3566" t="s">
        <v>24</v>
      </c>
      <c r="D3566" t="s">
        <v>4477</v>
      </c>
      <c r="E3566" t="s">
        <v>704</v>
      </c>
      <c r="F3566" s="2" t="s">
        <v>4465</v>
      </c>
      <c r="G3566" t="s">
        <v>37</v>
      </c>
      <c r="H3566" t="s">
        <v>4466</v>
      </c>
      <c r="I3566" t="s">
        <v>4683</v>
      </c>
      <c r="J3566" s="6" t="str">
        <f>HYPERLINK("https://www.biovista.com/db/link/%5B%5B%22Disease%7CZellweger%20Syndrome%22%5D,%20%5B%22Pathway%7Cpexophagy%22%5D%5D?strength-weight-map=%257B%2522MEDLINE_STRENGTH_AB%2522:1.0,%2522HPO%2522:100.0%257D", "Show Evidence...")</f>
        <v>Show Evidence...</v>
      </c>
    </row>
    <row r="3567" spans="1:10" ht="15.75" customHeight="1">
      <c r="A3567" t="s">
        <v>4475</v>
      </c>
      <c r="B3567" t="s">
        <v>4476</v>
      </c>
      <c r="C3567" t="s">
        <v>24</v>
      </c>
      <c r="D3567" t="s">
        <v>4477</v>
      </c>
      <c r="E3567" t="s">
        <v>704</v>
      </c>
      <c r="F3567" s="2" t="s">
        <v>827</v>
      </c>
      <c r="G3567" t="s">
        <v>37</v>
      </c>
      <c r="H3567" t="s">
        <v>828</v>
      </c>
      <c r="I3567" t="s">
        <v>4683</v>
      </c>
      <c r="J3567" s="6" t="s">
        <v>4862</v>
      </c>
    </row>
    <row r="3568" spans="1:10" ht="15.75" customHeight="1">
      <c r="A3568" t="s">
        <v>4475</v>
      </c>
      <c r="B3568" t="s">
        <v>4476</v>
      </c>
      <c r="C3568" t="s">
        <v>24</v>
      </c>
      <c r="D3568" t="s">
        <v>4477</v>
      </c>
      <c r="E3568" t="s">
        <v>704</v>
      </c>
      <c r="F3568" s="2" t="s">
        <v>735</v>
      </c>
      <c r="G3568" t="s">
        <v>37</v>
      </c>
      <c r="H3568" t="s">
        <v>736</v>
      </c>
      <c r="I3568" t="s">
        <v>4683</v>
      </c>
      <c r="J3568" s="6" t="str">
        <f>HYPERLINK("https://www.biovista.com/db/link/%5B%5B%22Disease%7CZellweger%20Syndrome%22%5D,%20%5B%22Pathway%7Csignal%20transduction%22%5D%5D?strength-weight-map=%257B%2522MEDLINE_STRENGTH_AB%2522:1.0,%2522HPO%2522:100.0%257D", "Show Evidence...")</f>
        <v>Show Evidence...</v>
      </c>
    </row>
    <row r="3569" spans="1:10" ht="15.75" customHeight="1">
      <c r="A3569" t="s">
        <v>4475</v>
      </c>
      <c r="B3569" t="s">
        <v>4476</v>
      </c>
      <c r="C3569" t="s">
        <v>24</v>
      </c>
      <c r="D3569" t="s">
        <v>4477</v>
      </c>
      <c r="E3569" t="s">
        <v>717</v>
      </c>
      <c r="F3569" s="2" t="s">
        <v>2344</v>
      </c>
      <c r="G3569" t="s">
        <v>37</v>
      </c>
      <c r="H3569" t="s">
        <v>2345</v>
      </c>
      <c r="I3569" t="s">
        <v>4496</v>
      </c>
      <c r="J3569" s="6" t="str">
        <f>HYPERLINK("https://www.biovista.com/db/link/%5B%5B%22Disease%7CZellweger%20Syndrome%22%5D,%20%5B%22Pathway%7Cbiomineralization%22%5D%5D?strength-weight-map=%257B%2522MEDLINE_STRENGTH_AB%2522:1.0,%2522HPO%2522:100.0%257D", "Show Evidence...")</f>
        <v>Show Evidence...</v>
      </c>
    </row>
    <row r="3570" spans="1:10" ht="15.75" customHeight="1">
      <c r="A3570" t="s">
        <v>4475</v>
      </c>
      <c r="B3570" t="s">
        <v>4476</v>
      </c>
      <c r="C3570" t="s">
        <v>24</v>
      </c>
      <c r="D3570" t="s">
        <v>4477</v>
      </c>
      <c r="E3570" t="s">
        <v>704</v>
      </c>
      <c r="F3570" s="2" t="s">
        <v>4863</v>
      </c>
      <c r="G3570" t="s">
        <v>37</v>
      </c>
      <c r="H3570" t="s">
        <v>4864</v>
      </c>
      <c r="I3570" t="s">
        <v>4496</v>
      </c>
      <c r="J3570" s="6" t="str">
        <f>HYPERLINK("https://www.biovista.com/db/link/%5B%5B%22Disease%7CZellweger%20Syndrome%22%5D,%20%5B%22Pathway%7Ccholesterol%20homeostasis%22%5D%5D?strength-weight-map=%257B%2522MEDLINE_STRENGTH_AB%2522:1.0,%2522HPO%2522:100.0%257D", "Show Evidence...")</f>
        <v>Show Evidence...</v>
      </c>
    </row>
    <row r="3571" spans="1:10" ht="15.75" customHeight="1">
      <c r="A3571" t="s">
        <v>4475</v>
      </c>
      <c r="B3571" t="s">
        <v>4476</v>
      </c>
      <c r="C3571" t="s">
        <v>24</v>
      </c>
      <c r="D3571" t="s">
        <v>4477</v>
      </c>
      <c r="E3571" t="s">
        <v>704</v>
      </c>
      <c r="F3571" s="2" t="s">
        <v>791</v>
      </c>
      <c r="G3571" t="s">
        <v>37</v>
      </c>
      <c r="H3571" t="s">
        <v>792</v>
      </c>
      <c r="I3571" t="s">
        <v>4496</v>
      </c>
      <c r="J3571" s="6" t="str">
        <f>HYPERLINK("https://www.biovista.com/db/link/%5B%5B%22Disease%7CZellweger%20Syndrome%22%5D,%20%5B%22Pathway%7Celectron%20transport%20chain%22%5D%5D?strength-weight-map=%257B%2522MEDLINE_STRENGTH_AB%2522:1.0,%2522HPO%2522:100.0%257D", "Show Evidence...")</f>
        <v>Show Evidence...</v>
      </c>
    </row>
    <row r="3572" spans="1:10" ht="15.75" customHeight="1">
      <c r="A3572" t="s">
        <v>4475</v>
      </c>
      <c r="B3572" t="s">
        <v>4476</v>
      </c>
      <c r="C3572" t="s">
        <v>24</v>
      </c>
      <c r="D3572" t="s">
        <v>4477</v>
      </c>
      <c r="E3572" t="s">
        <v>704</v>
      </c>
      <c r="F3572" s="2" t="s">
        <v>1522</v>
      </c>
      <c r="G3572" t="s">
        <v>37</v>
      </c>
      <c r="H3572" t="s">
        <v>1523</v>
      </c>
      <c r="I3572" t="s">
        <v>4496</v>
      </c>
      <c r="J3572" s="6" t="str">
        <f>HYPERLINK("https://www.biovista.com/db/link/%5B%5B%22Disease%7CZellweger%20Syndrome%22%5D,%20%5B%22Pathway%7Cfatty%20acid%20metabolic%20process%22%5D%5D?strength-weight-map=%257B%2522MEDLINE_STRENGTH_AB%2522:1.0,%2522HPO%2522:100.0%257D", "Show Evidence...")</f>
        <v>Show Evidence...</v>
      </c>
    </row>
    <row r="3573" spans="1:10" ht="15.75" customHeight="1">
      <c r="A3573" t="s">
        <v>4475</v>
      </c>
      <c r="B3573" t="s">
        <v>4476</v>
      </c>
      <c r="C3573" t="s">
        <v>24</v>
      </c>
      <c r="D3573" t="s">
        <v>4477</v>
      </c>
      <c r="E3573" t="s">
        <v>704</v>
      </c>
      <c r="F3573" s="2" t="s">
        <v>807</v>
      </c>
      <c r="G3573" t="s">
        <v>37</v>
      </c>
      <c r="H3573" t="s">
        <v>808</v>
      </c>
      <c r="I3573" t="s">
        <v>4496</v>
      </c>
      <c r="J3573" s="6" t="str">
        <f>HYPERLINK("https://www.biovista.com/db/link/%5B%5B%22Disease%7CZellweger%20Syndrome%22%5D,%20%5B%22Pathway%7Clactation%22%5D%5D?strength-weight-map=%257B%2522MEDLINE_STRENGTH_AB%2522:1.0,%2522HPO%2522:100.0%257D", "Show Evidence...")</f>
        <v>Show Evidence...</v>
      </c>
    </row>
    <row r="3574" spans="1:10" ht="15.75" customHeight="1">
      <c r="A3574" t="s">
        <v>4475</v>
      </c>
      <c r="B3574" t="s">
        <v>4476</v>
      </c>
      <c r="C3574" t="s">
        <v>24</v>
      </c>
      <c r="D3574" t="s">
        <v>4477</v>
      </c>
      <c r="E3574" t="s">
        <v>704</v>
      </c>
      <c r="F3574" s="2" t="s">
        <v>737</v>
      </c>
      <c r="G3574" t="s">
        <v>37</v>
      </c>
      <c r="H3574" t="s">
        <v>738</v>
      </c>
      <c r="I3574" t="s">
        <v>4496</v>
      </c>
      <c r="J3574" s="6" t="str">
        <f>HYPERLINK("https://www.biovista.com/db/link/%5B%5B%22Disease%7CZellweger%20Syndrome%22%5D,%20%5B%22Pathway%7CmRNA%20cis%20splicing,%20via%20spliceosome%22%5D%5D?strength-weight-map=%257B%2522MEDLINE_STRENGTH_AB%2522:1.0,%2522HPO%2522:100.0%257D", "Show Evidence...")</f>
        <v>Show Evidence...</v>
      </c>
    </row>
    <row r="3575" spans="1:10" ht="15.75" customHeight="1">
      <c r="A3575" t="s">
        <v>4475</v>
      </c>
      <c r="B3575" t="s">
        <v>4476</v>
      </c>
      <c r="C3575" t="s">
        <v>24</v>
      </c>
      <c r="D3575" t="s">
        <v>4477</v>
      </c>
      <c r="E3575" t="s">
        <v>704</v>
      </c>
      <c r="F3575" s="2" t="s">
        <v>1536</v>
      </c>
      <c r="G3575" t="s">
        <v>37</v>
      </c>
      <c r="H3575" t="s">
        <v>1537</v>
      </c>
      <c r="I3575" t="s">
        <v>4496</v>
      </c>
      <c r="J3575" s="6" t="str">
        <f>HYPERLINK("https://www.biovista.com/db/link/%5B%5B%22Disease%7CZellweger%20Syndrome%22%5D,%20%5B%22Pathway%7Cprotein%20folding%22%5D%5D?strength-weight-map=%257B%2522MEDLINE_STRENGTH_AB%2522:1.0,%2522HPO%2522:100.0%257D", "Show Evidence...")</f>
        <v>Show Evidence...</v>
      </c>
    </row>
    <row r="3576" spans="1:10" ht="15.75" customHeight="1">
      <c r="A3576" t="s">
        <v>4475</v>
      </c>
      <c r="B3576" t="s">
        <v>4476</v>
      </c>
      <c r="C3576" t="s">
        <v>24</v>
      </c>
      <c r="D3576" t="s">
        <v>4477</v>
      </c>
      <c r="E3576" t="s">
        <v>704</v>
      </c>
      <c r="F3576" s="2" t="s">
        <v>768</v>
      </c>
      <c r="G3576" t="s">
        <v>37</v>
      </c>
      <c r="H3576" t="s">
        <v>769</v>
      </c>
      <c r="I3576" t="s">
        <v>4496</v>
      </c>
      <c r="J3576" s="6" t="str">
        <f>HYPERLINK("https://www.biovista.com/db/link/%5B%5B%22Disease%7CZellweger%20Syndrome%22%5D,%20%5B%22Pathway%7Cregeneration%22%5D%5D?strength-weight-map=%257B%2522MEDLINE_STRENGTH_AB%2522:1.0,%2522HPO%2522:100.0%257D", "Show Evidence...")</f>
        <v>Show Evidence...</v>
      </c>
    </row>
    <row r="3577" spans="1:10" ht="15.75" customHeight="1">
      <c r="A3577" t="s">
        <v>4475</v>
      </c>
      <c r="B3577" t="s">
        <v>4476</v>
      </c>
      <c r="C3577" t="s">
        <v>24</v>
      </c>
      <c r="D3577" t="s">
        <v>4477</v>
      </c>
      <c r="E3577" t="s">
        <v>704</v>
      </c>
      <c r="F3577" s="2" t="s">
        <v>801</v>
      </c>
      <c r="G3577" t="s">
        <v>37</v>
      </c>
      <c r="H3577" t="s">
        <v>802</v>
      </c>
      <c r="I3577" t="s">
        <v>4496</v>
      </c>
      <c r="J3577" s="6" t="str">
        <f>HYPERLINK("https://www.biovista.com/db/link/%5B%5B%22Disease%7CZellweger%20Syndrome%22%5D,%20%5B%22Pathway%7Csecretion%22%5D%5D?strength-weight-map=%257B%2522MEDLINE_STRENGTH_AB%2522:1.0,%2522HPO%2522:100.0%257D", "Show Evidence...")</f>
        <v>Show Evidence...</v>
      </c>
    </row>
    <row r="3578" spans="1:10" ht="15.75" customHeight="1">
      <c r="A3578" t="s">
        <v>4475</v>
      </c>
      <c r="B3578" t="s">
        <v>4476</v>
      </c>
      <c r="C3578" t="s">
        <v>24</v>
      </c>
      <c r="D3578" t="s">
        <v>4477</v>
      </c>
      <c r="E3578" t="s">
        <v>704</v>
      </c>
      <c r="F3578" s="2" t="s">
        <v>4865</v>
      </c>
      <c r="G3578" t="s">
        <v>37</v>
      </c>
      <c r="H3578" t="s">
        <v>4866</v>
      </c>
      <c r="I3578" t="s">
        <v>4499</v>
      </c>
      <c r="J3578" s="6" t="str">
        <f>HYPERLINK("https://www.biovista.com/db/link/%5B%5B%22Disease%7CZellweger%20Syndrome%22%5D,%20%5B%22Pathway%7Cbone%20regeneration%22%5D%5D?strength-weight-map=%257B%2522MEDLINE_STRENGTH_AB%2522:1.0,%2522HPO%2522:100.0%257D", "Show Evidence...")</f>
        <v>Show Evidence...</v>
      </c>
    </row>
    <row r="3579" spans="1:10" ht="15.75" customHeight="1">
      <c r="A3579" t="s">
        <v>4475</v>
      </c>
      <c r="B3579" t="s">
        <v>4476</v>
      </c>
      <c r="C3579" t="s">
        <v>24</v>
      </c>
      <c r="D3579" t="s">
        <v>4477</v>
      </c>
      <c r="E3579" t="s">
        <v>704</v>
      </c>
      <c r="F3579" s="2" t="s">
        <v>908</v>
      </c>
      <c r="G3579" t="s">
        <v>37</v>
      </c>
      <c r="H3579" t="s">
        <v>909</v>
      </c>
      <c r="I3579" t="s">
        <v>4499</v>
      </c>
      <c r="J3579" s="6" t="str">
        <f>HYPERLINK("https://www.biovista.com/db/link/%5B%5B%22Disease%7CZellweger%20Syndrome%22%5D,%20%5B%22Pathway%7Ccell%20growth%22%5D%5D?strength-weight-map=%257B%2522MEDLINE_STRENGTH_AB%2522:1.0,%2522HPO%2522:100.0%257D", "Show Evidence...")</f>
        <v>Show Evidence...</v>
      </c>
    </row>
    <row r="3580" spans="1:10" ht="15.75" customHeight="1">
      <c r="A3580" t="s">
        <v>4475</v>
      </c>
      <c r="B3580" t="s">
        <v>4476</v>
      </c>
      <c r="C3580" t="s">
        <v>24</v>
      </c>
      <c r="D3580" t="s">
        <v>4477</v>
      </c>
      <c r="E3580" t="s">
        <v>704</v>
      </c>
      <c r="F3580" s="2" t="s">
        <v>2925</v>
      </c>
      <c r="G3580" t="s">
        <v>37</v>
      </c>
      <c r="H3580" t="s">
        <v>2926</v>
      </c>
      <c r="I3580" t="s">
        <v>4499</v>
      </c>
      <c r="J3580" s="6" t="str">
        <f>HYPERLINK("https://www.biovista.com/db/link/%5B%5B%22Disease%7CZellweger%20Syndrome%22%5D,%20%5B%22Pathway%7Cintestinal%20absorption%22%5D%5D?strength-weight-map=%257B%2522MEDLINE_STRENGTH_AB%2522:1.0,%2522HPO%2522:100.0%257D", "Show Evidence...")</f>
        <v>Show Evidence...</v>
      </c>
    </row>
    <row r="3581" spans="1:10" ht="15.75" customHeight="1">
      <c r="A3581" t="s">
        <v>4475</v>
      </c>
      <c r="B3581" t="s">
        <v>4476</v>
      </c>
      <c r="C3581" t="s">
        <v>24</v>
      </c>
      <c r="D3581" t="s">
        <v>4477</v>
      </c>
      <c r="E3581" t="s">
        <v>704</v>
      </c>
      <c r="F3581" s="2" t="s">
        <v>4867</v>
      </c>
      <c r="G3581" t="s">
        <v>37</v>
      </c>
      <c r="H3581" t="s">
        <v>4868</v>
      </c>
      <c r="I3581" t="s">
        <v>4499</v>
      </c>
      <c r="J3581" s="6" t="str">
        <f>HYPERLINK("https://www.biovista.com/db/link/%5B%5B%22Disease%7CZellweger%20Syndrome%22%5D,%20%5B%22Pathway%7Cprotein%20targeting%22%5D%5D?strength-weight-map=%257B%2522MEDLINE_STRENGTH_AB%2522:1.0,%2522HPO%2522:100.0%257D", "Show Evidence...")</f>
        <v>Show Evidence...</v>
      </c>
    </row>
    <row r="3582" spans="1:10" ht="15.75" customHeight="1">
      <c r="A3582" t="s">
        <v>4475</v>
      </c>
      <c r="B3582" t="s">
        <v>4476</v>
      </c>
      <c r="C3582" t="s">
        <v>24</v>
      </c>
      <c r="D3582" t="s">
        <v>4477</v>
      </c>
      <c r="E3582" t="s">
        <v>704</v>
      </c>
      <c r="F3582" s="2" t="s">
        <v>4869</v>
      </c>
      <c r="G3582" t="s">
        <v>37</v>
      </c>
      <c r="H3582" t="s">
        <v>4870</v>
      </c>
      <c r="I3582" t="s">
        <v>4499</v>
      </c>
      <c r="J3582" s="6" t="str">
        <f>HYPERLINK("https://www.biovista.com/db/link/%5B%5B%22Disease%7CZellweger%20Syndrome%22%5D,%20%5B%22Pathway%7Csteroid%20biosynthetic%20process%22%5D%5D?strength-weight-map=%257B%2522MEDLINE_STRENGTH_AB%2522:1.0,%2522HPO%2522:100.0%257D", "Show Evidence...")</f>
        <v>Show Evidence...</v>
      </c>
    </row>
    <row r="3583" spans="1:10" ht="15.75" customHeight="1">
      <c r="A3583" t="s">
        <v>4475</v>
      </c>
      <c r="B3583" t="s">
        <v>4476</v>
      </c>
      <c r="C3583" t="s">
        <v>24</v>
      </c>
      <c r="D3583" t="s">
        <v>4477</v>
      </c>
      <c r="E3583" t="s">
        <v>704</v>
      </c>
      <c r="F3583" s="2" t="s">
        <v>783</v>
      </c>
      <c r="G3583" t="s">
        <v>37</v>
      </c>
      <c r="H3583" t="s">
        <v>784</v>
      </c>
      <c r="I3583" t="s">
        <v>4499</v>
      </c>
      <c r="J3583" s="6" t="str">
        <f>HYPERLINK("https://www.biovista.com/db/link/%5B%5B%22Disease%7CZellweger%20Syndrome%22%5D,%20%5B%22Pathway%7Cvisual%20perception%22%5D%5D?strength-weight-map=%257B%2522MEDLINE_STRENGTH_AB%2522:1.0,%2522HPO%2522:100.0%257D", "Show Evidence...")</f>
        <v>Show Evidence...</v>
      </c>
    </row>
    <row r="3584" spans="1:10" ht="15.75" customHeight="1">
      <c r="A3584" t="s">
        <v>4475</v>
      </c>
      <c r="B3584" t="s">
        <v>4476</v>
      </c>
      <c r="C3584" t="s">
        <v>24</v>
      </c>
      <c r="D3584" t="s">
        <v>4477</v>
      </c>
      <c r="E3584" t="s">
        <v>704</v>
      </c>
      <c r="F3584" s="2" t="s">
        <v>779</v>
      </c>
      <c r="G3584" t="s">
        <v>37</v>
      </c>
      <c r="H3584" t="s">
        <v>780</v>
      </c>
      <c r="I3584" t="s">
        <v>4502</v>
      </c>
      <c r="J3584" s="6" t="str">
        <f>HYPERLINK("https://www.biovista.com/db/link/%5B%5B%22Disease%7CZellweger%20Syndrome%22%5D,%20%5B%22Pathway%7Cangiogenesis%22%5D%5D?strength-weight-map=%257B%2522MEDLINE_STRENGTH_AB%2522:1.0,%2522HPO%2522:100.0%257D", "Show Evidence...")</f>
        <v>Show Evidence...</v>
      </c>
    </row>
    <row r="3585" spans="1:10" ht="15.75" customHeight="1">
      <c r="A3585" t="s">
        <v>4475</v>
      </c>
      <c r="B3585" t="s">
        <v>4476</v>
      </c>
      <c r="C3585" t="s">
        <v>24</v>
      </c>
      <c r="D3585" t="s">
        <v>4477</v>
      </c>
      <c r="E3585" t="s">
        <v>704</v>
      </c>
      <c r="F3585" s="2" t="s">
        <v>4871</v>
      </c>
      <c r="G3585" t="s">
        <v>37</v>
      </c>
      <c r="H3585" t="s">
        <v>4872</v>
      </c>
      <c r="I3585" t="s">
        <v>4502</v>
      </c>
      <c r="J3585" s="6" t="str">
        <f>HYPERLINK("https://www.biovista.com/db/link/%5B%5B%22Disease%7CZellweger%20Syndrome%22%5D,%20%5B%22Pathway%7Canimal%20organ%20development%22%5D%5D?strength-weight-map=%257B%2522MEDLINE_STRENGTH_AB%2522:1.0,%2522HPO%2522:100.0%257D", "Show Evidence...")</f>
        <v>Show Evidence...</v>
      </c>
    </row>
    <row r="3586" spans="1:10" ht="15.75" customHeight="1">
      <c r="A3586" t="s">
        <v>4475</v>
      </c>
      <c r="B3586" t="s">
        <v>4476</v>
      </c>
      <c r="C3586" t="s">
        <v>24</v>
      </c>
      <c r="D3586" t="s">
        <v>4477</v>
      </c>
      <c r="E3586" t="s">
        <v>704</v>
      </c>
      <c r="F3586" s="2" t="s">
        <v>819</v>
      </c>
      <c r="G3586" t="s">
        <v>37</v>
      </c>
      <c r="H3586" t="s">
        <v>820</v>
      </c>
      <c r="I3586" t="s">
        <v>4502</v>
      </c>
      <c r="J3586" s="6" t="str">
        <f>HYPERLINK("https://www.biovista.com/db/link/%5B%5B%22Disease%7CZellweger%20Syndrome%22%5D,%20%5B%22Pathway%7Ccell%20adhesion%22%5D%5D?strength-weight-map=%257B%2522MEDLINE_STRENGTH_AB%2522:1.0,%2522HPO%2522:100.0%257D", "Show Evidence...")</f>
        <v>Show Evidence...</v>
      </c>
    </row>
    <row r="3587" spans="1:10" ht="15.75" customHeight="1">
      <c r="A3587" t="s">
        <v>4475</v>
      </c>
      <c r="B3587" t="s">
        <v>4476</v>
      </c>
      <c r="C3587" t="s">
        <v>24</v>
      </c>
      <c r="D3587" t="s">
        <v>4477</v>
      </c>
      <c r="E3587" t="s">
        <v>704</v>
      </c>
      <c r="F3587" s="2" t="s">
        <v>854</v>
      </c>
      <c r="G3587" t="s">
        <v>37</v>
      </c>
      <c r="H3587" t="s">
        <v>855</v>
      </c>
      <c r="I3587" t="s">
        <v>4502</v>
      </c>
      <c r="J3587" s="6" t="str">
        <f>HYPERLINK("https://www.biovista.com/db/link/%5B%5B%22Disease%7CZellweger%20Syndrome%22%5D,%20%5B%22Pathway%7Cfermentation%22%5D%5D?strength-weight-map=%257B%2522MEDLINE_STRENGTH_AB%2522:1.0,%2522HPO%2522:100.0%257D", "Show Evidence...")</f>
        <v>Show Evidence...</v>
      </c>
    </row>
    <row r="3588" spans="1:10" ht="15.75" customHeight="1">
      <c r="A3588" t="s">
        <v>4475</v>
      </c>
      <c r="B3588" t="s">
        <v>4476</v>
      </c>
      <c r="C3588" t="s">
        <v>24</v>
      </c>
      <c r="D3588" t="s">
        <v>4477</v>
      </c>
      <c r="E3588" t="s">
        <v>704</v>
      </c>
      <c r="F3588" s="2" t="s">
        <v>4181</v>
      </c>
      <c r="G3588" t="s">
        <v>37</v>
      </c>
      <c r="H3588" t="s">
        <v>4182</v>
      </c>
      <c r="I3588" t="s">
        <v>4502</v>
      </c>
      <c r="J3588" s="6" t="str">
        <f>HYPERLINK("https://www.biovista.com/db/link/%5B%5B%22Disease%7CZellweger%20Syndrome%22%5D,%20%5B%22Pathway%7Cmacroautophagy%22%5D%5D?strength-weight-map=%257B%2522MEDLINE_STRENGTH_AB%2522:1.0,%2522HPO%2522:100.0%257D", "Show Evidence...")</f>
        <v>Show Evidence...</v>
      </c>
    </row>
    <row r="3589" spans="1:10" ht="15.75" customHeight="1">
      <c r="A3589" t="s">
        <v>4475</v>
      </c>
      <c r="B3589" t="s">
        <v>4476</v>
      </c>
      <c r="C3589" t="s">
        <v>24</v>
      </c>
      <c r="D3589" t="s">
        <v>4477</v>
      </c>
      <c r="E3589" t="s">
        <v>704</v>
      </c>
      <c r="F3589" s="2" t="s">
        <v>2897</v>
      </c>
      <c r="G3589" t="s">
        <v>37</v>
      </c>
      <c r="H3589" t="s">
        <v>2898</v>
      </c>
      <c r="I3589" t="s">
        <v>4502</v>
      </c>
      <c r="J3589" s="6" t="str">
        <f>HYPERLINK("https://www.biovista.com/db/link/%5B%5B%22Disease%7CZellweger%20Syndrome%22%5D,%20%5B%22Pathway%7Cmastication%22%5D%5D?strength-weight-map=%257B%2522MEDLINE_STRENGTH_AB%2522:1.0,%2522HPO%2522:100.0%257D", "Show Evidence...")</f>
        <v>Show Evidence...</v>
      </c>
    </row>
    <row r="3590" spans="1:10" ht="15.75" customHeight="1">
      <c r="A3590" t="s">
        <v>4475</v>
      </c>
      <c r="B3590" t="s">
        <v>4476</v>
      </c>
      <c r="C3590" t="s">
        <v>24</v>
      </c>
      <c r="D3590" t="s">
        <v>4477</v>
      </c>
      <c r="E3590" t="s">
        <v>704</v>
      </c>
      <c r="F3590" s="2" t="s">
        <v>4873</v>
      </c>
      <c r="G3590" t="s">
        <v>37</v>
      </c>
      <c r="H3590" t="s">
        <v>4874</v>
      </c>
      <c r="I3590" t="s">
        <v>4502</v>
      </c>
      <c r="J3590" s="6" t="str">
        <f>HYPERLINK("https://www.biovista.com/db/link/%5B%5B%22Disease%7CZellweger%20Syndrome%22%5D,%20%5B%22Pathway%7Cmembrane%20biogenesis%22%5D%5D?strength-weight-map=%257B%2522MEDLINE_STRENGTH_AB%2522:1.0,%2522HPO%2522:100.0%257D", "Show Evidence...")</f>
        <v>Show Evidence...</v>
      </c>
    </row>
    <row r="3591" spans="1:10" ht="15.75" customHeight="1">
      <c r="A3591" t="s">
        <v>4475</v>
      </c>
      <c r="B3591" t="s">
        <v>4476</v>
      </c>
      <c r="C3591" t="s">
        <v>24</v>
      </c>
      <c r="D3591" t="s">
        <v>4477</v>
      </c>
      <c r="E3591" t="s">
        <v>704</v>
      </c>
      <c r="F3591" s="2" t="s">
        <v>764</v>
      </c>
      <c r="G3591" t="s">
        <v>37</v>
      </c>
      <c r="H3591" t="s">
        <v>765</v>
      </c>
      <c r="I3591" t="s">
        <v>4502</v>
      </c>
      <c r="J3591" s="6" t="str">
        <f>HYPERLINK("https://www.biovista.com/db/link/%5B%5B%22Disease%7CZellweger%20Syndrome%22%5D,%20%5B%22Pathway%7Cmethylation%22%5D%5D?strength-weight-map=%257B%2522MEDLINE_STRENGTH_AB%2522:1.0,%2522HPO%2522:100.0%257D", "Show Evidence...")</f>
        <v>Show Evidence...</v>
      </c>
    </row>
    <row r="3592" spans="1:10" ht="15.75" customHeight="1">
      <c r="A3592" t="s">
        <v>4475</v>
      </c>
      <c r="B3592" t="s">
        <v>4476</v>
      </c>
      <c r="C3592" t="s">
        <v>24</v>
      </c>
      <c r="D3592" t="s">
        <v>4477</v>
      </c>
      <c r="E3592" t="s">
        <v>704</v>
      </c>
      <c r="F3592" s="2" t="s">
        <v>4875</v>
      </c>
      <c r="G3592" t="s">
        <v>37</v>
      </c>
      <c r="H3592" t="s">
        <v>4876</v>
      </c>
      <c r="I3592" t="s">
        <v>4502</v>
      </c>
      <c r="J3592" s="6" t="str">
        <f>HYPERLINK("https://www.biovista.com/db/link/%5B%5B%22Disease%7CZellweger%20Syndrome%22%5D,%20%5B%22Pathway%7Corganelle%20assembly%22%5D%5D?strength-weight-map=%257B%2522MEDLINE_STRENGTH_AB%2522:1.0,%2522HPO%2522:100.0%257D", "Show Evidence...")</f>
        <v>Show Evidence...</v>
      </c>
    </row>
    <row r="3593" spans="1:10" ht="15.75" customHeight="1">
      <c r="A3593" t="s">
        <v>4475</v>
      </c>
      <c r="B3593" t="s">
        <v>4476</v>
      </c>
      <c r="C3593" t="s">
        <v>24</v>
      </c>
      <c r="D3593" t="s">
        <v>4477</v>
      </c>
      <c r="E3593" t="s">
        <v>704</v>
      </c>
      <c r="F3593" s="2" t="s">
        <v>2360</v>
      </c>
      <c r="G3593" t="s">
        <v>37</v>
      </c>
      <c r="H3593" t="s">
        <v>2361</v>
      </c>
      <c r="I3593" t="s">
        <v>4502</v>
      </c>
      <c r="J3593" s="6" t="str">
        <f>HYPERLINK("https://www.biovista.com/db/link/%5B%5B%22Disease%7CZellweger%20Syndrome%22%5D,%20%5B%22Pathway%7Cphagocytosis%22%5D%5D?strength-weight-map=%257B%2522MEDLINE_STRENGTH_AB%2522:1.0,%2522HPO%2522:100.0%257D", "Show Evidence...")</f>
        <v>Show Evidence...</v>
      </c>
    </row>
    <row r="3594" spans="1:10" ht="15.75" customHeight="1">
      <c r="A3594" t="s">
        <v>4475</v>
      </c>
      <c r="B3594" t="s">
        <v>4476</v>
      </c>
      <c r="C3594" t="s">
        <v>24</v>
      </c>
      <c r="D3594" t="s">
        <v>4477</v>
      </c>
      <c r="E3594" t="s">
        <v>704</v>
      </c>
      <c r="F3594" s="2" t="s">
        <v>4877</v>
      </c>
      <c r="G3594" t="s">
        <v>37</v>
      </c>
      <c r="H3594" t="s">
        <v>4878</v>
      </c>
      <c r="I3594" t="s">
        <v>4502</v>
      </c>
      <c r="J3594" s="6" t="str">
        <f>HYPERLINK("https://www.biovista.com/db/link/%5B%5B%22Disease%7CZellweger%20Syndrome%22%5D,%20%5B%22Pathway%7Cpolyterpenoid%20biosynthetic%20process%22%5D%5D?strength-weight-map=%257B%2522MEDLINE_STRENGTH_AB%2522:1.0,%2522HPO%2522:100.0%257D", "Show Evidence...")</f>
        <v>Show Evidence...</v>
      </c>
    </row>
    <row r="3595" spans="1:10" ht="15.75" customHeight="1">
      <c r="A3595" t="s">
        <v>4475</v>
      </c>
      <c r="B3595" t="s">
        <v>4476</v>
      </c>
      <c r="C3595" t="s">
        <v>24</v>
      </c>
      <c r="D3595" t="s">
        <v>4477</v>
      </c>
      <c r="E3595" t="s">
        <v>704</v>
      </c>
      <c r="F3595" s="2" t="s">
        <v>762</v>
      </c>
      <c r="G3595" t="s">
        <v>37</v>
      </c>
      <c r="H3595" t="s">
        <v>763</v>
      </c>
      <c r="I3595" t="s">
        <v>4502</v>
      </c>
      <c r="J3595" s="6" t="str">
        <f>HYPERLINK("https://www.biovista.com/db/link/%5B%5B%22Disease%7CZellweger%20Syndrome%22%5D,%20%5B%22Pathway%7Cwound%20healing%22%5D%5D?strength-weight-map=%257B%2522MEDLINE_STRENGTH_AB%2522:1.0,%2522HPO%2522:100.0%257D", "Show Evidence...")</f>
        <v>Show Evidence...</v>
      </c>
    </row>
    <row r="3596" spans="1:10" ht="15.75" customHeight="1">
      <c r="A3596" t="s">
        <v>4475</v>
      </c>
      <c r="B3596" t="s">
        <v>4476</v>
      </c>
      <c r="C3596" t="s">
        <v>24</v>
      </c>
      <c r="D3596" t="s">
        <v>4477</v>
      </c>
      <c r="E3596" t="s">
        <v>717</v>
      </c>
      <c r="F3596" s="2" t="s">
        <v>2310</v>
      </c>
      <c r="G3596" t="s">
        <v>37</v>
      </c>
      <c r="H3596" t="s">
        <v>2311</v>
      </c>
      <c r="I3596" t="s">
        <v>4509</v>
      </c>
      <c r="J3596" s="6" t="str">
        <f>HYPERLINK("https://www.biovista.com/db/link/%5B%5B%22Disease%7CZellweger%20Syndrome%22%5D,%20%5B%22Pathway%7CATP%20catabolic%20process%22%5D%5D?strength-weight-map=%257B%2522MEDLINE_STRENGTH_AB%2522:1.0,%2522HPO%2522:100.0%257D", "Show Evidence...")</f>
        <v>Show Evidence...</v>
      </c>
    </row>
    <row r="3597" spans="1:10" ht="15.75" customHeight="1">
      <c r="A3597" t="s">
        <v>4475</v>
      </c>
      <c r="B3597" t="s">
        <v>4476</v>
      </c>
      <c r="C3597" t="s">
        <v>24</v>
      </c>
      <c r="D3597" t="s">
        <v>4477</v>
      </c>
      <c r="E3597" t="s">
        <v>704</v>
      </c>
      <c r="F3597" s="2" t="s">
        <v>886</v>
      </c>
      <c r="G3597" t="s">
        <v>37</v>
      </c>
      <c r="H3597" t="s">
        <v>887</v>
      </c>
      <c r="I3597" t="s">
        <v>4509</v>
      </c>
      <c r="J3597" s="6" t="str">
        <f>HYPERLINK("https://www.biovista.com/db/link/%5B%5B%22Disease%7CZellweger%20Syndrome%22%5D,%20%5B%22Pathway%7Ccalcium-mediated%20signaling%22%5D%5D?strength-weight-map=%257B%2522MEDLINE_STRENGTH_AB%2522:1.0,%2522HPO%2522:100.0%257D", "Show Evidence...")</f>
        <v>Show Evidence...</v>
      </c>
    </row>
    <row r="3598" spans="1:10" ht="15.75" customHeight="1">
      <c r="A3598" t="s">
        <v>4475</v>
      </c>
      <c r="B3598" t="s">
        <v>4476</v>
      </c>
      <c r="C3598" t="s">
        <v>24</v>
      </c>
      <c r="D3598" t="s">
        <v>4477</v>
      </c>
      <c r="E3598" t="s">
        <v>704</v>
      </c>
      <c r="F3598" s="2" t="s">
        <v>708</v>
      </c>
      <c r="G3598" t="s">
        <v>37</v>
      </c>
      <c r="H3598" t="s">
        <v>709</v>
      </c>
      <c r="I3598" t="s">
        <v>4509</v>
      </c>
      <c r="J3598" s="6" t="str">
        <f>HYPERLINK("https://www.biovista.com/db/link/%5B%5B%22Disease%7CZellweger%20Syndrome%22%5D,%20%5B%22Pathway%7Cchemical%20synaptic%20transmission%22%5D%5D?strength-weight-map=%257B%2522MEDLINE_STRENGTH_AB%2522:1.0,%2522HPO%2522:100.0%257D", "Show Evidence...")</f>
        <v>Show Evidence...</v>
      </c>
    </row>
    <row r="3599" spans="1:10" ht="15.75" customHeight="1">
      <c r="A3599" t="s">
        <v>4475</v>
      </c>
      <c r="B3599" t="s">
        <v>4476</v>
      </c>
      <c r="C3599" t="s">
        <v>24</v>
      </c>
      <c r="D3599" t="s">
        <v>4477</v>
      </c>
      <c r="E3599" t="s">
        <v>704</v>
      </c>
      <c r="F3599" s="2" t="s">
        <v>4879</v>
      </c>
      <c r="G3599" t="s">
        <v>37</v>
      </c>
      <c r="H3599" t="s">
        <v>4880</v>
      </c>
      <c r="I3599" t="s">
        <v>4509</v>
      </c>
      <c r="J3599" s="6" t="str">
        <f>HYPERLINK("https://www.biovista.com/db/link/%5B%5B%22Disease%7CZellweger%20Syndrome%22%5D,%20%5B%22Pathway%7Ccholesterol%20metabolic%20process%22%5D%5D?strength-weight-map=%257B%2522MEDLINE_STRENGTH_AB%2522:1.0,%2522HPO%2522:100.0%257D", "Show Evidence...")</f>
        <v>Show Evidence...</v>
      </c>
    </row>
    <row r="3600" spans="1:10" ht="15.75" customHeight="1">
      <c r="A3600" t="s">
        <v>4475</v>
      </c>
      <c r="B3600" t="s">
        <v>4476</v>
      </c>
      <c r="C3600" t="s">
        <v>24</v>
      </c>
      <c r="D3600" t="s">
        <v>4477</v>
      </c>
      <c r="E3600" t="s">
        <v>704</v>
      </c>
      <c r="F3600" s="2" t="s">
        <v>888</v>
      </c>
      <c r="G3600" t="s">
        <v>37</v>
      </c>
      <c r="H3600" t="s">
        <v>889</v>
      </c>
      <c r="I3600" t="s">
        <v>4509</v>
      </c>
      <c r="J3600" s="6" t="str">
        <f>HYPERLINK("https://www.biovista.com/db/link/%5B%5B%22Disease%7CZellweger%20Syndrome%22%5D,%20%5B%22Pathway%7Ccoagulation%22%5D%5D?strength-weight-map=%257B%2522MEDLINE_STRENGTH_AB%2522:1.0,%2522HPO%2522:100.0%257D", "Show Evidence...")</f>
        <v>Show Evidence...</v>
      </c>
    </row>
    <row r="3601" spans="1:10" ht="15.75" customHeight="1">
      <c r="A3601" t="s">
        <v>4475</v>
      </c>
      <c r="B3601" t="s">
        <v>4476</v>
      </c>
      <c r="C3601" t="s">
        <v>24</v>
      </c>
      <c r="D3601" t="s">
        <v>4477</v>
      </c>
      <c r="E3601" t="s">
        <v>704</v>
      </c>
      <c r="F3601" s="2" t="s">
        <v>726</v>
      </c>
      <c r="G3601" t="s">
        <v>37</v>
      </c>
      <c r="H3601" t="s">
        <v>727</v>
      </c>
      <c r="I3601" t="s">
        <v>4509</v>
      </c>
      <c r="J3601" s="6" t="str">
        <f>HYPERLINK("https://www.biovista.com/db/link/%5B%5B%22Disease%7CZellweger%20Syndrome%22%5D,%20%5B%22Pathway%7Ccognition%22%5D%5D?strength-weight-map=%257B%2522MEDLINE_STRENGTH_AB%2522:1.0,%2522HPO%2522:100.0%257D", "Show Evidence...")</f>
        <v>Show Evidence...</v>
      </c>
    </row>
    <row r="3602" spans="1:10" ht="15.75" customHeight="1">
      <c r="A3602" t="s">
        <v>4475</v>
      </c>
      <c r="B3602" t="s">
        <v>4476</v>
      </c>
      <c r="C3602" t="s">
        <v>24</v>
      </c>
      <c r="D3602" t="s">
        <v>4477</v>
      </c>
      <c r="E3602" t="s">
        <v>704</v>
      </c>
      <c r="F3602" s="2" t="s">
        <v>4881</v>
      </c>
      <c r="G3602" t="s">
        <v>37</v>
      </c>
      <c r="H3602" t="s">
        <v>4882</v>
      </c>
      <c r="I3602" t="s">
        <v>4509</v>
      </c>
      <c r="J3602" s="6" t="str">
        <f>HYPERLINK("https://www.biovista.com/db/link/%5B%5B%22Disease%7CZellweger%20Syndrome%22%5D,%20%5B%22Pathway%7Cether%20lipid%20metabolic%20process%22%5D%5D?strength-weight-map=%257B%2522MEDLINE_STRENGTH_AB%2522:1.0,%2522HPO%2522:100.0%257D", "Show Evidence...")</f>
        <v>Show Evidence...</v>
      </c>
    </row>
    <row r="3603" spans="1:10" ht="15.75" customHeight="1">
      <c r="A3603" t="s">
        <v>4475</v>
      </c>
      <c r="B3603" t="s">
        <v>4476</v>
      </c>
      <c r="C3603" t="s">
        <v>24</v>
      </c>
      <c r="D3603" t="s">
        <v>4477</v>
      </c>
      <c r="E3603" t="s">
        <v>704</v>
      </c>
      <c r="F3603" s="2" t="s">
        <v>4883</v>
      </c>
      <c r="G3603" t="s">
        <v>37</v>
      </c>
      <c r="H3603" t="s">
        <v>4884</v>
      </c>
      <c r="I3603" t="s">
        <v>4509</v>
      </c>
      <c r="J3603" s="6" t="str">
        <f>HYPERLINK("https://www.biovista.com/db/link/%5B%5B%22Disease%7CZellweger%20Syndrome%22%5D,%20%5B%22Pathway%7Cfatty%20acid%20biosynthetic%20process%22%5D%5D?strength-weight-map=%257B%2522MEDLINE_STRENGTH_AB%2522:1.0,%2522HPO%2522:100.0%257D", "Show Evidence...")</f>
        <v>Show Evidence...</v>
      </c>
    </row>
    <row r="3604" spans="1:10" ht="15.75" customHeight="1">
      <c r="A3604" t="s">
        <v>4475</v>
      </c>
      <c r="B3604" t="s">
        <v>4476</v>
      </c>
      <c r="C3604" t="s">
        <v>24</v>
      </c>
      <c r="D3604" t="s">
        <v>4477</v>
      </c>
      <c r="E3604" t="s">
        <v>704</v>
      </c>
      <c r="F3604" s="2" t="s">
        <v>4885</v>
      </c>
      <c r="G3604" t="s">
        <v>37</v>
      </c>
      <c r="H3604" t="s">
        <v>4886</v>
      </c>
      <c r="I3604" t="s">
        <v>4509</v>
      </c>
      <c r="J3604" s="6" t="str">
        <f>HYPERLINK("https://www.biovista.com/db/link/%5B%5B%22Disease%7CZellweger%20Syndrome%22%5D,%20%5B%22Pathway%7CG2%20phase%22%5D%5D?strength-weight-map=%257B%2522MEDLINE_STRENGTH_AB%2522:1.0,%2522HPO%2522:100.0%257D", "Show Evidence...")</f>
        <v>Show Evidence...</v>
      </c>
    </row>
    <row r="3605" spans="1:10" ht="15.75" customHeight="1">
      <c r="A3605" t="s">
        <v>4475</v>
      </c>
      <c r="B3605" t="s">
        <v>4476</v>
      </c>
      <c r="C3605" t="s">
        <v>24</v>
      </c>
      <c r="D3605" t="s">
        <v>4477</v>
      </c>
      <c r="E3605" t="s">
        <v>704</v>
      </c>
      <c r="F3605" s="2" t="s">
        <v>4887</v>
      </c>
      <c r="G3605" t="s">
        <v>37</v>
      </c>
      <c r="H3605" t="s">
        <v>4888</v>
      </c>
      <c r="I3605" t="s">
        <v>4509</v>
      </c>
      <c r="J3605" s="6" t="str">
        <f>HYPERLINK("https://www.biovista.com/db/link/%5B%5B%22Disease%7CZellweger%20Syndrome%22%5D,%20%5B%22Pathway%7Cgliogenesis%22%5D%5D?strength-weight-map=%257B%2522MEDLINE_STRENGTH_AB%2522:1.0,%2522HPO%2522:100.0%257D", "Show Evidence...")</f>
        <v>Show Evidence...</v>
      </c>
    </row>
    <row r="3606" spans="1:10" ht="15.75" customHeight="1">
      <c r="A3606" t="s">
        <v>4475</v>
      </c>
      <c r="B3606" t="s">
        <v>4476</v>
      </c>
      <c r="C3606" t="s">
        <v>24</v>
      </c>
      <c r="D3606" t="s">
        <v>4477</v>
      </c>
      <c r="E3606" t="s">
        <v>704</v>
      </c>
      <c r="F3606" s="2" t="s">
        <v>823</v>
      </c>
      <c r="G3606" t="s">
        <v>37</v>
      </c>
      <c r="H3606" t="s">
        <v>824</v>
      </c>
      <c r="I3606" t="s">
        <v>4509</v>
      </c>
      <c r="J3606" s="6" t="str">
        <f>HYPERLINK("https://www.biovista.com/db/link/%5B%5B%22Disease%7CZellweger%20Syndrome%22%5D,%20%5B%22Pathway%7Cglycolytic%20process%22%5D%5D?strength-weight-map=%257B%2522MEDLINE_STRENGTH_AB%2522:1.0,%2522HPO%2522:100.0%257D", "Show Evidence...")</f>
        <v>Show Evidence...</v>
      </c>
    </row>
    <row r="3607" spans="1:10" ht="15.75" customHeight="1">
      <c r="A3607" t="s">
        <v>4475</v>
      </c>
      <c r="B3607" t="s">
        <v>4476</v>
      </c>
      <c r="C3607" t="s">
        <v>24</v>
      </c>
      <c r="D3607" t="s">
        <v>4477</v>
      </c>
      <c r="E3607" t="s">
        <v>704</v>
      </c>
      <c r="F3607" s="2" t="s">
        <v>777</v>
      </c>
      <c r="G3607" t="s">
        <v>37</v>
      </c>
      <c r="H3607" t="s">
        <v>778</v>
      </c>
      <c r="I3607" t="s">
        <v>4509</v>
      </c>
      <c r="J3607" s="6" t="str">
        <f>HYPERLINK("https://www.biovista.com/db/link/%5B%5B%22Disease%7CZellweger%20Syndrome%22%5D,%20%5B%22Pathway%7Cimmune%20response%22%5D%5D?strength-weight-map=%257B%2522MEDLINE_STRENGTH_AB%2522:1.0,%2522HPO%2522:100.0%257D", "Show Evidence...")</f>
        <v>Show Evidence...</v>
      </c>
    </row>
    <row r="3608" spans="1:10" ht="15.75" customHeight="1">
      <c r="A3608" t="s">
        <v>4475</v>
      </c>
      <c r="B3608" t="s">
        <v>4476</v>
      </c>
      <c r="C3608" t="s">
        <v>24</v>
      </c>
      <c r="D3608" t="s">
        <v>4477</v>
      </c>
      <c r="E3608" t="s">
        <v>704</v>
      </c>
      <c r="F3608" s="2" t="s">
        <v>4889</v>
      </c>
      <c r="G3608" t="s">
        <v>37</v>
      </c>
      <c r="H3608" t="s">
        <v>4890</v>
      </c>
      <c r="I3608" t="s">
        <v>4509</v>
      </c>
      <c r="J3608" s="6" t="str">
        <f>HYPERLINK("https://www.biovista.com/db/link/%5B%5B%22Disease%7CZellweger%20Syndrome%22%5D,%20%5B%22Pathway%7Cnegative%20regulation%20of%20cell%20growth%22%5D%5D?strength-weight-map=%257B%2522MEDLINE_STRENGTH_AB%2522:1.0,%2522HPO%2522:100.0%257D", "Show Evidence...")</f>
        <v>Show Evidence...</v>
      </c>
    </row>
    <row r="3609" spans="1:10" ht="15.75" customHeight="1">
      <c r="A3609" t="s">
        <v>4475</v>
      </c>
      <c r="B3609" t="s">
        <v>4476</v>
      </c>
      <c r="C3609" t="s">
        <v>24</v>
      </c>
      <c r="D3609" t="s">
        <v>4477</v>
      </c>
      <c r="E3609" t="s">
        <v>704</v>
      </c>
      <c r="F3609" s="2" t="s">
        <v>775</v>
      </c>
      <c r="G3609" t="s">
        <v>37</v>
      </c>
      <c r="H3609" t="s">
        <v>776</v>
      </c>
      <c r="I3609" t="s">
        <v>4509</v>
      </c>
      <c r="J3609" s="6" t="str">
        <f>HYPERLINK("https://www.biovista.com/db/link/%5B%5B%22Disease%7CZellweger%20Syndrome%22%5D,%20%5B%22Pathway%7Coxidative%20phosphorylation%22%5D%5D?strength-weight-map=%257B%2522MEDLINE_STRENGTH_AB%2522:1.0,%2522HPO%2522:100.0%257D", "Show Evidence...")</f>
        <v>Show Evidence...</v>
      </c>
    </row>
    <row r="3610" spans="1:10" ht="15.75" customHeight="1">
      <c r="A3610" t="s">
        <v>4475</v>
      </c>
      <c r="B3610" t="s">
        <v>4476</v>
      </c>
      <c r="C3610" t="s">
        <v>24</v>
      </c>
      <c r="D3610" t="s">
        <v>4477</v>
      </c>
      <c r="E3610" t="s">
        <v>704</v>
      </c>
      <c r="F3610" s="2" t="s">
        <v>4209</v>
      </c>
      <c r="G3610" t="s">
        <v>37</v>
      </c>
      <c r="H3610" t="s">
        <v>4210</v>
      </c>
      <c r="I3610" t="s">
        <v>4509</v>
      </c>
      <c r="J3610" s="6" t="str">
        <f>HYPERLINK("https://www.biovista.com/db/link/%5B%5B%22Disease%7CZellweger%20Syndrome%22%5D,%20%5B%22Pathway%7Cprotein%20phosphorylation%22%5D%5D?strength-weight-map=%257B%2522MEDLINE_STRENGTH_AB%2522:1.0,%2522HPO%2522:100.0%257D", "Show Evidence...")</f>
        <v>Show Evidence...</v>
      </c>
    </row>
    <row r="3611" spans="1:10" ht="15.75" customHeight="1">
      <c r="A3611" t="s">
        <v>4475</v>
      </c>
      <c r="B3611" t="s">
        <v>4476</v>
      </c>
      <c r="C3611" t="s">
        <v>24</v>
      </c>
      <c r="D3611" t="s">
        <v>4477</v>
      </c>
      <c r="E3611" t="s">
        <v>704</v>
      </c>
      <c r="F3611" s="2" t="s">
        <v>916</v>
      </c>
      <c r="G3611" t="s">
        <v>37</v>
      </c>
      <c r="H3611" t="s">
        <v>917</v>
      </c>
      <c r="I3611" t="s">
        <v>4509</v>
      </c>
      <c r="J3611" s="6" t="str">
        <f>HYPERLINK("https://www.biovista.com/db/link/%5B%5B%22Disease%7CZellweger%20Syndrome%22%5D,%20%5B%22Pathway%7Cproteolysis%22%5D%5D?strength-weight-map=%257B%2522MEDLINE_STRENGTH_AB%2522:1.0,%2522HPO%2522:100.0%257D", "Show Evidence...")</f>
        <v>Show Evidence...</v>
      </c>
    </row>
    <row r="3612" spans="1:10" ht="15.75" customHeight="1">
      <c r="A3612" t="s">
        <v>4475</v>
      </c>
      <c r="B3612" t="s">
        <v>4476</v>
      </c>
      <c r="C3612" t="s">
        <v>24</v>
      </c>
      <c r="D3612" t="s">
        <v>4477</v>
      </c>
      <c r="E3612" t="s">
        <v>704</v>
      </c>
      <c r="F3612" s="2" t="s">
        <v>811</v>
      </c>
      <c r="G3612" t="s">
        <v>37</v>
      </c>
      <c r="H3612" t="s">
        <v>812</v>
      </c>
      <c r="I3612" t="s">
        <v>4509</v>
      </c>
      <c r="J3612" s="6" t="str">
        <f>HYPERLINK("https://www.biovista.com/db/link/%5B%5B%22Disease%7CZellweger%20Syndrome%22%5D,%20%5B%22Pathway%7Ctricarboxylic%20acid%20cycle%22%5D%5D?strength-weight-map=%257B%2522MEDLINE_STRENGTH_AB%2522:1.0,%2522HPO%2522:100.0%257D", "Show Evidence...")</f>
        <v>Show Evidence...</v>
      </c>
    </row>
    <row r="3613" spans="1:10" ht="15.75" customHeight="1">
      <c r="A3613" t="s">
        <v>4475</v>
      </c>
      <c r="B3613" t="s">
        <v>4476</v>
      </c>
      <c r="C3613" t="s">
        <v>24</v>
      </c>
      <c r="D3613" t="s">
        <v>4477</v>
      </c>
      <c r="E3613" t="s">
        <v>717</v>
      </c>
      <c r="F3613" s="2" t="s">
        <v>4891</v>
      </c>
      <c r="G3613" t="s">
        <v>37</v>
      </c>
      <c r="H3613" t="s">
        <v>4892</v>
      </c>
      <c r="I3613" t="s">
        <v>4528</v>
      </c>
      <c r="J3613" s="6" t="str">
        <f>HYPERLINK("https://www.biovista.com/db/link/%5B%5B%22Disease%7CZellweger%20Syndrome%22%5D,%20%5B%22Pathway%7Cactivation%20of%20MAPK%20activity%22%5D%5D?strength-weight-map=%257B%2522MEDLINE_STRENGTH_AB%2522:1.0,%2522HPO%2522:100.0%257D", "Show Evidence...")</f>
        <v>Show Evidence...</v>
      </c>
    </row>
    <row r="3614" spans="1:10" ht="15.75" customHeight="1">
      <c r="A3614" t="s">
        <v>4475</v>
      </c>
      <c r="B3614" t="s">
        <v>4476</v>
      </c>
      <c r="C3614" t="s">
        <v>24</v>
      </c>
      <c r="D3614" t="s">
        <v>4477</v>
      </c>
      <c r="E3614" t="s">
        <v>704</v>
      </c>
      <c r="F3614" s="2" t="s">
        <v>1562</v>
      </c>
      <c r="G3614" t="s">
        <v>37</v>
      </c>
      <c r="H3614" t="s">
        <v>1563</v>
      </c>
      <c r="I3614" t="s">
        <v>4528</v>
      </c>
      <c r="J3614" s="6" t="str">
        <f>HYPERLINK("https://www.biovista.com/db/link/%5B%5B%22Disease%7CZellweger%20Syndrome%22%5D,%20%5B%22Pathway%7Ccell%20migration%22%5D%5D?strength-weight-map=%257B%2522MEDLINE_STRENGTH_AB%2522:1.0,%2522HPO%2522:100.0%257D", "Show Evidence...")</f>
        <v>Show Evidence...</v>
      </c>
    </row>
    <row r="3615" spans="1:10" ht="15.75" customHeight="1">
      <c r="A3615" t="s">
        <v>4475</v>
      </c>
      <c r="B3615" t="s">
        <v>4476</v>
      </c>
      <c r="C3615" t="s">
        <v>24</v>
      </c>
      <c r="D3615" t="s">
        <v>4477</v>
      </c>
      <c r="E3615" t="s">
        <v>704</v>
      </c>
      <c r="F3615" s="2" t="s">
        <v>2328</v>
      </c>
      <c r="G3615" t="s">
        <v>37</v>
      </c>
      <c r="H3615" t="s">
        <v>2329</v>
      </c>
      <c r="I3615" t="s">
        <v>4528</v>
      </c>
      <c r="J3615" s="6" t="str">
        <f>HYPERLINK("https://www.biovista.com/db/link/%5B%5B%22Disease%7CZellweger%20Syndrome%22%5D,%20%5B%22Pathway%7Ccellular%20homeostasis%22%5D%5D?strength-weight-map=%257B%2522MEDLINE_STRENGTH_AB%2522:1.0,%2522HPO%2522:100.0%257D", "Show Evidence...")</f>
        <v>Show Evidence...</v>
      </c>
    </row>
    <row r="3616" spans="1:10" ht="15.75" customHeight="1">
      <c r="A3616" t="s">
        <v>4475</v>
      </c>
      <c r="B3616" t="s">
        <v>4476</v>
      </c>
      <c r="C3616" t="s">
        <v>24</v>
      </c>
      <c r="D3616" t="s">
        <v>4477</v>
      </c>
      <c r="E3616" t="s">
        <v>704</v>
      </c>
      <c r="F3616" s="2" t="s">
        <v>4893</v>
      </c>
      <c r="G3616" t="s">
        <v>37</v>
      </c>
      <c r="H3616" t="s">
        <v>4894</v>
      </c>
      <c r="I3616" t="s">
        <v>4528</v>
      </c>
      <c r="J3616" s="6" t="str">
        <f>HYPERLINK("https://www.biovista.com/db/link/%5B%5B%22Disease%7CZellweger%20Syndrome%22%5D,%20%5B%22Pathway%7Cchlorophyll%20fluorescence%22%5D%5D?strength-weight-map=%257B%2522MEDLINE_STRENGTH_AB%2522:1.0,%2522HPO%2522:100.0%257D", "Show Evidence...")</f>
        <v>Show Evidence...</v>
      </c>
    </row>
    <row r="3617" spans="1:10" ht="15.75" customHeight="1">
      <c r="A3617" t="s">
        <v>4475</v>
      </c>
      <c r="B3617" t="s">
        <v>4476</v>
      </c>
      <c r="C3617" t="s">
        <v>24</v>
      </c>
      <c r="D3617" t="s">
        <v>4477</v>
      </c>
      <c r="E3617" t="s">
        <v>704</v>
      </c>
      <c r="F3617" s="2" t="s">
        <v>4895</v>
      </c>
      <c r="G3617" t="s">
        <v>37</v>
      </c>
      <c r="H3617" t="s">
        <v>4896</v>
      </c>
      <c r="I3617" t="s">
        <v>4528</v>
      </c>
      <c r="J3617" s="6" t="str">
        <f>HYPERLINK("https://www.biovista.com/db/link/%5B%5B%22Disease%7CZellweger%20Syndrome%22%5D,%20%5B%22Pathway%7Clipid%20storage%22%5D%5D?strength-weight-map=%257B%2522MEDLINE_STRENGTH_AB%2522:1.0,%2522HPO%2522:100.0%257D", "Show Evidence...")</f>
        <v>Show Evidence...</v>
      </c>
    </row>
    <row r="3618" spans="1:10" ht="15.75" customHeight="1">
      <c r="A3618" t="s">
        <v>4475</v>
      </c>
      <c r="B3618" t="s">
        <v>4476</v>
      </c>
      <c r="C3618" t="s">
        <v>24</v>
      </c>
      <c r="D3618" t="s">
        <v>4477</v>
      </c>
      <c r="E3618" t="s">
        <v>704</v>
      </c>
      <c r="F3618" s="2" t="s">
        <v>1480</v>
      </c>
      <c r="G3618" t="s">
        <v>37</v>
      </c>
      <c r="H3618" t="s">
        <v>1481</v>
      </c>
      <c r="I3618" t="s">
        <v>4528</v>
      </c>
      <c r="J3618" s="6" t="str">
        <f>HYPERLINK("https://www.biovista.com/db/link/%5B%5B%22Disease%7CZellweger%20Syndrome%22%5D,%20%5B%22Pathway%7Clysine%20catabolic%20process%22%5D%5D?strength-weight-map=%257B%2522MEDLINE_STRENGTH_AB%2522:1.0,%2522HPO%2522:100.0%257D", "Show Evidence...")</f>
        <v>Show Evidence...</v>
      </c>
    </row>
    <row r="3619" spans="1:10" ht="15.75" customHeight="1">
      <c r="A3619" t="s">
        <v>4475</v>
      </c>
      <c r="B3619" t="s">
        <v>4476</v>
      </c>
      <c r="C3619" t="s">
        <v>24</v>
      </c>
      <c r="D3619" t="s">
        <v>4477</v>
      </c>
      <c r="E3619" t="s">
        <v>704</v>
      </c>
      <c r="F3619" s="2" t="s">
        <v>2901</v>
      </c>
      <c r="G3619" t="s">
        <v>37</v>
      </c>
      <c r="H3619" t="s">
        <v>2902</v>
      </c>
      <c r="I3619" t="s">
        <v>4528</v>
      </c>
      <c r="J3619" s="6" t="str">
        <f>HYPERLINK("https://www.biovista.com/db/link/%5B%5B%22Disease%7CZellweger%20Syndrome%22%5D,%20%5B%22Pathway%7Cmitotic%20nuclear%20division%22%5D%5D?strength-weight-map=%257B%2522MEDLINE_STRENGTH_AB%2522:1.0,%2522HPO%2522:100.0%257D", "Show Evidence...")</f>
        <v>Show Evidence...</v>
      </c>
    </row>
    <row r="3620" spans="1:10" ht="15.75" customHeight="1">
      <c r="A3620" t="s">
        <v>4475</v>
      </c>
      <c r="B3620" t="s">
        <v>4476</v>
      </c>
      <c r="C3620" t="s">
        <v>24</v>
      </c>
      <c r="D3620" t="s">
        <v>4477</v>
      </c>
      <c r="E3620" t="s">
        <v>704</v>
      </c>
      <c r="F3620" s="2" t="s">
        <v>4897</v>
      </c>
      <c r="G3620" t="s">
        <v>37</v>
      </c>
      <c r="H3620" t="s">
        <v>4898</v>
      </c>
      <c r="I3620" t="s">
        <v>4528</v>
      </c>
      <c r="J3620" s="6" t="str">
        <f>HYPERLINK("https://www.biovista.com/db/link/%5B%5B%22Disease%7CZellweger%20Syndrome%22%5D,%20%5B%22Pathway%7Cperoxisome%20membrane%20biogenesis%22%5D%5D?strength-weight-map=%257B%2522MEDLINE_STRENGTH_AB%2522:1.0,%2522HPO%2522:100.0%257D", "Show Evidence...")</f>
        <v>Show Evidence...</v>
      </c>
    </row>
    <row r="3621" spans="1:10" ht="15.75" customHeight="1">
      <c r="A3621" t="s">
        <v>4475</v>
      </c>
      <c r="B3621" t="s">
        <v>4476</v>
      </c>
      <c r="C3621" t="s">
        <v>24</v>
      </c>
      <c r="D3621" t="s">
        <v>4477</v>
      </c>
      <c r="E3621" t="s">
        <v>704</v>
      </c>
      <c r="F3621" s="2" t="s">
        <v>4899</v>
      </c>
      <c r="G3621" t="s">
        <v>37</v>
      </c>
      <c r="H3621" t="s">
        <v>4900</v>
      </c>
      <c r="I3621" t="s">
        <v>4528</v>
      </c>
      <c r="J3621" s="6" t="str">
        <f>HYPERLINK("https://www.biovista.com/db/link/%5B%5B%22Disease%7CZellweger%20Syndrome%22%5D,%20%5B%22Pathway%7Cprotein%20import%20into%20peroxisome%20matrix%22%5D%5D?strength-weight-map=%257B%2522MEDLINE_STRENGTH_AB%2522:1.0,%2522HPO%2522:100.0%257D", "Show Evidence...")</f>
        <v>Show Evidence...</v>
      </c>
    </row>
    <row r="3622" spans="1:10" ht="15.75" customHeight="1">
      <c r="A3622" t="s">
        <v>4475</v>
      </c>
      <c r="B3622" t="s">
        <v>4476</v>
      </c>
      <c r="C3622" t="s">
        <v>24</v>
      </c>
      <c r="D3622" t="s">
        <v>4477</v>
      </c>
      <c r="E3622" t="s">
        <v>704</v>
      </c>
      <c r="F3622" s="2" t="s">
        <v>862</v>
      </c>
      <c r="G3622" t="s">
        <v>37</v>
      </c>
      <c r="H3622" t="s">
        <v>863</v>
      </c>
      <c r="I3622" t="s">
        <v>4528</v>
      </c>
      <c r="J3622" s="6" t="str">
        <f>HYPERLINK("https://www.biovista.com/db/link/%5B%5B%22Disease%7CZellweger%20Syndrome%22%5D,%20%5B%22Pathway%7Creflex%22%5D%5D?strength-weight-map=%257B%2522MEDLINE_STRENGTH_AB%2522:1.0,%2522HPO%2522:100.0%257D", "Show Evidence...")</f>
        <v>Show Evidence...</v>
      </c>
    </row>
    <row r="3623" spans="1:10" ht="15.75" customHeight="1">
      <c r="A3623" t="s">
        <v>4475</v>
      </c>
      <c r="B3623" t="s">
        <v>4476</v>
      </c>
      <c r="C3623" t="s">
        <v>24</v>
      </c>
      <c r="D3623" t="s">
        <v>4477</v>
      </c>
      <c r="E3623" t="s">
        <v>704</v>
      </c>
      <c r="F3623" s="2" t="s">
        <v>4901</v>
      </c>
      <c r="G3623" t="s">
        <v>37</v>
      </c>
      <c r="H3623" t="s">
        <v>4902</v>
      </c>
      <c r="I3623" t="s">
        <v>4528</v>
      </c>
      <c r="J3623" s="6" t="str">
        <f>HYPERLINK("https://www.biovista.com/db/link/%5B%5B%22Disease%7CZellweger%20Syndrome%22%5D,%20%5B%22Pathway%7Cresponse%20to%20bile%20acid%22%5D%5D?strength-weight-map=%257B%2522MEDLINE_STRENGTH_AB%2522:1.0,%2522HPO%2522:100.0%257D", "Show Evidence...")</f>
        <v>Show Evidence...</v>
      </c>
    </row>
    <row r="3624" spans="1:10" ht="15.75" customHeight="1">
      <c r="A3624" t="s">
        <v>4475</v>
      </c>
      <c r="B3624" t="s">
        <v>4476</v>
      </c>
      <c r="C3624" t="s">
        <v>24</v>
      </c>
      <c r="D3624" t="s">
        <v>4477</v>
      </c>
      <c r="E3624" t="s">
        <v>704</v>
      </c>
      <c r="F3624" s="2" t="s">
        <v>2366</v>
      </c>
      <c r="G3624" t="s">
        <v>37</v>
      </c>
      <c r="H3624" t="s">
        <v>2367</v>
      </c>
      <c r="I3624" t="s">
        <v>4528</v>
      </c>
      <c r="J3624" s="6" t="s">
        <v>4903</v>
      </c>
    </row>
    <row r="3625" spans="1:10" ht="15.75" customHeight="1">
      <c r="A3625" t="s">
        <v>4475</v>
      </c>
      <c r="B3625" t="s">
        <v>4476</v>
      </c>
      <c r="C3625" t="s">
        <v>24</v>
      </c>
      <c r="D3625" t="s">
        <v>4477</v>
      </c>
      <c r="E3625" t="s">
        <v>704</v>
      </c>
      <c r="F3625" s="2" t="s">
        <v>1518</v>
      </c>
      <c r="G3625" t="s">
        <v>37</v>
      </c>
      <c r="H3625" t="s">
        <v>1519</v>
      </c>
      <c r="I3625" t="s">
        <v>4528</v>
      </c>
      <c r="J3625" s="6" t="str">
        <f>HYPERLINK("https://www.biovista.com/db/link/%5B%5B%22Disease%7CZellweger%20Syndrome%22%5D,%20%5B%22Pathway%7Curea%20cycle%22%5D%5D?strength-weight-map=%257B%2522MEDLINE_STRENGTH_AB%2522:1.0,%2522HPO%2522:100.0%257D", "Show Evidence...")</f>
        <v>Show Evidence...</v>
      </c>
    </row>
    <row r="3626" spans="1:10" ht="15.75" customHeight="1">
      <c r="A3626" t="s">
        <v>4475</v>
      </c>
      <c r="B3626" t="s">
        <v>4476</v>
      </c>
      <c r="C3626" t="s">
        <v>24</v>
      </c>
      <c r="D3626" t="s">
        <v>4477</v>
      </c>
      <c r="E3626" t="s">
        <v>704</v>
      </c>
      <c r="F3626" s="2" t="s">
        <v>4904</v>
      </c>
      <c r="G3626" t="s">
        <v>37</v>
      </c>
      <c r="H3626" t="s">
        <v>4905</v>
      </c>
      <c r="I3626" t="s">
        <v>4528</v>
      </c>
      <c r="J3626" s="6" t="str">
        <f>HYPERLINK("https://www.biovista.com/db/link/%5B%5B%22Disease%7CZellweger%20Syndrome%22%5D,%20%5B%22Pathway%7Czinc%20ion%20import%20across%20plasma%20membrane%22%5D%5D?strength-weight-map=%257B%2522MEDLINE_STRENGTH_AB%2522:1.0,%2522HPO%2522:100.0%257D", "Show Evidence...")</f>
        <v>Show Evidence...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348"/>
  <sheetViews>
    <sheetView workbookViewId="0">
      <pane ySplit="1" topLeftCell="A27" activePane="bottomLeft" state="frozen"/>
      <selection pane="bottomLeft" activeCell="C13" sqref="C13"/>
    </sheetView>
  </sheetViews>
  <sheetFormatPr defaultColWidth="12.5703125" defaultRowHeight="15.75" customHeight="1"/>
  <cols>
    <col min="1" max="1" width="86.7109375" bestFit="1" customWidth="1"/>
    <col min="2" max="2" width="16.7109375" bestFit="1" customWidth="1"/>
    <col min="3" max="3" width="12.42578125" bestFit="1" customWidth="1"/>
  </cols>
  <sheetData>
    <row r="1" spans="1:3">
      <c r="A1" s="5" t="s">
        <v>4906</v>
      </c>
      <c r="B1" s="5" t="s">
        <v>4907</v>
      </c>
      <c r="C1" s="5" t="s">
        <v>4908</v>
      </c>
    </row>
    <row r="2" spans="1:3">
      <c r="A2" s="2" t="s">
        <v>4477</v>
      </c>
      <c r="B2" s="2" t="s">
        <v>24</v>
      </c>
      <c r="C2" s="2">
        <v>400</v>
      </c>
    </row>
    <row r="3" spans="1:3">
      <c r="A3" s="2" t="s">
        <v>2376</v>
      </c>
      <c r="B3" s="2" t="s">
        <v>24</v>
      </c>
      <c r="C3" s="2">
        <v>400</v>
      </c>
    </row>
    <row r="4" spans="1:3">
      <c r="A4" s="2" t="s">
        <v>921</v>
      </c>
      <c r="B4" s="2" t="s">
        <v>24</v>
      </c>
      <c r="C4" s="2">
        <v>400</v>
      </c>
    </row>
    <row r="5" spans="1:3">
      <c r="A5" s="2" t="s">
        <v>52</v>
      </c>
      <c r="B5" s="2" t="s">
        <v>24</v>
      </c>
      <c r="C5" s="2">
        <v>400</v>
      </c>
    </row>
    <row r="6" spans="1:3">
      <c r="A6" s="2" t="s">
        <v>1827</v>
      </c>
      <c r="B6" s="2" t="s">
        <v>24</v>
      </c>
      <c r="C6" s="2">
        <v>400</v>
      </c>
    </row>
    <row r="7" spans="1:3">
      <c r="A7" s="2" t="s">
        <v>3787</v>
      </c>
      <c r="B7" s="2" t="s">
        <v>24</v>
      </c>
      <c r="C7" s="2">
        <v>400</v>
      </c>
    </row>
    <row r="8" spans="1:3">
      <c r="A8" s="2" t="s">
        <v>2962</v>
      </c>
      <c r="B8" s="2" t="s">
        <v>24</v>
      </c>
      <c r="C8" s="2">
        <v>348</v>
      </c>
    </row>
    <row r="9" spans="1:3">
      <c r="A9" s="2" t="s">
        <v>3405</v>
      </c>
      <c r="B9" s="2" t="s">
        <v>24</v>
      </c>
      <c r="C9" s="2">
        <v>343</v>
      </c>
    </row>
    <row r="10" spans="1:3">
      <c r="A10" s="2" t="s">
        <v>4217</v>
      </c>
      <c r="B10" s="2" t="s">
        <v>24</v>
      </c>
      <c r="C10" s="2">
        <v>326</v>
      </c>
    </row>
    <row r="11" spans="1:3">
      <c r="A11" s="2" t="s">
        <v>1579</v>
      </c>
      <c r="B11" s="2" t="s">
        <v>24</v>
      </c>
      <c r="C11" s="2">
        <v>208</v>
      </c>
    </row>
    <row r="12" spans="1:3">
      <c r="A12" s="2" t="s">
        <v>139</v>
      </c>
      <c r="B12" s="2" t="s">
        <v>39</v>
      </c>
      <c r="C12" s="2">
        <v>1868</v>
      </c>
    </row>
    <row r="13" spans="1:3">
      <c r="A13" s="2" t="s">
        <v>109</v>
      </c>
      <c r="B13" s="2" t="s">
        <v>39</v>
      </c>
      <c r="C13" s="2">
        <v>1774</v>
      </c>
    </row>
    <row r="14" spans="1:3">
      <c r="A14" s="2" t="s">
        <v>153</v>
      </c>
      <c r="B14" s="2" t="s">
        <v>39</v>
      </c>
      <c r="C14" s="2">
        <v>1763</v>
      </c>
    </row>
    <row r="15" spans="1:3">
      <c r="A15" s="2" t="s">
        <v>82</v>
      </c>
      <c r="B15" s="2" t="s">
        <v>39</v>
      </c>
      <c r="C15" s="2">
        <v>1742</v>
      </c>
    </row>
    <row r="16" spans="1:3">
      <c r="A16" s="2" t="s">
        <v>73</v>
      </c>
      <c r="B16" s="2" t="s">
        <v>39</v>
      </c>
      <c r="C16" s="2">
        <v>1733</v>
      </c>
    </row>
    <row r="17" spans="1:3">
      <c r="A17" s="2" t="s">
        <v>91</v>
      </c>
      <c r="B17" s="2" t="s">
        <v>39</v>
      </c>
      <c r="C17" s="2">
        <v>1731</v>
      </c>
    </row>
    <row r="18" spans="1:3">
      <c r="A18" s="2" t="s">
        <v>118</v>
      </c>
      <c r="B18" s="2" t="s">
        <v>39</v>
      </c>
      <c r="C18" s="2">
        <v>1709</v>
      </c>
    </row>
    <row r="19" spans="1:3">
      <c r="A19" s="2" t="s">
        <v>129</v>
      </c>
      <c r="B19" s="2" t="s">
        <v>39</v>
      </c>
      <c r="C19" s="2">
        <v>1674</v>
      </c>
    </row>
    <row r="20" spans="1:3">
      <c r="A20" s="2" t="s">
        <v>100</v>
      </c>
      <c r="B20" s="2" t="s">
        <v>39</v>
      </c>
      <c r="C20" s="2">
        <v>1671</v>
      </c>
    </row>
    <row r="21" spans="1:3">
      <c r="A21" s="2" t="s">
        <v>126</v>
      </c>
      <c r="B21" s="2" t="s">
        <v>39</v>
      </c>
      <c r="C21" s="2">
        <v>1614</v>
      </c>
    </row>
    <row r="22" spans="1:3">
      <c r="A22" s="2" t="s">
        <v>161</v>
      </c>
      <c r="B22" s="2" t="s">
        <v>39</v>
      </c>
      <c r="C22" s="2">
        <v>1613</v>
      </c>
    </row>
    <row r="23" spans="1:3">
      <c r="A23" s="2" t="s">
        <v>97</v>
      </c>
      <c r="B23" s="2" t="s">
        <v>39</v>
      </c>
      <c r="C23" s="2">
        <v>1599</v>
      </c>
    </row>
    <row r="24" spans="1:3">
      <c r="A24" s="2" t="s">
        <v>172</v>
      </c>
      <c r="B24" s="2" t="s">
        <v>39</v>
      </c>
      <c r="C24" s="2">
        <v>1598</v>
      </c>
    </row>
    <row r="25" spans="1:3">
      <c r="A25" s="2" t="s">
        <v>185</v>
      </c>
      <c r="B25" s="2" t="s">
        <v>39</v>
      </c>
      <c r="C25" s="2">
        <v>1591</v>
      </c>
    </row>
    <row r="26" spans="1:3">
      <c r="A26" s="2" t="s">
        <v>1008</v>
      </c>
      <c r="B26" s="2" t="s">
        <v>39</v>
      </c>
      <c r="C26" s="2">
        <v>1580</v>
      </c>
    </row>
    <row r="27" spans="1:3">
      <c r="A27" s="2" t="s">
        <v>156</v>
      </c>
      <c r="B27" s="2" t="s">
        <v>39</v>
      </c>
      <c r="C27" s="2">
        <v>1580</v>
      </c>
    </row>
    <row r="28" spans="1:3">
      <c r="A28" s="2" t="s">
        <v>1600</v>
      </c>
      <c r="B28" s="2" t="s">
        <v>39</v>
      </c>
      <c r="C28" s="2">
        <v>1562</v>
      </c>
    </row>
    <row r="29" spans="1:3">
      <c r="A29" s="2" t="s">
        <v>61</v>
      </c>
      <c r="B29" s="2" t="s">
        <v>39</v>
      </c>
      <c r="C29" s="2">
        <v>1552</v>
      </c>
    </row>
    <row r="30" spans="1:3">
      <c r="A30" s="2" t="s">
        <v>111</v>
      </c>
      <c r="B30" s="2" t="s">
        <v>39</v>
      </c>
      <c r="C30" s="2">
        <v>1538</v>
      </c>
    </row>
    <row r="31" spans="1:3">
      <c r="A31" s="2" t="s">
        <v>4562</v>
      </c>
      <c r="B31" s="2" t="s">
        <v>39</v>
      </c>
      <c r="C31" s="2">
        <v>1527</v>
      </c>
    </row>
    <row r="32" spans="1:3">
      <c r="A32" s="2" t="s">
        <v>1920</v>
      </c>
      <c r="B32" s="2" t="s">
        <v>39</v>
      </c>
      <c r="C32" s="2">
        <v>1507</v>
      </c>
    </row>
    <row r="33" spans="1:3">
      <c r="A33" s="2" t="s">
        <v>279</v>
      </c>
      <c r="B33" s="2" t="s">
        <v>39</v>
      </c>
      <c r="C33" s="2">
        <v>1505</v>
      </c>
    </row>
    <row r="34" spans="1:3">
      <c r="A34" s="2" t="s">
        <v>283</v>
      </c>
      <c r="B34" s="2" t="s">
        <v>39</v>
      </c>
      <c r="C34" s="2">
        <v>1504</v>
      </c>
    </row>
    <row r="35" spans="1:3">
      <c r="A35" s="2" t="s">
        <v>1883</v>
      </c>
      <c r="B35" s="2" t="s">
        <v>39</v>
      </c>
      <c r="C35" s="2">
        <v>1503</v>
      </c>
    </row>
    <row r="36" spans="1:3">
      <c r="A36" s="2" t="s">
        <v>179</v>
      </c>
      <c r="B36" s="2" t="s">
        <v>39</v>
      </c>
      <c r="C36" s="2">
        <v>1488</v>
      </c>
    </row>
    <row r="37" spans="1:3">
      <c r="A37" s="2" t="s">
        <v>923</v>
      </c>
      <c r="B37" s="2" t="s">
        <v>39</v>
      </c>
      <c r="C37" s="2">
        <v>1488</v>
      </c>
    </row>
    <row r="38" spans="1:3">
      <c r="A38" s="2" t="s">
        <v>192</v>
      </c>
      <c r="B38" s="2" t="s">
        <v>39</v>
      </c>
      <c r="C38" s="2">
        <v>1486</v>
      </c>
    </row>
    <row r="39" spans="1:3">
      <c r="A39" s="2" t="s">
        <v>204</v>
      </c>
      <c r="B39" s="2" t="s">
        <v>39</v>
      </c>
      <c r="C39" s="2">
        <v>1479</v>
      </c>
    </row>
    <row r="40" spans="1:3">
      <c r="A40" s="2" t="s">
        <v>264</v>
      </c>
      <c r="B40" s="2" t="s">
        <v>39</v>
      </c>
      <c r="C40" s="2">
        <v>1475</v>
      </c>
    </row>
    <row r="41" spans="1:3">
      <c r="A41" s="2" t="s">
        <v>1900</v>
      </c>
      <c r="B41" s="2" t="s">
        <v>39</v>
      </c>
      <c r="C41" s="2">
        <v>1468</v>
      </c>
    </row>
    <row r="42" spans="1:3">
      <c r="A42" s="2" t="s">
        <v>262</v>
      </c>
      <c r="B42" s="2" t="s">
        <v>39</v>
      </c>
      <c r="C42" s="2">
        <v>1466</v>
      </c>
    </row>
    <row r="43" spans="1:3">
      <c r="A43" s="2" t="s">
        <v>250</v>
      </c>
      <c r="B43" s="2" t="s">
        <v>39</v>
      </c>
      <c r="C43" s="2">
        <v>1463</v>
      </c>
    </row>
    <row r="44" spans="1:3">
      <c r="A44" s="2" t="s">
        <v>199</v>
      </c>
      <c r="B44" s="2" t="s">
        <v>39</v>
      </c>
      <c r="C44" s="2">
        <v>1462</v>
      </c>
    </row>
    <row r="45" spans="1:3">
      <c r="A45" s="2" t="s">
        <v>1887</v>
      </c>
      <c r="B45" s="2" t="s">
        <v>39</v>
      </c>
      <c r="C45" s="2">
        <v>1459</v>
      </c>
    </row>
    <row r="46" spans="1:3">
      <c r="A46" s="2" t="s">
        <v>188</v>
      </c>
      <c r="B46" s="2" t="s">
        <v>39</v>
      </c>
      <c r="C46" s="2">
        <v>1456</v>
      </c>
    </row>
    <row r="47" spans="1:3">
      <c r="A47" s="2" t="s">
        <v>965</v>
      </c>
      <c r="B47" s="2" t="s">
        <v>39</v>
      </c>
      <c r="C47" s="2">
        <v>1454</v>
      </c>
    </row>
    <row r="48" spans="1:3">
      <c r="A48" s="2" t="s">
        <v>1096</v>
      </c>
      <c r="B48" s="2" t="s">
        <v>39</v>
      </c>
      <c r="C48" s="2">
        <v>1453</v>
      </c>
    </row>
    <row r="49" spans="1:3">
      <c r="A49" s="2" t="s">
        <v>1878</v>
      </c>
      <c r="B49" s="2" t="s">
        <v>39</v>
      </c>
      <c r="C49" s="2">
        <v>1449</v>
      </c>
    </row>
    <row r="50" spans="1:3">
      <c r="A50" s="2" t="s">
        <v>2473</v>
      </c>
      <c r="B50" s="2" t="s">
        <v>39</v>
      </c>
      <c r="C50" s="2">
        <v>1446</v>
      </c>
    </row>
    <row r="51" spans="1:3">
      <c r="A51" s="2" t="s">
        <v>1035</v>
      </c>
      <c r="B51" s="2" t="s">
        <v>39</v>
      </c>
      <c r="C51" s="2">
        <v>1438</v>
      </c>
    </row>
    <row r="52" spans="1:3">
      <c r="A52" s="2" t="s">
        <v>3475</v>
      </c>
      <c r="B52" s="2" t="s">
        <v>39</v>
      </c>
      <c r="C52" s="2">
        <v>1436</v>
      </c>
    </row>
    <row r="53" spans="1:3">
      <c r="A53" s="2" t="s">
        <v>1621</v>
      </c>
      <c r="B53" s="2" t="s">
        <v>39</v>
      </c>
      <c r="C53" s="2">
        <v>1435</v>
      </c>
    </row>
    <row r="54" spans="1:3">
      <c r="A54" s="2" t="s">
        <v>229</v>
      </c>
      <c r="B54" s="2" t="s">
        <v>39</v>
      </c>
      <c r="C54" s="2">
        <v>1427</v>
      </c>
    </row>
    <row r="55" spans="1:3">
      <c r="A55" s="2" t="s">
        <v>1912</v>
      </c>
      <c r="B55" s="2" t="s">
        <v>39</v>
      </c>
      <c r="C55" s="2">
        <v>1417</v>
      </c>
    </row>
    <row r="56" spans="1:3">
      <c r="A56" s="2" t="s">
        <v>292</v>
      </c>
      <c r="B56" s="2" t="s">
        <v>39</v>
      </c>
      <c r="C56" s="2">
        <v>1416</v>
      </c>
    </row>
    <row r="57" spans="1:3">
      <c r="A57" s="2" t="s">
        <v>942</v>
      </c>
      <c r="B57" s="2" t="s">
        <v>39</v>
      </c>
      <c r="C57" s="2">
        <v>1403</v>
      </c>
    </row>
    <row r="58" spans="1:3">
      <c r="A58" s="2" t="s">
        <v>4515</v>
      </c>
      <c r="B58" s="2" t="s">
        <v>39</v>
      </c>
      <c r="C58" s="2">
        <v>1397</v>
      </c>
    </row>
    <row r="59" spans="1:3">
      <c r="A59" s="2" t="s">
        <v>2991</v>
      </c>
      <c r="B59" s="2" t="s">
        <v>39</v>
      </c>
      <c r="C59" s="2">
        <v>1396</v>
      </c>
    </row>
    <row r="60" spans="1:3">
      <c r="A60" s="2" t="s">
        <v>167</v>
      </c>
      <c r="B60" s="2" t="s">
        <v>39</v>
      </c>
      <c r="C60" s="2">
        <v>1395</v>
      </c>
    </row>
    <row r="61" spans="1:3">
      <c r="A61" s="2" t="s">
        <v>1930</v>
      </c>
      <c r="B61" s="2" t="s">
        <v>39</v>
      </c>
      <c r="C61" s="2">
        <v>1392</v>
      </c>
    </row>
    <row r="62" spans="1:3">
      <c r="A62" s="2" t="s">
        <v>2494</v>
      </c>
      <c r="B62" s="2" t="s">
        <v>39</v>
      </c>
      <c r="C62" s="2">
        <v>1385</v>
      </c>
    </row>
    <row r="63" spans="1:3">
      <c r="A63" s="2" t="s">
        <v>971</v>
      </c>
      <c r="B63" s="2" t="s">
        <v>39</v>
      </c>
      <c r="C63" s="2">
        <v>1385</v>
      </c>
    </row>
    <row r="64" spans="1:3">
      <c r="A64" s="2" t="s">
        <v>945</v>
      </c>
      <c r="B64" s="2" t="s">
        <v>39</v>
      </c>
      <c r="C64" s="2">
        <v>1384</v>
      </c>
    </row>
    <row r="65" spans="1:3">
      <c r="A65" s="2" t="s">
        <v>1876</v>
      </c>
      <c r="B65" s="2" t="s">
        <v>39</v>
      </c>
      <c r="C65" s="2">
        <v>1383</v>
      </c>
    </row>
    <row r="66" spans="1:3">
      <c r="A66" s="2" t="s">
        <v>2468</v>
      </c>
      <c r="B66" s="2" t="s">
        <v>39</v>
      </c>
      <c r="C66" s="2">
        <v>1379</v>
      </c>
    </row>
    <row r="67" spans="1:3">
      <c r="A67" s="2" t="s">
        <v>1059</v>
      </c>
      <c r="B67" s="2" t="s">
        <v>39</v>
      </c>
      <c r="C67" s="2">
        <v>1378</v>
      </c>
    </row>
    <row r="68" spans="1:3">
      <c r="A68" s="2" t="s">
        <v>1902</v>
      </c>
      <c r="B68" s="2" t="s">
        <v>39</v>
      </c>
      <c r="C68" s="2">
        <v>1374</v>
      </c>
    </row>
    <row r="69" spans="1:3">
      <c r="A69" s="2" t="s">
        <v>2411</v>
      </c>
      <c r="B69" s="2" t="s">
        <v>39</v>
      </c>
      <c r="C69" s="2">
        <v>1372</v>
      </c>
    </row>
    <row r="70" spans="1:3">
      <c r="A70" s="2" t="s">
        <v>1934</v>
      </c>
      <c r="B70" s="2" t="s">
        <v>39</v>
      </c>
      <c r="C70" s="2">
        <v>1371</v>
      </c>
    </row>
    <row r="71" spans="1:3">
      <c r="A71" s="2" t="s">
        <v>2462</v>
      </c>
      <c r="B71" s="2" t="s">
        <v>39</v>
      </c>
      <c r="C71" s="2">
        <v>1359</v>
      </c>
    </row>
    <row r="72" spans="1:3">
      <c r="A72" s="2" t="s">
        <v>1908</v>
      </c>
      <c r="B72" s="2" t="s">
        <v>39</v>
      </c>
      <c r="C72" s="2">
        <v>1358</v>
      </c>
    </row>
    <row r="73" spans="1:3">
      <c r="A73" s="2" t="s">
        <v>3844</v>
      </c>
      <c r="B73" s="2" t="s">
        <v>39</v>
      </c>
      <c r="C73" s="2">
        <v>1358</v>
      </c>
    </row>
    <row r="74" spans="1:3">
      <c r="A74" s="2" t="s">
        <v>1932</v>
      </c>
      <c r="B74" s="2" t="s">
        <v>39</v>
      </c>
      <c r="C74" s="2">
        <v>1357</v>
      </c>
    </row>
    <row r="75" spans="1:3">
      <c r="A75" s="2" t="s">
        <v>148</v>
      </c>
      <c r="B75" s="2" t="s">
        <v>39</v>
      </c>
      <c r="C75" s="2">
        <v>1352</v>
      </c>
    </row>
    <row r="76" spans="1:3">
      <c r="A76" s="2" t="s">
        <v>1609</v>
      </c>
      <c r="B76" s="2" t="s">
        <v>39</v>
      </c>
      <c r="C76" s="2">
        <v>1345</v>
      </c>
    </row>
    <row r="77" spans="1:3">
      <c r="A77" s="2" t="s">
        <v>206</v>
      </c>
      <c r="B77" s="2" t="s">
        <v>39</v>
      </c>
      <c r="C77" s="2">
        <v>1343</v>
      </c>
    </row>
    <row r="78" spans="1:3">
      <c r="A78" s="2" t="s">
        <v>64</v>
      </c>
      <c r="B78" s="2" t="s">
        <v>39</v>
      </c>
      <c r="C78" s="2">
        <v>1343</v>
      </c>
    </row>
    <row r="79" spans="1:3">
      <c r="A79" s="2" t="s">
        <v>281</v>
      </c>
      <c r="B79" s="2" t="s">
        <v>39</v>
      </c>
      <c r="C79" s="2">
        <v>1336</v>
      </c>
    </row>
    <row r="80" spans="1:3">
      <c r="A80" s="2" t="s">
        <v>286</v>
      </c>
      <c r="B80" s="2" t="s">
        <v>39</v>
      </c>
      <c r="C80" s="2">
        <v>1335</v>
      </c>
    </row>
    <row r="81" spans="1:3">
      <c r="A81" s="2" t="s">
        <v>260</v>
      </c>
      <c r="B81" s="2" t="s">
        <v>39</v>
      </c>
      <c r="C81" s="2">
        <v>1328</v>
      </c>
    </row>
    <row r="82" spans="1:3">
      <c r="A82" s="2" t="s">
        <v>239</v>
      </c>
      <c r="B82" s="2" t="s">
        <v>39</v>
      </c>
      <c r="C82" s="2">
        <v>1324</v>
      </c>
    </row>
    <row r="83" spans="1:3">
      <c r="A83" s="2" t="s">
        <v>256</v>
      </c>
      <c r="B83" s="2" t="s">
        <v>39</v>
      </c>
      <c r="C83" s="2">
        <v>1323</v>
      </c>
    </row>
    <row r="84" spans="1:3">
      <c r="A84" s="2" t="s">
        <v>4548</v>
      </c>
      <c r="B84" s="2" t="s">
        <v>39</v>
      </c>
      <c r="C84" s="2">
        <v>1323</v>
      </c>
    </row>
    <row r="85" spans="1:3">
      <c r="A85" s="2" t="s">
        <v>150</v>
      </c>
      <c r="B85" s="2" t="s">
        <v>39</v>
      </c>
      <c r="C85" s="2">
        <v>1323</v>
      </c>
    </row>
    <row r="86" spans="1:3">
      <c r="A86" s="2" t="s">
        <v>159</v>
      </c>
      <c r="B86" s="2" t="s">
        <v>39</v>
      </c>
      <c r="C86" s="2">
        <v>1322</v>
      </c>
    </row>
    <row r="87" spans="1:3">
      <c r="A87" s="2" t="s">
        <v>194</v>
      </c>
      <c r="B87" s="2" t="s">
        <v>39</v>
      </c>
      <c r="C87" s="2">
        <v>1321</v>
      </c>
    </row>
    <row r="88" spans="1:3">
      <c r="A88" s="2" t="s">
        <v>2381</v>
      </c>
      <c r="B88" s="2" t="s">
        <v>39</v>
      </c>
      <c r="C88" s="2">
        <v>1320</v>
      </c>
    </row>
    <row r="89" spans="1:3">
      <c r="A89" s="2" t="s">
        <v>1918</v>
      </c>
      <c r="B89" s="2" t="s">
        <v>39</v>
      </c>
      <c r="C89" s="2">
        <v>1311</v>
      </c>
    </row>
    <row r="90" spans="1:3">
      <c r="A90" s="2" t="s">
        <v>1938</v>
      </c>
      <c r="B90" s="2" t="s">
        <v>39</v>
      </c>
      <c r="C90" s="2">
        <v>1308</v>
      </c>
    </row>
    <row r="91" spans="1:3">
      <c r="A91" s="2" t="s">
        <v>1830</v>
      </c>
      <c r="B91" s="2" t="s">
        <v>39</v>
      </c>
      <c r="C91" s="2">
        <v>1308</v>
      </c>
    </row>
    <row r="92" spans="1:3">
      <c r="A92" s="2" t="s">
        <v>273</v>
      </c>
      <c r="B92" s="2" t="s">
        <v>39</v>
      </c>
      <c r="C92" s="2">
        <v>1306</v>
      </c>
    </row>
    <row r="93" spans="1:3">
      <c r="A93" s="2" t="s">
        <v>2453</v>
      </c>
      <c r="B93" s="2" t="s">
        <v>39</v>
      </c>
      <c r="C93" s="2">
        <v>1301</v>
      </c>
    </row>
    <row r="94" spans="1:3">
      <c r="A94" s="2" t="s">
        <v>219</v>
      </c>
      <c r="B94" s="2" t="s">
        <v>39</v>
      </c>
      <c r="C94" s="2">
        <v>1297</v>
      </c>
    </row>
    <row r="95" spans="1:3">
      <c r="A95" s="2" t="s">
        <v>2388</v>
      </c>
      <c r="B95" s="2" t="s">
        <v>39</v>
      </c>
      <c r="C95" s="2">
        <v>1295</v>
      </c>
    </row>
    <row r="96" spans="1:3">
      <c r="A96" s="2" t="s">
        <v>2509</v>
      </c>
      <c r="B96" s="2" t="s">
        <v>39</v>
      </c>
      <c r="C96" s="2">
        <v>1292</v>
      </c>
    </row>
    <row r="97" spans="1:3">
      <c r="A97" s="2" t="s">
        <v>2423</v>
      </c>
      <c r="B97" s="2" t="s">
        <v>39</v>
      </c>
      <c r="C97" s="2">
        <v>1290</v>
      </c>
    </row>
    <row r="98" spans="1:3">
      <c r="A98" s="2" t="s">
        <v>3809</v>
      </c>
      <c r="B98" s="2" t="s">
        <v>39</v>
      </c>
      <c r="C98" s="2">
        <v>1289</v>
      </c>
    </row>
    <row r="99" spans="1:3">
      <c r="A99" s="2" t="s">
        <v>2443</v>
      </c>
      <c r="B99" s="2" t="s">
        <v>39</v>
      </c>
      <c r="C99" s="2">
        <v>1289</v>
      </c>
    </row>
    <row r="100" spans="1:3">
      <c r="A100" s="2" t="s">
        <v>3440</v>
      </c>
      <c r="B100" s="2" t="s">
        <v>39</v>
      </c>
      <c r="C100" s="2">
        <v>1288</v>
      </c>
    </row>
    <row r="101" spans="1:3">
      <c r="A101" s="2" t="s">
        <v>2425</v>
      </c>
      <c r="B101" s="2" t="s">
        <v>39</v>
      </c>
      <c r="C101" s="2">
        <v>1286</v>
      </c>
    </row>
    <row r="102" spans="1:3">
      <c r="A102" s="2" t="s">
        <v>1867</v>
      </c>
      <c r="B102" s="2" t="s">
        <v>39</v>
      </c>
      <c r="C102" s="2">
        <v>1282</v>
      </c>
    </row>
    <row r="103" spans="1:3">
      <c r="A103" s="2" t="s">
        <v>277</v>
      </c>
      <c r="B103" s="2" t="s">
        <v>39</v>
      </c>
      <c r="C103" s="2">
        <v>1280</v>
      </c>
    </row>
    <row r="104" spans="1:3">
      <c r="A104" s="2" t="s">
        <v>2504</v>
      </c>
      <c r="B104" s="2" t="s">
        <v>39</v>
      </c>
      <c r="C104" s="2">
        <v>1278</v>
      </c>
    </row>
    <row r="105" spans="1:3">
      <c r="A105" s="2" t="s">
        <v>275</v>
      </c>
      <c r="B105" s="2" t="s">
        <v>39</v>
      </c>
      <c r="C105" s="2">
        <v>1277</v>
      </c>
    </row>
    <row r="106" spans="1:3">
      <c r="A106" s="2" t="s">
        <v>969</v>
      </c>
      <c r="B106" s="2" t="s">
        <v>39</v>
      </c>
      <c r="C106" s="2">
        <v>1275</v>
      </c>
    </row>
    <row r="107" spans="1:3">
      <c r="A107" s="2" t="s">
        <v>246</v>
      </c>
      <c r="B107" s="2" t="s">
        <v>39</v>
      </c>
      <c r="C107" s="2">
        <v>1274</v>
      </c>
    </row>
    <row r="108" spans="1:3">
      <c r="A108" s="2" t="s">
        <v>201</v>
      </c>
      <c r="B108" s="2" t="s">
        <v>39</v>
      </c>
      <c r="C108" s="2">
        <v>1273</v>
      </c>
    </row>
    <row r="109" spans="1:3">
      <c r="A109" s="2" t="s">
        <v>4536</v>
      </c>
      <c r="B109" s="2" t="s">
        <v>39</v>
      </c>
      <c r="C109" s="2">
        <v>1269</v>
      </c>
    </row>
    <row r="110" spans="1:3">
      <c r="A110" s="2" t="s">
        <v>190</v>
      </c>
      <c r="B110" s="2" t="s">
        <v>39</v>
      </c>
      <c r="C110" s="2">
        <v>1266</v>
      </c>
    </row>
    <row r="111" spans="1:3">
      <c r="A111" s="2" t="s">
        <v>2445</v>
      </c>
      <c r="B111" s="2" t="s">
        <v>39</v>
      </c>
      <c r="C111" s="2">
        <v>1256</v>
      </c>
    </row>
    <row r="112" spans="1:3">
      <c r="A112" s="2" t="s">
        <v>4489</v>
      </c>
      <c r="B112" s="2" t="s">
        <v>39</v>
      </c>
      <c r="C112" s="2">
        <v>1256</v>
      </c>
    </row>
    <row r="113" spans="1:3">
      <c r="A113" s="2" t="s">
        <v>2490</v>
      </c>
      <c r="B113" s="2" t="s">
        <v>39</v>
      </c>
      <c r="C113" s="2">
        <v>1252</v>
      </c>
    </row>
    <row r="114" spans="1:3">
      <c r="A114" s="2" t="s">
        <v>1053</v>
      </c>
      <c r="B114" s="2" t="s">
        <v>39</v>
      </c>
      <c r="C114" s="2">
        <v>1251</v>
      </c>
    </row>
    <row r="115" spans="1:3">
      <c r="A115" s="2" t="s">
        <v>124</v>
      </c>
      <c r="B115" s="2" t="s">
        <v>39</v>
      </c>
      <c r="C115" s="2">
        <v>1250</v>
      </c>
    </row>
    <row r="116" spans="1:3">
      <c r="A116" s="2" t="s">
        <v>1049</v>
      </c>
      <c r="B116" s="2" t="s">
        <v>39</v>
      </c>
      <c r="C116" s="2">
        <v>1248</v>
      </c>
    </row>
    <row r="117" spans="1:3">
      <c r="A117" s="2" t="s">
        <v>1002</v>
      </c>
      <c r="B117" s="2" t="s">
        <v>39</v>
      </c>
      <c r="C117" s="2">
        <v>1240</v>
      </c>
    </row>
    <row r="118" spans="1:3">
      <c r="A118" s="2" t="s">
        <v>1922</v>
      </c>
      <c r="B118" s="2" t="s">
        <v>39</v>
      </c>
      <c r="C118" s="2">
        <v>1234</v>
      </c>
    </row>
    <row r="119" spans="1:3">
      <c r="A119" s="2" t="s">
        <v>2986</v>
      </c>
      <c r="B119" s="2" t="s">
        <v>39</v>
      </c>
      <c r="C119" s="2">
        <v>1233</v>
      </c>
    </row>
    <row r="120" spans="1:3">
      <c r="A120" s="2" t="s">
        <v>2479</v>
      </c>
      <c r="B120" s="2" t="s">
        <v>39</v>
      </c>
      <c r="C120" s="2">
        <v>1232</v>
      </c>
    </row>
    <row r="121" spans="1:3">
      <c r="A121" s="2" t="s">
        <v>266</v>
      </c>
      <c r="B121" s="2" t="s">
        <v>39</v>
      </c>
      <c r="C121" s="2">
        <v>1232</v>
      </c>
    </row>
    <row r="122" spans="1:3">
      <c r="A122" s="2" t="s">
        <v>227</v>
      </c>
      <c r="B122" s="2" t="s">
        <v>39</v>
      </c>
      <c r="C122" s="2">
        <v>1227</v>
      </c>
    </row>
    <row r="123" spans="1:3">
      <c r="A123" s="2" t="s">
        <v>4501</v>
      </c>
      <c r="B123" s="2" t="s">
        <v>39</v>
      </c>
      <c r="C123" s="2">
        <v>1219</v>
      </c>
    </row>
    <row r="124" spans="1:3">
      <c r="A124" s="2" t="s">
        <v>1944</v>
      </c>
      <c r="B124" s="2" t="s">
        <v>39</v>
      </c>
      <c r="C124" s="2">
        <v>1218</v>
      </c>
    </row>
    <row r="125" spans="1:3">
      <c r="A125" s="2" t="s">
        <v>1910</v>
      </c>
      <c r="B125" s="2" t="s">
        <v>39</v>
      </c>
      <c r="C125" s="2">
        <v>1216</v>
      </c>
    </row>
    <row r="126" spans="1:3">
      <c r="A126" s="2" t="s">
        <v>1004</v>
      </c>
      <c r="B126" s="2" t="s">
        <v>39</v>
      </c>
      <c r="C126" s="2">
        <v>1215</v>
      </c>
    </row>
    <row r="127" spans="1:3">
      <c r="A127" s="2" t="s">
        <v>2464</v>
      </c>
      <c r="B127" s="2" t="s">
        <v>39</v>
      </c>
      <c r="C127" s="2">
        <v>1215</v>
      </c>
    </row>
    <row r="128" spans="1:3">
      <c r="A128" s="2" t="s">
        <v>4254</v>
      </c>
      <c r="B128" s="2" t="s">
        <v>39</v>
      </c>
      <c r="C128" s="2">
        <v>1214</v>
      </c>
    </row>
    <row r="129" spans="1:3">
      <c r="A129" s="2" t="s">
        <v>254</v>
      </c>
      <c r="B129" s="2" t="s">
        <v>39</v>
      </c>
      <c r="C129" s="2">
        <v>1214</v>
      </c>
    </row>
    <row r="130" spans="1:3">
      <c r="A130" s="2" t="s">
        <v>996</v>
      </c>
      <c r="B130" s="2" t="s">
        <v>39</v>
      </c>
      <c r="C130" s="2">
        <v>1212</v>
      </c>
    </row>
    <row r="131" spans="1:3">
      <c r="A131" s="2" t="s">
        <v>70</v>
      </c>
      <c r="B131" s="2" t="s">
        <v>39</v>
      </c>
      <c r="C131" s="2">
        <v>1210</v>
      </c>
    </row>
    <row r="132" spans="1:3">
      <c r="A132" s="2" t="s">
        <v>2477</v>
      </c>
      <c r="B132" s="2" t="s">
        <v>39</v>
      </c>
      <c r="C132" s="2">
        <v>1208</v>
      </c>
    </row>
    <row r="133" spans="1:3">
      <c r="A133" s="2" t="s">
        <v>927</v>
      </c>
      <c r="B133" s="2" t="s">
        <v>39</v>
      </c>
      <c r="C133" s="2">
        <v>1199</v>
      </c>
    </row>
    <row r="134" spans="1:3">
      <c r="A134" s="2" t="s">
        <v>1029</v>
      </c>
      <c r="B134" s="2" t="s">
        <v>39</v>
      </c>
      <c r="C134" s="2">
        <v>1194</v>
      </c>
    </row>
    <row r="135" spans="1:3">
      <c r="A135" s="2" t="s">
        <v>3882</v>
      </c>
      <c r="B135" s="2" t="s">
        <v>39</v>
      </c>
      <c r="C135" s="2">
        <v>1193</v>
      </c>
    </row>
    <row r="136" spans="1:3">
      <c r="A136" s="2" t="s">
        <v>271</v>
      </c>
      <c r="B136" s="2" t="s">
        <v>39</v>
      </c>
      <c r="C136" s="2">
        <v>1188</v>
      </c>
    </row>
    <row r="137" spans="1:3">
      <c r="A137" s="2" t="s">
        <v>1928</v>
      </c>
      <c r="B137" s="2" t="s">
        <v>39</v>
      </c>
      <c r="C137" s="2">
        <v>1181</v>
      </c>
    </row>
    <row r="138" spans="1:3">
      <c r="A138" s="2" t="s">
        <v>930</v>
      </c>
      <c r="B138" s="2" t="s">
        <v>39</v>
      </c>
      <c r="C138" s="2">
        <v>1175</v>
      </c>
    </row>
    <row r="139" spans="1:3">
      <c r="A139" s="2" t="s">
        <v>1837</v>
      </c>
      <c r="B139" s="2" t="s">
        <v>39</v>
      </c>
      <c r="C139" s="2">
        <v>1174</v>
      </c>
    </row>
    <row r="140" spans="1:3">
      <c r="A140" s="2" t="s">
        <v>3408</v>
      </c>
      <c r="B140" s="2" t="s">
        <v>39</v>
      </c>
      <c r="C140" s="2">
        <v>1172</v>
      </c>
    </row>
    <row r="141" spans="1:3">
      <c r="A141" s="2" t="s">
        <v>4546</v>
      </c>
      <c r="B141" s="2" t="s">
        <v>39</v>
      </c>
      <c r="C141" s="2">
        <v>1172</v>
      </c>
    </row>
    <row r="142" spans="1:3">
      <c r="A142" s="2" t="s">
        <v>2981</v>
      </c>
      <c r="B142" s="2" t="s">
        <v>39</v>
      </c>
      <c r="C142" s="2">
        <v>1161</v>
      </c>
    </row>
    <row r="143" spans="1:3">
      <c r="A143" s="2" t="s">
        <v>2451</v>
      </c>
      <c r="B143" s="2" t="s">
        <v>39</v>
      </c>
      <c r="C143" s="2">
        <v>1153</v>
      </c>
    </row>
    <row r="144" spans="1:3">
      <c r="A144" s="2" t="s">
        <v>114</v>
      </c>
      <c r="B144" s="2" t="s">
        <v>39</v>
      </c>
      <c r="C144" s="2">
        <v>1147</v>
      </c>
    </row>
    <row r="145" spans="1:3">
      <c r="A145" s="2" t="s">
        <v>1865</v>
      </c>
      <c r="B145" s="2" t="s">
        <v>39</v>
      </c>
      <c r="C145" s="2">
        <v>1142</v>
      </c>
    </row>
    <row r="146" spans="1:3">
      <c r="A146" s="2" t="s">
        <v>3429</v>
      </c>
      <c r="B146" s="2" t="s">
        <v>39</v>
      </c>
      <c r="C146" s="2">
        <v>1142</v>
      </c>
    </row>
    <row r="147" spans="1:3">
      <c r="A147" s="2" t="s">
        <v>1847</v>
      </c>
      <c r="B147" s="2" t="s">
        <v>39</v>
      </c>
      <c r="C147" s="2">
        <v>1141</v>
      </c>
    </row>
    <row r="148" spans="1:3">
      <c r="A148" s="2" t="s">
        <v>3013</v>
      </c>
      <c r="B148" s="2" t="s">
        <v>39</v>
      </c>
      <c r="C148" s="2">
        <v>1140</v>
      </c>
    </row>
    <row r="149" spans="1:3">
      <c r="A149" s="2" t="s">
        <v>181</v>
      </c>
      <c r="B149" s="2" t="s">
        <v>39</v>
      </c>
      <c r="C149" s="2">
        <v>1140</v>
      </c>
    </row>
    <row r="150" spans="1:3">
      <c r="A150" s="2" t="s">
        <v>1889</v>
      </c>
      <c r="B150" s="2" t="s">
        <v>39</v>
      </c>
      <c r="C150" s="2">
        <v>1138</v>
      </c>
    </row>
    <row r="151" spans="1:3">
      <c r="A151" s="2" t="s">
        <v>3438</v>
      </c>
      <c r="B151" s="2" t="s">
        <v>39</v>
      </c>
      <c r="C151" s="2">
        <v>1131</v>
      </c>
    </row>
    <row r="152" spans="1:3">
      <c r="A152" s="2" t="s">
        <v>1895</v>
      </c>
      <c r="B152" s="2" t="s">
        <v>39</v>
      </c>
      <c r="C152" s="2">
        <v>1129</v>
      </c>
    </row>
    <row r="153" spans="1:3">
      <c r="A153" s="2" t="s">
        <v>1021</v>
      </c>
      <c r="B153" s="2" t="s">
        <v>39</v>
      </c>
      <c r="C153" s="2">
        <v>1123</v>
      </c>
    </row>
    <row r="154" spans="1:3">
      <c r="A154" s="2" t="s">
        <v>1037</v>
      </c>
      <c r="B154" s="2" t="s">
        <v>39</v>
      </c>
      <c r="C154" s="2">
        <v>1120</v>
      </c>
    </row>
    <row r="155" spans="1:3">
      <c r="A155" s="2" t="s">
        <v>2436</v>
      </c>
      <c r="B155" s="2" t="s">
        <v>39</v>
      </c>
      <c r="C155" s="2">
        <v>1110</v>
      </c>
    </row>
    <row r="156" spans="1:3">
      <c r="A156" s="2" t="s">
        <v>2432</v>
      </c>
      <c r="B156" s="2" t="s">
        <v>39</v>
      </c>
      <c r="C156" s="2">
        <v>1107</v>
      </c>
    </row>
    <row r="157" spans="1:3">
      <c r="A157" s="2" t="s">
        <v>1874</v>
      </c>
      <c r="B157" s="2" t="s">
        <v>39</v>
      </c>
      <c r="C157" s="2">
        <v>1106</v>
      </c>
    </row>
    <row r="158" spans="1:3">
      <c r="A158" s="2" t="s">
        <v>967</v>
      </c>
      <c r="B158" s="2" t="s">
        <v>39</v>
      </c>
      <c r="C158" s="2">
        <v>1105</v>
      </c>
    </row>
    <row r="159" spans="1:3">
      <c r="A159" s="2" t="s">
        <v>2460</v>
      </c>
      <c r="B159" s="2" t="s">
        <v>39</v>
      </c>
      <c r="C159" s="2">
        <v>1101</v>
      </c>
    </row>
    <row r="160" spans="1:3">
      <c r="A160" s="2" t="s">
        <v>1855</v>
      </c>
      <c r="B160" s="2" t="s">
        <v>39</v>
      </c>
      <c r="C160" s="2">
        <v>1100</v>
      </c>
    </row>
    <row r="161" spans="1:3">
      <c r="A161" s="2" t="s">
        <v>1074</v>
      </c>
      <c r="B161" s="2" t="s">
        <v>39</v>
      </c>
      <c r="C161" s="2">
        <v>1095</v>
      </c>
    </row>
    <row r="162" spans="1:3">
      <c r="A162" s="2" t="s">
        <v>1104</v>
      </c>
      <c r="B162" s="2" t="s">
        <v>39</v>
      </c>
      <c r="C162" s="2">
        <v>1095</v>
      </c>
    </row>
    <row r="163" spans="1:3">
      <c r="A163" s="2" t="s">
        <v>4504</v>
      </c>
      <c r="B163" s="2" t="s">
        <v>39</v>
      </c>
      <c r="C163" s="2">
        <v>1088</v>
      </c>
    </row>
    <row r="164" spans="1:3">
      <c r="A164" s="2" t="s">
        <v>948</v>
      </c>
      <c r="B164" s="2" t="s">
        <v>39</v>
      </c>
      <c r="C164" s="2">
        <v>1084</v>
      </c>
    </row>
    <row r="165" spans="1:3">
      <c r="A165" s="2" t="s">
        <v>1906</v>
      </c>
      <c r="B165" s="2" t="s">
        <v>39</v>
      </c>
      <c r="C165" s="2">
        <v>1083</v>
      </c>
    </row>
    <row r="166" spans="1:3">
      <c r="A166" s="2" t="s">
        <v>169</v>
      </c>
      <c r="B166" s="2" t="s">
        <v>39</v>
      </c>
      <c r="C166" s="2">
        <v>1080</v>
      </c>
    </row>
    <row r="167" spans="1:3">
      <c r="A167" s="2" t="s">
        <v>1946</v>
      </c>
      <c r="B167" s="2" t="s">
        <v>39</v>
      </c>
      <c r="C167" s="2">
        <v>1076</v>
      </c>
    </row>
    <row r="168" spans="1:3">
      <c r="A168" s="2" t="s">
        <v>982</v>
      </c>
      <c r="B168" s="2" t="s">
        <v>39</v>
      </c>
      <c r="C168" s="2">
        <v>1074</v>
      </c>
    </row>
    <row r="169" spans="1:3">
      <c r="A169" s="2" t="s">
        <v>3431</v>
      </c>
      <c r="B169" s="2" t="s">
        <v>39</v>
      </c>
      <c r="C169" s="2">
        <v>1072</v>
      </c>
    </row>
    <row r="170" spans="1:3">
      <c r="A170" s="2" t="s">
        <v>2513</v>
      </c>
      <c r="B170" s="2" t="s">
        <v>39</v>
      </c>
      <c r="C170" s="2">
        <v>1071</v>
      </c>
    </row>
    <row r="171" spans="1:3">
      <c r="A171" s="2" t="s">
        <v>1863</v>
      </c>
      <c r="B171" s="2" t="s">
        <v>39</v>
      </c>
      <c r="C171" s="2">
        <v>1066</v>
      </c>
    </row>
    <row r="172" spans="1:3">
      <c r="A172" s="2" t="s">
        <v>1615</v>
      </c>
      <c r="B172" s="2" t="s">
        <v>39</v>
      </c>
      <c r="C172" s="2">
        <v>1065</v>
      </c>
    </row>
    <row r="173" spans="1:3">
      <c r="A173" s="2" t="s">
        <v>2398</v>
      </c>
      <c r="B173" s="2" t="s">
        <v>39</v>
      </c>
      <c r="C173" s="2">
        <v>1064</v>
      </c>
    </row>
    <row r="174" spans="1:3">
      <c r="A174" s="2" t="s">
        <v>4519</v>
      </c>
      <c r="B174" s="2" t="s">
        <v>39</v>
      </c>
      <c r="C174" s="2">
        <v>1064</v>
      </c>
    </row>
    <row r="175" spans="1:3">
      <c r="A175" s="2" t="s">
        <v>1598</v>
      </c>
      <c r="B175" s="2" t="s">
        <v>39</v>
      </c>
      <c r="C175" s="2">
        <v>1061</v>
      </c>
    </row>
    <row r="176" spans="1:3">
      <c r="A176" s="2" t="s">
        <v>2408</v>
      </c>
      <c r="B176" s="2" t="s">
        <v>39</v>
      </c>
      <c r="C176" s="2">
        <v>1059</v>
      </c>
    </row>
    <row r="177" spans="1:3">
      <c r="A177" s="2" t="s">
        <v>2999</v>
      </c>
      <c r="B177" s="2" t="s">
        <v>39</v>
      </c>
      <c r="C177" s="2">
        <v>1059</v>
      </c>
    </row>
    <row r="178" spans="1:3">
      <c r="A178" s="2" t="s">
        <v>2507</v>
      </c>
      <c r="B178" s="2" t="s">
        <v>39</v>
      </c>
      <c r="C178" s="2">
        <v>1056</v>
      </c>
    </row>
    <row r="179" spans="1:3">
      <c r="A179" s="2" t="s">
        <v>4246</v>
      </c>
      <c r="B179" s="2" t="s">
        <v>39</v>
      </c>
      <c r="C179" s="2">
        <v>1055</v>
      </c>
    </row>
    <row r="180" spans="1:3">
      <c r="A180" s="2" t="s">
        <v>3455</v>
      </c>
      <c r="B180" s="2" t="s">
        <v>39</v>
      </c>
      <c r="C180" s="2">
        <v>1054</v>
      </c>
    </row>
    <row r="181" spans="1:3">
      <c r="A181" s="2" t="s">
        <v>288</v>
      </c>
      <c r="B181" s="2" t="s">
        <v>39</v>
      </c>
      <c r="C181" s="2">
        <v>1053</v>
      </c>
    </row>
    <row r="182" spans="1:3">
      <c r="A182" s="2" t="s">
        <v>121</v>
      </c>
      <c r="B182" s="2" t="s">
        <v>39</v>
      </c>
      <c r="C182" s="2">
        <v>1053</v>
      </c>
    </row>
    <row r="183" spans="1:3">
      <c r="A183" s="2" t="s">
        <v>3850</v>
      </c>
      <c r="B183" s="2" t="s">
        <v>39</v>
      </c>
      <c r="C183" s="2">
        <v>1047</v>
      </c>
    </row>
    <row r="184" spans="1:3">
      <c r="A184" s="2" t="s">
        <v>2427</v>
      </c>
      <c r="B184" s="2" t="s">
        <v>39</v>
      </c>
      <c r="C184" s="2">
        <v>1046</v>
      </c>
    </row>
    <row r="185" spans="1:3">
      <c r="A185" s="2" t="s">
        <v>3852</v>
      </c>
      <c r="B185" s="2" t="s">
        <v>39</v>
      </c>
      <c r="C185" s="2">
        <v>1043</v>
      </c>
    </row>
    <row r="186" spans="1:3">
      <c r="A186" s="2" t="s">
        <v>3814</v>
      </c>
      <c r="B186" s="2" t="s">
        <v>39</v>
      </c>
      <c r="C186" s="2">
        <v>1041</v>
      </c>
    </row>
    <row r="187" spans="1:3">
      <c r="A187" s="2" t="s">
        <v>79</v>
      </c>
      <c r="B187" s="2" t="s">
        <v>39</v>
      </c>
      <c r="C187" s="2">
        <v>1040</v>
      </c>
    </row>
    <row r="188" spans="1:3">
      <c r="A188" s="2" t="s">
        <v>2441</v>
      </c>
      <c r="B188" s="2" t="s">
        <v>39</v>
      </c>
      <c r="C188" s="2">
        <v>1040</v>
      </c>
    </row>
    <row r="189" spans="1:3">
      <c r="A189" s="2" t="s">
        <v>235</v>
      </c>
      <c r="B189" s="2" t="s">
        <v>39</v>
      </c>
      <c r="C189" s="2">
        <v>1040</v>
      </c>
    </row>
    <row r="190" spans="1:3">
      <c r="A190" s="2" t="s">
        <v>1959</v>
      </c>
      <c r="B190" s="2" t="s">
        <v>39</v>
      </c>
      <c r="C190" s="2">
        <v>1039</v>
      </c>
    </row>
    <row r="191" spans="1:3">
      <c r="A191" s="2" t="s">
        <v>934</v>
      </c>
      <c r="B191" s="2" t="s">
        <v>39</v>
      </c>
      <c r="C191" s="2">
        <v>1039</v>
      </c>
    </row>
    <row r="192" spans="1:3">
      <c r="A192" s="2" t="s">
        <v>2983</v>
      </c>
      <c r="B192" s="2" t="s">
        <v>39</v>
      </c>
      <c r="C192" s="2">
        <v>1038</v>
      </c>
    </row>
    <row r="193" spans="1:3">
      <c r="A193" s="2" t="s">
        <v>1045</v>
      </c>
      <c r="B193" s="2" t="s">
        <v>39</v>
      </c>
      <c r="C193" s="2">
        <v>1037</v>
      </c>
    </row>
    <row r="194" spans="1:3">
      <c r="A194" s="2" t="s">
        <v>2448</v>
      </c>
      <c r="B194" s="2" t="s">
        <v>39</v>
      </c>
      <c r="C194" s="2">
        <v>1037</v>
      </c>
    </row>
    <row r="195" spans="1:3">
      <c r="A195" s="2" t="s">
        <v>2989</v>
      </c>
      <c r="B195" s="2" t="s">
        <v>39</v>
      </c>
      <c r="C195" s="2">
        <v>1036</v>
      </c>
    </row>
    <row r="196" spans="1:3">
      <c r="A196" s="2" t="s">
        <v>3467</v>
      </c>
      <c r="B196" s="2" t="s">
        <v>39</v>
      </c>
      <c r="C196" s="2">
        <v>1032</v>
      </c>
    </row>
    <row r="197" spans="1:3">
      <c r="A197" s="2" t="s">
        <v>4229</v>
      </c>
      <c r="B197" s="2" t="s">
        <v>39</v>
      </c>
      <c r="C197" s="2">
        <v>1032</v>
      </c>
    </row>
    <row r="198" spans="1:3">
      <c r="A198" s="2" t="s">
        <v>973</v>
      </c>
      <c r="B198" s="2" t="s">
        <v>39</v>
      </c>
      <c r="C198" s="2">
        <v>1029</v>
      </c>
    </row>
    <row r="199" spans="1:3">
      <c r="A199" s="2" t="s">
        <v>1027</v>
      </c>
      <c r="B199" s="2" t="s">
        <v>39</v>
      </c>
      <c r="C199" s="2">
        <v>1023</v>
      </c>
    </row>
    <row r="200" spans="1:3">
      <c r="A200" s="2" t="s">
        <v>4523</v>
      </c>
      <c r="B200" s="2" t="s">
        <v>39</v>
      </c>
      <c r="C200" s="2">
        <v>1022</v>
      </c>
    </row>
    <row r="201" spans="1:3">
      <c r="A201" s="2" t="s">
        <v>4554</v>
      </c>
      <c r="B201" s="2" t="s">
        <v>39</v>
      </c>
      <c r="C201" s="2">
        <v>1022</v>
      </c>
    </row>
    <row r="202" spans="1:3">
      <c r="A202" s="2" t="s">
        <v>183</v>
      </c>
      <c r="B202" s="2" t="s">
        <v>39</v>
      </c>
      <c r="C202" s="2">
        <v>1020</v>
      </c>
    </row>
    <row r="203" spans="1:3">
      <c r="A203" s="2" t="s">
        <v>937</v>
      </c>
      <c r="B203" s="2" t="s">
        <v>39</v>
      </c>
      <c r="C203" s="2">
        <v>1012</v>
      </c>
    </row>
    <row r="204" spans="1:3">
      <c r="A204" s="2" t="s">
        <v>4538</v>
      </c>
      <c r="B204" s="2" t="s">
        <v>39</v>
      </c>
      <c r="C204" s="2">
        <v>1010</v>
      </c>
    </row>
    <row r="205" spans="1:3">
      <c r="A205" s="2" t="s">
        <v>1094</v>
      </c>
      <c r="B205" s="2" t="s">
        <v>39</v>
      </c>
      <c r="C205" s="2">
        <v>1007</v>
      </c>
    </row>
    <row r="206" spans="1:3">
      <c r="A206" s="2" t="s">
        <v>3880</v>
      </c>
      <c r="B206" s="2" t="s">
        <v>39</v>
      </c>
      <c r="C206" s="2">
        <v>1004</v>
      </c>
    </row>
    <row r="207" spans="1:3">
      <c r="A207" s="2" t="s">
        <v>3876</v>
      </c>
      <c r="B207" s="2" t="s">
        <v>39</v>
      </c>
      <c r="C207" s="2">
        <v>1002</v>
      </c>
    </row>
    <row r="208" spans="1:3">
      <c r="A208" s="2" t="s">
        <v>2484</v>
      </c>
      <c r="B208" s="2" t="s">
        <v>39</v>
      </c>
      <c r="C208" s="2">
        <v>999</v>
      </c>
    </row>
    <row r="209" spans="1:3">
      <c r="A209" s="2" t="s">
        <v>1019</v>
      </c>
      <c r="B209" s="2" t="s">
        <v>39</v>
      </c>
      <c r="C209" s="2">
        <v>996</v>
      </c>
    </row>
    <row r="210" spans="1:3">
      <c r="A210" s="2" t="s">
        <v>1063</v>
      </c>
      <c r="B210" s="2" t="s">
        <v>39</v>
      </c>
      <c r="C210" s="2">
        <v>990</v>
      </c>
    </row>
    <row r="211" spans="1:3">
      <c r="A211" s="2" t="s">
        <v>2475</v>
      </c>
      <c r="B211" s="2" t="s">
        <v>39</v>
      </c>
      <c r="C211" s="2">
        <v>990</v>
      </c>
    </row>
    <row r="212" spans="1:3">
      <c r="A212" s="2" t="s">
        <v>269</v>
      </c>
      <c r="B212" s="2" t="s">
        <v>39</v>
      </c>
      <c r="C212" s="2">
        <v>989</v>
      </c>
    </row>
    <row r="213" spans="1:3">
      <c r="A213" s="2" t="s">
        <v>998</v>
      </c>
      <c r="B213" s="2" t="s">
        <v>39</v>
      </c>
      <c r="C213" s="2">
        <v>985</v>
      </c>
    </row>
    <row r="214" spans="1:3">
      <c r="A214" s="2" t="s">
        <v>248</v>
      </c>
      <c r="B214" s="2" t="s">
        <v>39</v>
      </c>
      <c r="C214" s="2">
        <v>984</v>
      </c>
    </row>
    <row r="215" spans="1:3">
      <c r="A215" s="2" t="s">
        <v>174</v>
      </c>
      <c r="B215" s="2" t="s">
        <v>39</v>
      </c>
      <c r="C215" s="2">
        <v>982</v>
      </c>
    </row>
    <row r="216" spans="1:3">
      <c r="A216" s="2" t="s">
        <v>2964</v>
      </c>
      <c r="B216" s="2" t="s">
        <v>39</v>
      </c>
      <c r="C216" s="2">
        <v>981</v>
      </c>
    </row>
    <row r="217" spans="1:3">
      <c r="A217" s="2" t="s">
        <v>1092</v>
      </c>
      <c r="B217" s="2" t="s">
        <v>39</v>
      </c>
      <c r="C217" s="2">
        <v>976</v>
      </c>
    </row>
    <row r="218" spans="1:3">
      <c r="A218" s="2" t="s">
        <v>3017</v>
      </c>
      <c r="B218" s="2" t="s">
        <v>39</v>
      </c>
      <c r="C218" s="2">
        <v>975</v>
      </c>
    </row>
    <row r="219" spans="1:3">
      <c r="A219" s="2" t="s">
        <v>1936</v>
      </c>
      <c r="B219" s="2" t="s">
        <v>39</v>
      </c>
      <c r="C219" s="2">
        <v>973</v>
      </c>
    </row>
    <row r="220" spans="1:3">
      <c r="A220" s="2" t="s">
        <v>3451</v>
      </c>
      <c r="B220" s="2" t="s">
        <v>39</v>
      </c>
      <c r="C220" s="2">
        <v>973</v>
      </c>
    </row>
    <row r="221" spans="1:3">
      <c r="A221" s="2" t="s">
        <v>76</v>
      </c>
      <c r="B221" s="2" t="s">
        <v>39</v>
      </c>
      <c r="C221" s="2">
        <v>971</v>
      </c>
    </row>
    <row r="222" spans="1:3">
      <c r="A222" s="2" t="s">
        <v>4237</v>
      </c>
      <c r="B222" s="2" t="s">
        <v>39</v>
      </c>
      <c r="C222" s="2">
        <v>968</v>
      </c>
    </row>
    <row r="223" spans="1:3">
      <c r="A223" s="2" t="s">
        <v>136</v>
      </c>
      <c r="B223" s="2" t="s">
        <v>39</v>
      </c>
      <c r="C223" s="2">
        <v>966</v>
      </c>
    </row>
    <row r="224" spans="1:3">
      <c r="A224" s="2" t="s">
        <v>4570</v>
      </c>
      <c r="B224" s="2" t="s">
        <v>39</v>
      </c>
      <c r="C224" s="2">
        <v>963</v>
      </c>
    </row>
    <row r="225" spans="1:3">
      <c r="A225" s="2" t="s">
        <v>1926</v>
      </c>
      <c r="B225" s="2" t="s">
        <v>39</v>
      </c>
      <c r="C225" s="2">
        <v>958</v>
      </c>
    </row>
    <row r="226" spans="1:3">
      <c r="A226" s="2" t="s">
        <v>3007</v>
      </c>
      <c r="B226" s="2" t="s">
        <v>39</v>
      </c>
      <c r="C226" s="2">
        <v>957</v>
      </c>
    </row>
    <row r="227" spans="1:3">
      <c r="A227" s="2" t="s">
        <v>3856</v>
      </c>
      <c r="B227" s="2" t="s">
        <v>39</v>
      </c>
      <c r="C227" s="2">
        <v>952</v>
      </c>
    </row>
    <row r="228" spans="1:3">
      <c r="A228" s="2" t="s">
        <v>1904</v>
      </c>
      <c r="B228" s="2" t="s">
        <v>39</v>
      </c>
      <c r="C228" s="2">
        <v>951</v>
      </c>
    </row>
    <row r="229" spans="1:3">
      <c r="A229" s="2" t="s">
        <v>1051</v>
      </c>
      <c r="B229" s="2" t="s">
        <v>39</v>
      </c>
      <c r="C229" s="2">
        <v>950</v>
      </c>
    </row>
    <row r="230" spans="1:3">
      <c r="A230" s="2" t="s">
        <v>1084</v>
      </c>
      <c r="B230" s="2" t="s">
        <v>39</v>
      </c>
      <c r="C230" s="2">
        <v>950</v>
      </c>
    </row>
    <row r="231" spans="1:3">
      <c r="A231" s="2" t="s">
        <v>176</v>
      </c>
      <c r="B231" s="2" t="s">
        <v>39</v>
      </c>
      <c r="C231" s="2">
        <v>949</v>
      </c>
    </row>
    <row r="232" spans="1:3">
      <c r="A232" s="2" t="s">
        <v>1607</v>
      </c>
      <c r="B232" s="2" t="s">
        <v>39</v>
      </c>
      <c r="C232" s="2">
        <v>948</v>
      </c>
    </row>
    <row r="233" spans="1:3">
      <c r="A233" s="2" t="s">
        <v>2438</v>
      </c>
      <c r="B233" s="2" t="s">
        <v>39</v>
      </c>
      <c r="C233" s="2">
        <v>947</v>
      </c>
    </row>
    <row r="234" spans="1:3">
      <c r="A234" s="2" t="s">
        <v>1953</v>
      </c>
      <c r="B234" s="2" t="s">
        <v>39</v>
      </c>
      <c r="C234" s="2">
        <v>946</v>
      </c>
    </row>
    <row r="235" spans="1:3">
      <c r="A235" s="2" t="s">
        <v>1581</v>
      </c>
      <c r="B235" s="2" t="s">
        <v>39</v>
      </c>
      <c r="C235" s="2">
        <v>945</v>
      </c>
    </row>
    <row r="236" spans="1:3">
      <c r="A236" s="2" t="s">
        <v>3005</v>
      </c>
      <c r="B236" s="2" t="s">
        <v>39</v>
      </c>
      <c r="C236" s="2">
        <v>938</v>
      </c>
    </row>
    <row r="237" spans="1:3">
      <c r="A237" s="2" t="s">
        <v>103</v>
      </c>
      <c r="B237" s="2" t="s">
        <v>39</v>
      </c>
      <c r="C237" s="2">
        <v>936</v>
      </c>
    </row>
    <row r="238" spans="1:3">
      <c r="A238" s="2" t="s">
        <v>258</v>
      </c>
      <c r="B238" s="2" t="s">
        <v>39</v>
      </c>
      <c r="C238" s="2">
        <v>935</v>
      </c>
    </row>
    <row r="239" spans="1:3">
      <c r="A239" s="2" t="s">
        <v>3473</v>
      </c>
      <c r="B239" s="2" t="s">
        <v>39</v>
      </c>
      <c r="C239" s="2">
        <v>934</v>
      </c>
    </row>
    <row r="240" spans="1:3">
      <c r="A240" s="2" t="s">
        <v>1611</v>
      </c>
      <c r="B240" s="2" t="s">
        <v>39</v>
      </c>
      <c r="C240" s="2">
        <v>931</v>
      </c>
    </row>
    <row r="241" spans="1:3">
      <c r="A241" s="2" t="s">
        <v>1015</v>
      </c>
      <c r="B241" s="2" t="s">
        <v>39</v>
      </c>
      <c r="C241" s="2">
        <v>927</v>
      </c>
    </row>
    <row r="242" spans="1:3">
      <c r="A242" s="2" t="s">
        <v>1880</v>
      </c>
      <c r="B242" s="2" t="s">
        <v>39</v>
      </c>
      <c r="C242" s="2">
        <v>916</v>
      </c>
    </row>
    <row r="243" spans="1:3">
      <c r="A243" s="2" t="s">
        <v>290</v>
      </c>
      <c r="B243" s="2" t="s">
        <v>39</v>
      </c>
      <c r="C243" s="2">
        <v>915</v>
      </c>
    </row>
    <row r="244" spans="1:3">
      <c r="A244" s="2" t="s">
        <v>4525</v>
      </c>
      <c r="B244" s="2" t="s">
        <v>39</v>
      </c>
      <c r="C244" s="2">
        <v>911</v>
      </c>
    </row>
    <row r="245" spans="1:3">
      <c r="A245" s="2" t="s">
        <v>1861</v>
      </c>
      <c r="B245" s="2" t="s">
        <v>39</v>
      </c>
      <c r="C245" s="2">
        <v>906</v>
      </c>
    </row>
    <row r="246" spans="1:3">
      <c r="A246" s="2" t="s">
        <v>164</v>
      </c>
      <c r="B246" s="2" t="s">
        <v>39</v>
      </c>
      <c r="C246" s="2">
        <v>904</v>
      </c>
    </row>
    <row r="247" spans="1:3">
      <c r="A247" s="2" t="s">
        <v>3433</v>
      </c>
      <c r="B247" s="2" t="s">
        <v>39</v>
      </c>
      <c r="C247" s="2">
        <v>901</v>
      </c>
    </row>
    <row r="248" spans="1:3">
      <c r="A248" s="2" t="s">
        <v>1108</v>
      </c>
      <c r="B248" s="2" t="s">
        <v>39</v>
      </c>
      <c r="C248" s="2">
        <v>900</v>
      </c>
    </row>
    <row r="249" spans="1:3">
      <c r="A249" s="2" t="s">
        <v>2973</v>
      </c>
      <c r="B249" s="2" t="s">
        <v>39</v>
      </c>
      <c r="C249" s="2">
        <v>896</v>
      </c>
    </row>
    <row r="250" spans="1:3">
      <c r="A250" s="2" t="s">
        <v>237</v>
      </c>
      <c r="B250" s="2" t="s">
        <v>39</v>
      </c>
      <c r="C250" s="2">
        <v>894</v>
      </c>
    </row>
    <row r="251" spans="1:3">
      <c r="A251" s="2" t="s">
        <v>1591</v>
      </c>
      <c r="B251" s="2" t="s">
        <v>39</v>
      </c>
      <c r="C251" s="2">
        <v>894</v>
      </c>
    </row>
    <row r="252" spans="1:3">
      <c r="A252" s="2" t="s">
        <v>2415</v>
      </c>
      <c r="B252" s="2" t="s">
        <v>39</v>
      </c>
      <c r="C252" s="2">
        <v>894</v>
      </c>
    </row>
    <row r="253" spans="1:3">
      <c r="A253" s="2" t="s">
        <v>3793</v>
      </c>
      <c r="B253" s="2" t="s">
        <v>39</v>
      </c>
      <c r="C253" s="2">
        <v>894</v>
      </c>
    </row>
    <row r="254" spans="1:3">
      <c r="A254" s="2" t="s">
        <v>4530</v>
      </c>
      <c r="B254" s="2" t="s">
        <v>39</v>
      </c>
      <c r="C254" s="2">
        <v>893</v>
      </c>
    </row>
    <row r="255" spans="1:3">
      <c r="A255" s="2" t="s">
        <v>1067</v>
      </c>
      <c r="B255" s="2" t="s">
        <v>39</v>
      </c>
      <c r="C255" s="2">
        <v>885</v>
      </c>
    </row>
    <row r="256" spans="1:3">
      <c r="A256" s="2" t="s">
        <v>4566</v>
      </c>
      <c r="B256" s="2" t="s">
        <v>39</v>
      </c>
      <c r="C256" s="2">
        <v>885</v>
      </c>
    </row>
    <row r="257" spans="1:3">
      <c r="A257" s="2" t="s">
        <v>1914</v>
      </c>
      <c r="B257" s="2" t="s">
        <v>39</v>
      </c>
      <c r="C257" s="2">
        <v>885</v>
      </c>
    </row>
    <row r="258" spans="1:3">
      <c r="A258" s="2" t="s">
        <v>4544</v>
      </c>
      <c r="B258" s="2" t="s">
        <v>39</v>
      </c>
      <c r="C258" s="2">
        <v>883</v>
      </c>
    </row>
    <row r="259" spans="1:3">
      <c r="A259" s="2" t="s">
        <v>2434</v>
      </c>
      <c r="B259" s="2" t="s">
        <v>39</v>
      </c>
      <c r="C259" s="2">
        <v>882</v>
      </c>
    </row>
    <row r="260" spans="1:3">
      <c r="A260" s="2" t="s">
        <v>1039</v>
      </c>
      <c r="B260" s="2" t="s">
        <v>39</v>
      </c>
      <c r="C260" s="2">
        <v>875</v>
      </c>
    </row>
    <row r="261" spans="1:3">
      <c r="A261" s="2" t="s">
        <v>986</v>
      </c>
      <c r="B261" s="2" t="s">
        <v>39</v>
      </c>
      <c r="C261" s="2">
        <v>874</v>
      </c>
    </row>
    <row r="262" spans="1:3">
      <c r="A262" s="2" t="s">
        <v>134</v>
      </c>
      <c r="B262" s="2" t="s">
        <v>39</v>
      </c>
      <c r="C262" s="2">
        <v>872</v>
      </c>
    </row>
    <row r="263" spans="1:3">
      <c r="A263" s="2" t="s">
        <v>963</v>
      </c>
      <c r="B263" s="2" t="s">
        <v>39</v>
      </c>
      <c r="C263" s="2">
        <v>872</v>
      </c>
    </row>
    <row r="264" spans="1:3">
      <c r="A264" s="2" t="s">
        <v>2978</v>
      </c>
      <c r="B264" s="2" t="s">
        <v>39</v>
      </c>
      <c r="C264" s="2">
        <v>863</v>
      </c>
    </row>
    <row r="265" spans="1:3">
      <c r="A265" s="2" t="s">
        <v>231</v>
      </c>
      <c r="B265" s="2" t="s">
        <v>39</v>
      </c>
      <c r="C265" s="2">
        <v>863</v>
      </c>
    </row>
    <row r="266" spans="1:3">
      <c r="A266" s="2" t="s">
        <v>3842</v>
      </c>
      <c r="B266" s="2" t="s">
        <v>39</v>
      </c>
      <c r="C266" s="2">
        <v>861</v>
      </c>
    </row>
    <row r="267" spans="1:3">
      <c r="A267" s="2" t="s">
        <v>4485</v>
      </c>
      <c r="B267" s="2" t="s">
        <v>39</v>
      </c>
      <c r="C267" s="2">
        <v>860</v>
      </c>
    </row>
    <row r="268" spans="1:3">
      <c r="A268" s="2" t="s">
        <v>4508</v>
      </c>
      <c r="B268" s="2" t="s">
        <v>39</v>
      </c>
      <c r="C268" s="2">
        <v>858</v>
      </c>
    </row>
    <row r="269" spans="1:3">
      <c r="A269" s="2" t="s">
        <v>1055</v>
      </c>
      <c r="B269" s="2" t="s">
        <v>39</v>
      </c>
      <c r="C269" s="2">
        <v>856</v>
      </c>
    </row>
    <row r="270" spans="1:3">
      <c r="A270" s="2" t="s">
        <v>4513</v>
      </c>
      <c r="B270" s="2" t="s">
        <v>39</v>
      </c>
      <c r="C270" s="2">
        <v>854</v>
      </c>
    </row>
    <row r="271" spans="1:3">
      <c r="A271" s="2" t="s">
        <v>1951</v>
      </c>
      <c r="B271" s="2" t="s">
        <v>39</v>
      </c>
      <c r="C271" s="2">
        <v>854</v>
      </c>
    </row>
    <row r="272" spans="1:3">
      <c r="A272" s="2" t="s">
        <v>3832</v>
      </c>
      <c r="B272" s="2" t="s">
        <v>39</v>
      </c>
      <c r="C272" s="2">
        <v>849</v>
      </c>
    </row>
    <row r="273" spans="1:3">
      <c r="A273" s="2" t="s">
        <v>2429</v>
      </c>
      <c r="B273" s="2" t="s">
        <v>39</v>
      </c>
      <c r="C273" s="2">
        <v>845</v>
      </c>
    </row>
    <row r="274" spans="1:3">
      <c r="A274" s="2" t="s">
        <v>1088</v>
      </c>
      <c r="B274" s="2" t="s">
        <v>39</v>
      </c>
      <c r="C274" s="2">
        <v>842</v>
      </c>
    </row>
    <row r="275" spans="1:3">
      <c r="A275" s="2" t="s">
        <v>3463</v>
      </c>
      <c r="B275" s="2" t="s">
        <v>39</v>
      </c>
      <c r="C275" s="2">
        <v>835</v>
      </c>
    </row>
    <row r="276" spans="1:3">
      <c r="A276" s="2" t="s">
        <v>1025</v>
      </c>
      <c r="B276" s="2" t="s">
        <v>39</v>
      </c>
      <c r="C276" s="2">
        <v>835</v>
      </c>
    </row>
    <row r="277" spans="1:3">
      <c r="A277" s="2" t="s">
        <v>1858</v>
      </c>
      <c r="B277" s="2" t="s">
        <v>39</v>
      </c>
      <c r="C277" s="2">
        <v>833</v>
      </c>
    </row>
    <row r="278" spans="1:3">
      <c r="A278" s="2" t="s">
        <v>116</v>
      </c>
      <c r="B278" s="2" t="s">
        <v>39</v>
      </c>
      <c r="C278" s="2">
        <v>827</v>
      </c>
    </row>
    <row r="279" spans="1:3">
      <c r="A279" s="2" t="s">
        <v>3001</v>
      </c>
      <c r="B279" s="2" t="s">
        <v>39</v>
      </c>
      <c r="C279" s="2">
        <v>825</v>
      </c>
    </row>
    <row r="280" spans="1:3">
      <c r="A280" s="2" t="s">
        <v>4506</v>
      </c>
      <c r="B280" s="2" t="s">
        <v>39</v>
      </c>
      <c r="C280" s="2">
        <v>824</v>
      </c>
    </row>
    <row r="281" spans="1:3">
      <c r="A281" s="2" t="s">
        <v>252</v>
      </c>
      <c r="B281" s="2" t="s">
        <v>39</v>
      </c>
      <c r="C281" s="2">
        <v>818</v>
      </c>
    </row>
    <row r="282" spans="1:3">
      <c r="A282" s="2" t="s">
        <v>4481</v>
      </c>
      <c r="B282" s="2" t="s">
        <v>39</v>
      </c>
      <c r="C282" s="2">
        <v>817</v>
      </c>
    </row>
    <row r="283" spans="1:3">
      <c r="A283" s="2" t="s">
        <v>143</v>
      </c>
      <c r="B283" s="2" t="s">
        <v>39</v>
      </c>
      <c r="C283" s="2">
        <v>816</v>
      </c>
    </row>
    <row r="284" spans="1:3">
      <c r="A284" s="2" t="s">
        <v>1898</v>
      </c>
      <c r="B284" s="2" t="s">
        <v>39</v>
      </c>
      <c r="C284" s="2">
        <v>815</v>
      </c>
    </row>
    <row r="285" spans="1:3">
      <c r="A285" s="2" t="s">
        <v>225</v>
      </c>
      <c r="B285" s="2" t="s">
        <v>39</v>
      </c>
      <c r="C285" s="2">
        <v>814</v>
      </c>
    </row>
    <row r="286" spans="1:3">
      <c r="A286" s="2" t="s">
        <v>4492</v>
      </c>
      <c r="B286" s="2" t="s">
        <v>39</v>
      </c>
      <c r="C286" s="2">
        <v>814</v>
      </c>
    </row>
    <row r="287" spans="1:3">
      <c r="A287" s="2" t="s">
        <v>1078</v>
      </c>
      <c r="B287" s="2" t="s">
        <v>39</v>
      </c>
      <c r="C287" s="2">
        <v>812</v>
      </c>
    </row>
    <row r="288" spans="1:3">
      <c r="A288" s="2" t="s">
        <v>1586</v>
      </c>
      <c r="B288" s="2" t="s">
        <v>39</v>
      </c>
      <c r="C288" s="2">
        <v>809</v>
      </c>
    </row>
    <row r="289" spans="1:3">
      <c r="A289" s="2" t="s">
        <v>3416</v>
      </c>
      <c r="B289" s="2" t="s">
        <v>39</v>
      </c>
      <c r="C289" s="2">
        <v>804</v>
      </c>
    </row>
    <row r="290" spans="1:3">
      <c r="A290" s="2" t="s">
        <v>58</v>
      </c>
      <c r="B290" s="2" t="s">
        <v>39</v>
      </c>
      <c r="C290" s="2">
        <v>802</v>
      </c>
    </row>
    <row r="291" spans="1:3">
      <c r="A291" s="2" t="s">
        <v>3830</v>
      </c>
      <c r="B291" s="2" t="s">
        <v>39</v>
      </c>
      <c r="C291" s="2">
        <v>802</v>
      </c>
    </row>
    <row r="292" spans="1:3">
      <c r="A292" s="2" t="s">
        <v>994</v>
      </c>
      <c r="B292" s="2" t="s">
        <v>39</v>
      </c>
      <c r="C292" s="2">
        <v>800</v>
      </c>
    </row>
    <row r="293" spans="1:3">
      <c r="A293" s="2" t="s">
        <v>1080</v>
      </c>
      <c r="B293" s="2" t="s">
        <v>39</v>
      </c>
      <c r="C293" s="2">
        <v>799</v>
      </c>
    </row>
    <row r="294" spans="1:3">
      <c r="A294" s="2" t="s">
        <v>4264</v>
      </c>
      <c r="B294" s="2" t="s">
        <v>39</v>
      </c>
      <c r="C294" s="2">
        <v>798</v>
      </c>
    </row>
    <row r="295" spans="1:3">
      <c r="A295" s="2" t="s">
        <v>2970</v>
      </c>
      <c r="B295" s="2" t="s">
        <v>39</v>
      </c>
      <c r="C295" s="2">
        <v>796</v>
      </c>
    </row>
    <row r="296" spans="1:3">
      <c r="A296" s="2" t="s">
        <v>85</v>
      </c>
      <c r="B296" s="2" t="s">
        <v>39</v>
      </c>
      <c r="C296" s="2">
        <v>794</v>
      </c>
    </row>
    <row r="297" spans="1:3">
      <c r="A297" s="2" t="s">
        <v>4556</v>
      </c>
      <c r="B297" s="2" t="s">
        <v>39</v>
      </c>
      <c r="C297" s="2">
        <v>791</v>
      </c>
    </row>
    <row r="298" spans="1:3">
      <c r="A298" s="2" t="s">
        <v>3848</v>
      </c>
      <c r="B298" s="2" t="s">
        <v>39</v>
      </c>
      <c r="C298" s="2">
        <v>788</v>
      </c>
    </row>
    <row r="299" spans="1:3">
      <c r="A299" s="2" t="s">
        <v>3816</v>
      </c>
      <c r="B299" s="2" t="s">
        <v>39</v>
      </c>
      <c r="C299" s="2">
        <v>787</v>
      </c>
    </row>
    <row r="300" spans="1:3">
      <c r="A300" s="2" t="s">
        <v>1043</v>
      </c>
      <c r="B300" s="2" t="s">
        <v>39</v>
      </c>
      <c r="C300" s="2">
        <v>784</v>
      </c>
    </row>
    <row r="301" spans="1:3">
      <c r="A301" s="2" t="s">
        <v>2470</v>
      </c>
      <c r="B301" s="2" t="s">
        <v>39</v>
      </c>
      <c r="C301" s="2">
        <v>779</v>
      </c>
    </row>
    <row r="302" spans="1:3">
      <c r="A302" s="2" t="s">
        <v>2455</v>
      </c>
      <c r="B302" s="2" t="s">
        <v>39</v>
      </c>
      <c r="C302" s="2">
        <v>775</v>
      </c>
    </row>
    <row r="303" spans="1:3">
      <c r="A303" s="2" t="s">
        <v>2511</v>
      </c>
      <c r="B303" s="2" t="s">
        <v>39</v>
      </c>
      <c r="C303" s="2">
        <v>772</v>
      </c>
    </row>
    <row r="304" spans="1:3">
      <c r="A304" s="2" t="s">
        <v>141</v>
      </c>
      <c r="B304" s="2" t="s">
        <v>39</v>
      </c>
      <c r="C304" s="2">
        <v>772</v>
      </c>
    </row>
    <row r="305" spans="1:3">
      <c r="A305" s="2" t="s">
        <v>2496</v>
      </c>
      <c r="B305" s="2" t="s">
        <v>39</v>
      </c>
      <c r="C305" s="2">
        <v>769</v>
      </c>
    </row>
    <row r="306" spans="1:3">
      <c r="A306" s="2" t="s">
        <v>145</v>
      </c>
      <c r="B306" s="2" t="s">
        <v>39</v>
      </c>
      <c r="C306" s="2">
        <v>769</v>
      </c>
    </row>
    <row r="307" spans="1:3">
      <c r="A307" s="2" t="s">
        <v>2517</v>
      </c>
      <c r="B307" s="2" t="s">
        <v>39</v>
      </c>
      <c r="C307" s="2">
        <v>766</v>
      </c>
    </row>
    <row r="308" spans="1:3">
      <c r="A308" s="2" t="s">
        <v>3868</v>
      </c>
      <c r="B308" s="2" t="s">
        <v>39</v>
      </c>
      <c r="C308" s="2">
        <v>766</v>
      </c>
    </row>
    <row r="309" spans="1:3">
      <c r="A309" s="2" t="s">
        <v>3015</v>
      </c>
      <c r="B309" s="2" t="s">
        <v>39</v>
      </c>
      <c r="C309" s="2">
        <v>766</v>
      </c>
    </row>
    <row r="310" spans="1:3">
      <c r="A310" s="2" t="s">
        <v>4235</v>
      </c>
      <c r="B310" s="2" t="s">
        <v>39</v>
      </c>
      <c r="C310" s="2">
        <v>764</v>
      </c>
    </row>
    <row r="311" spans="1:3">
      <c r="A311" s="2" t="s">
        <v>975</v>
      </c>
      <c r="B311" s="2" t="s">
        <v>39</v>
      </c>
      <c r="C311" s="2">
        <v>764</v>
      </c>
    </row>
    <row r="312" spans="1:3">
      <c r="A312" s="2" t="s">
        <v>1069</v>
      </c>
      <c r="B312" s="2" t="s">
        <v>39</v>
      </c>
      <c r="C312" s="2">
        <v>762</v>
      </c>
    </row>
    <row r="313" spans="1:3">
      <c r="A313" s="2" t="s">
        <v>4521</v>
      </c>
      <c r="B313" s="2" t="s">
        <v>39</v>
      </c>
      <c r="C313" s="2">
        <v>757</v>
      </c>
    </row>
    <row r="314" spans="1:3">
      <c r="A314" s="2" t="s">
        <v>3812</v>
      </c>
      <c r="B314" s="2" t="s">
        <v>39</v>
      </c>
      <c r="C314" s="2">
        <v>755</v>
      </c>
    </row>
    <row r="315" spans="1:3">
      <c r="A315" s="2" t="s">
        <v>2515</v>
      </c>
      <c r="B315" s="2" t="s">
        <v>39</v>
      </c>
      <c r="C315" s="2">
        <v>755</v>
      </c>
    </row>
    <row r="316" spans="1:3">
      <c r="A316" s="2" t="s">
        <v>215</v>
      </c>
      <c r="B316" s="2" t="s">
        <v>39</v>
      </c>
      <c r="C316" s="2">
        <v>744</v>
      </c>
    </row>
    <row r="317" spans="1:3">
      <c r="A317" s="2" t="s">
        <v>1605</v>
      </c>
      <c r="B317" s="2" t="s">
        <v>39</v>
      </c>
      <c r="C317" s="2">
        <v>742</v>
      </c>
    </row>
    <row r="318" spans="1:3">
      <c r="A318" s="2" t="s">
        <v>1071</v>
      </c>
      <c r="B318" s="2" t="s">
        <v>39</v>
      </c>
      <c r="C318" s="2">
        <v>741</v>
      </c>
    </row>
    <row r="319" spans="1:3">
      <c r="A319" s="2" t="s">
        <v>1619</v>
      </c>
      <c r="B319" s="2" t="s">
        <v>39</v>
      </c>
      <c r="C319" s="2">
        <v>733</v>
      </c>
    </row>
    <row r="320" spans="1:3">
      <c r="A320" s="2" t="s">
        <v>223</v>
      </c>
      <c r="B320" s="2" t="s">
        <v>39</v>
      </c>
      <c r="C320" s="2">
        <v>730</v>
      </c>
    </row>
    <row r="321" spans="1:3">
      <c r="A321" s="2" t="s">
        <v>4252</v>
      </c>
      <c r="B321" s="2" t="s">
        <v>39</v>
      </c>
      <c r="C321" s="2">
        <v>728</v>
      </c>
    </row>
    <row r="322" spans="1:3">
      <c r="A322" s="2" t="s">
        <v>2967</v>
      </c>
      <c r="B322" s="2" t="s">
        <v>39</v>
      </c>
      <c r="C322" s="2">
        <v>728</v>
      </c>
    </row>
    <row r="323" spans="1:3">
      <c r="A323" s="2" t="s">
        <v>217</v>
      </c>
      <c r="B323" s="2" t="s">
        <v>39</v>
      </c>
      <c r="C323" s="2">
        <v>724</v>
      </c>
    </row>
    <row r="324" spans="1:3">
      <c r="A324" s="2" t="s">
        <v>1872</v>
      </c>
      <c r="B324" s="2" t="s">
        <v>39</v>
      </c>
      <c r="C324" s="2">
        <v>722</v>
      </c>
    </row>
    <row r="325" spans="1:3">
      <c r="A325" s="2" t="s">
        <v>4258</v>
      </c>
      <c r="B325" s="2" t="s">
        <v>39</v>
      </c>
      <c r="C325" s="2">
        <v>721</v>
      </c>
    </row>
    <row r="326" spans="1:3">
      <c r="A326" s="2" t="s">
        <v>2995</v>
      </c>
      <c r="B326" s="2" t="s">
        <v>39</v>
      </c>
      <c r="C326" s="2">
        <v>720</v>
      </c>
    </row>
    <row r="327" spans="1:3">
      <c r="A327" s="2" t="s">
        <v>3840</v>
      </c>
      <c r="B327" s="2" t="s">
        <v>39</v>
      </c>
      <c r="C327" s="2">
        <v>716</v>
      </c>
    </row>
    <row r="328" spans="1:3">
      <c r="A328" s="2" t="s">
        <v>1090</v>
      </c>
      <c r="B328" s="2" t="s">
        <v>39</v>
      </c>
      <c r="C328" s="2">
        <v>716</v>
      </c>
    </row>
    <row r="329" spans="1:3">
      <c r="A329" s="2" t="s">
        <v>4560</v>
      </c>
      <c r="B329" s="2" t="s">
        <v>39</v>
      </c>
      <c r="C329" s="2">
        <v>715</v>
      </c>
    </row>
    <row r="330" spans="1:3">
      <c r="A330" s="2" t="s">
        <v>980</v>
      </c>
      <c r="B330" s="2" t="s">
        <v>39</v>
      </c>
      <c r="C330" s="2">
        <v>711</v>
      </c>
    </row>
    <row r="331" spans="1:3">
      <c r="A331" s="2" t="s">
        <v>132</v>
      </c>
      <c r="B331" s="2" t="s">
        <v>39</v>
      </c>
      <c r="C331" s="2">
        <v>710</v>
      </c>
    </row>
    <row r="332" spans="1:3">
      <c r="A332" s="2" t="s">
        <v>3886</v>
      </c>
      <c r="B332" s="2" t="s">
        <v>39</v>
      </c>
      <c r="C332" s="2">
        <v>707</v>
      </c>
    </row>
    <row r="333" spans="1:3">
      <c r="A333" s="2" t="s">
        <v>1006</v>
      </c>
      <c r="B333" s="2" t="s">
        <v>39</v>
      </c>
      <c r="C333" s="2">
        <v>700</v>
      </c>
    </row>
    <row r="334" spans="1:3">
      <c r="A334" s="2" t="s">
        <v>3469</v>
      </c>
      <c r="B334" s="2" t="s">
        <v>39</v>
      </c>
      <c r="C334" s="2">
        <v>700</v>
      </c>
    </row>
    <row r="335" spans="1:3">
      <c r="A335" s="2" t="s">
        <v>984</v>
      </c>
      <c r="B335" s="2" t="s">
        <v>39</v>
      </c>
      <c r="C335" s="2">
        <v>694</v>
      </c>
    </row>
    <row r="336" spans="1:3">
      <c r="A336" s="2" t="s">
        <v>3884</v>
      </c>
      <c r="B336" s="2" t="s">
        <v>39</v>
      </c>
      <c r="C336" s="2">
        <v>693</v>
      </c>
    </row>
    <row r="337" spans="1:3">
      <c r="A337" s="2" t="s">
        <v>3003</v>
      </c>
      <c r="B337" s="2" t="s">
        <v>39</v>
      </c>
      <c r="C337" s="2">
        <v>692</v>
      </c>
    </row>
    <row r="338" spans="1:3">
      <c r="A338" s="2" t="s">
        <v>4540</v>
      </c>
      <c r="B338" s="2" t="s">
        <v>39</v>
      </c>
      <c r="C338" s="2">
        <v>692</v>
      </c>
    </row>
    <row r="339" spans="1:3">
      <c r="A339" s="2" t="s">
        <v>4532</v>
      </c>
      <c r="B339" s="2" t="s">
        <v>39</v>
      </c>
      <c r="C339" s="2">
        <v>691</v>
      </c>
    </row>
    <row r="340" spans="1:3">
      <c r="A340" s="2" t="s">
        <v>3461</v>
      </c>
      <c r="B340" s="2" t="s">
        <v>39</v>
      </c>
      <c r="C340" s="2">
        <v>690</v>
      </c>
    </row>
    <row r="341" spans="1:3">
      <c r="A341" s="2" t="s">
        <v>4260</v>
      </c>
      <c r="B341" s="2" t="s">
        <v>39</v>
      </c>
      <c r="C341" s="2">
        <v>685</v>
      </c>
    </row>
    <row r="342" spans="1:3">
      <c r="A342" s="2" t="s">
        <v>3874</v>
      </c>
      <c r="B342" s="2" t="s">
        <v>39</v>
      </c>
      <c r="C342" s="2">
        <v>681</v>
      </c>
    </row>
    <row r="343" spans="1:3">
      <c r="A343" s="2" t="s">
        <v>1047</v>
      </c>
      <c r="B343" s="2" t="s">
        <v>39</v>
      </c>
      <c r="C343" s="2">
        <v>680</v>
      </c>
    </row>
    <row r="344" spans="1:3">
      <c r="A344" s="2" t="s">
        <v>4534</v>
      </c>
      <c r="B344" s="2" t="s">
        <v>39</v>
      </c>
      <c r="C344" s="2">
        <v>680</v>
      </c>
    </row>
    <row r="345" spans="1:3">
      <c r="A345" s="2" t="s">
        <v>3435</v>
      </c>
      <c r="B345" s="2" t="s">
        <v>39</v>
      </c>
      <c r="C345" s="2">
        <v>676</v>
      </c>
    </row>
    <row r="346" spans="1:3">
      <c r="A346" s="2" t="s">
        <v>3453</v>
      </c>
      <c r="B346" s="2" t="s">
        <v>39</v>
      </c>
      <c r="C346" s="2">
        <v>674</v>
      </c>
    </row>
    <row r="347" spans="1:3">
      <c r="A347" s="2" t="s">
        <v>1834</v>
      </c>
      <c r="B347" s="2" t="s">
        <v>39</v>
      </c>
      <c r="C347" s="2">
        <v>674</v>
      </c>
    </row>
    <row r="348" spans="1:3">
      <c r="A348" s="2" t="s">
        <v>2390</v>
      </c>
      <c r="B348" s="2" t="s">
        <v>39</v>
      </c>
      <c r="C348" s="2">
        <v>672</v>
      </c>
    </row>
    <row r="349" spans="1:3">
      <c r="A349" s="2" t="s">
        <v>3858</v>
      </c>
      <c r="B349" s="2" t="s">
        <v>39</v>
      </c>
      <c r="C349" s="2">
        <v>670</v>
      </c>
    </row>
    <row r="350" spans="1:3">
      <c r="A350" s="2" t="s">
        <v>2993</v>
      </c>
      <c r="B350" s="2" t="s">
        <v>39</v>
      </c>
      <c r="C350" s="2">
        <v>668</v>
      </c>
    </row>
    <row r="351" spans="1:3">
      <c r="A351" s="2" t="s">
        <v>3823</v>
      </c>
      <c r="B351" s="2" t="s">
        <v>39</v>
      </c>
      <c r="C351" s="2">
        <v>666</v>
      </c>
    </row>
    <row r="352" spans="1:3">
      <c r="A352" s="2" t="s">
        <v>1086</v>
      </c>
      <c r="B352" s="2" t="s">
        <v>39</v>
      </c>
      <c r="C352" s="2">
        <v>665</v>
      </c>
    </row>
    <row r="353" spans="1:3">
      <c r="A353" s="2" t="s">
        <v>2502</v>
      </c>
      <c r="B353" s="2" t="s">
        <v>39</v>
      </c>
      <c r="C353" s="2">
        <v>665</v>
      </c>
    </row>
    <row r="354" spans="1:3">
      <c r="A354" s="2" t="s">
        <v>3801</v>
      </c>
      <c r="B354" s="2" t="s">
        <v>39</v>
      </c>
      <c r="C354" s="2">
        <v>664</v>
      </c>
    </row>
    <row r="355" spans="1:3">
      <c r="A355" s="2" t="s">
        <v>2997</v>
      </c>
      <c r="B355" s="2" t="s">
        <v>39</v>
      </c>
      <c r="C355" s="2">
        <v>662</v>
      </c>
    </row>
    <row r="356" spans="1:3">
      <c r="A356" s="2" t="s">
        <v>55</v>
      </c>
      <c r="B356" s="2" t="s">
        <v>39</v>
      </c>
      <c r="C356" s="2">
        <v>653</v>
      </c>
    </row>
    <row r="357" spans="1:3">
      <c r="A357" s="2" t="s">
        <v>1017</v>
      </c>
      <c r="B357" s="2" t="s">
        <v>39</v>
      </c>
      <c r="C357" s="2">
        <v>651</v>
      </c>
    </row>
    <row r="358" spans="1:3">
      <c r="A358" s="2" t="s">
        <v>2492</v>
      </c>
      <c r="B358" s="2" t="s">
        <v>39</v>
      </c>
      <c r="C358" s="2">
        <v>648</v>
      </c>
    </row>
    <row r="359" spans="1:3">
      <c r="A359" s="2" t="s">
        <v>1013</v>
      </c>
      <c r="B359" s="2" t="s">
        <v>39</v>
      </c>
      <c r="C359" s="2">
        <v>646</v>
      </c>
    </row>
    <row r="360" spans="1:3">
      <c r="A360" s="2" t="s">
        <v>94</v>
      </c>
      <c r="B360" s="2" t="s">
        <v>39</v>
      </c>
      <c r="C360" s="2">
        <v>638</v>
      </c>
    </row>
    <row r="361" spans="1:3">
      <c r="A361" s="2" t="s">
        <v>2393</v>
      </c>
      <c r="B361" s="2" t="s">
        <v>39</v>
      </c>
      <c r="C361" s="2">
        <v>636</v>
      </c>
    </row>
    <row r="362" spans="1:3">
      <c r="A362" s="2" t="s">
        <v>221</v>
      </c>
      <c r="B362" s="2" t="s">
        <v>39</v>
      </c>
      <c r="C362" s="2">
        <v>635</v>
      </c>
    </row>
    <row r="363" spans="1:3">
      <c r="A363" s="2" t="s">
        <v>961</v>
      </c>
      <c r="B363" s="2" t="s">
        <v>39</v>
      </c>
      <c r="C363" s="2">
        <v>632</v>
      </c>
    </row>
    <row r="364" spans="1:3">
      <c r="A364" s="2" t="s">
        <v>1940</v>
      </c>
      <c r="B364" s="2" t="s">
        <v>39</v>
      </c>
      <c r="C364" s="2">
        <v>625</v>
      </c>
    </row>
    <row r="365" spans="1:3">
      <c r="A365" s="2" t="s">
        <v>956</v>
      </c>
      <c r="B365" s="2" t="s">
        <v>39</v>
      </c>
      <c r="C365" s="2">
        <v>620</v>
      </c>
    </row>
    <row r="366" spans="1:3">
      <c r="A366" s="2" t="s">
        <v>1885</v>
      </c>
      <c r="B366" s="2" t="s">
        <v>39</v>
      </c>
      <c r="C366" s="2">
        <v>618</v>
      </c>
    </row>
    <row r="367" spans="1:3">
      <c r="A367" s="2" t="s">
        <v>3421</v>
      </c>
      <c r="B367" s="2" t="s">
        <v>39</v>
      </c>
      <c r="C367" s="2">
        <v>614</v>
      </c>
    </row>
    <row r="368" spans="1:3">
      <c r="A368" s="2" t="s">
        <v>3890</v>
      </c>
      <c r="B368" s="2" t="s">
        <v>39</v>
      </c>
      <c r="C368" s="2">
        <v>609</v>
      </c>
    </row>
    <row r="369" spans="1:3">
      <c r="A369" s="2" t="s">
        <v>977</v>
      </c>
      <c r="B369" s="2" t="s">
        <v>39</v>
      </c>
      <c r="C369" s="2">
        <v>603</v>
      </c>
    </row>
    <row r="370" spans="1:3">
      <c r="A370" s="2" t="s">
        <v>1617</v>
      </c>
      <c r="B370" s="2" t="s">
        <v>39</v>
      </c>
      <c r="C370" s="2">
        <v>600</v>
      </c>
    </row>
    <row r="371" spans="1:3">
      <c r="A371" s="2" t="s">
        <v>3820</v>
      </c>
      <c r="B371" s="2" t="s">
        <v>39</v>
      </c>
      <c r="C371" s="2">
        <v>599</v>
      </c>
    </row>
    <row r="372" spans="1:3">
      <c r="A372" s="2" t="s">
        <v>1948</v>
      </c>
      <c r="B372" s="2" t="s">
        <v>39</v>
      </c>
      <c r="C372" s="2">
        <v>598</v>
      </c>
    </row>
    <row r="373" spans="1:3">
      <c r="A373" s="2" t="s">
        <v>4511</v>
      </c>
      <c r="B373" s="2" t="s">
        <v>39</v>
      </c>
      <c r="C373" s="2">
        <v>594</v>
      </c>
    </row>
    <row r="374" spans="1:3">
      <c r="A374" s="2" t="s">
        <v>954</v>
      </c>
      <c r="B374" s="2" t="s">
        <v>39</v>
      </c>
      <c r="C374" s="2">
        <v>594</v>
      </c>
    </row>
    <row r="375" spans="1:3">
      <c r="A375" s="2" t="s">
        <v>1924</v>
      </c>
      <c r="B375" s="2" t="s">
        <v>39</v>
      </c>
      <c r="C375" s="2">
        <v>592</v>
      </c>
    </row>
    <row r="376" spans="1:3">
      <c r="A376" s="2" t="s">
        <v>2418</v>
      </c>
      <c r="B376" s="2" t="s">
        <v>39</v>
      </c>
      <c r="C376" s="2">
        <v>587</v>
      </c>
    </row>
    <row r="377" spans="1:3">
      <c r="A377" s="2" t="s">
        <v>4266</v>
      </c>
      <c r="B377" s="2" t="s">
        <v>39</v>
      </c>
      <c r="C377" s="2">
        <v>584</v>
      </c>
    </row>
    <row r="378" spans="1:3">
      <c r="A378" s="2" t="s">
        <v>4248</v>
      </c>
      <c r="B378" s="2" t="s">
        <v>39</v>
      </c>
      <c r="C378" s="2">
        <v>576</v>
      </c>
    </row>
    <row r="379" spans="1:3">
      <c r="A379" s="2" t="s">
        <v>2406</v>
      </c>
      <c r="B379" s="2" t="s">
        <v>39</v>
      </c>
      <c r="C379" s="2">
        <v>576</v>
      </c>
    </row>
    <row r="380" spans="1:3">
      <c r="A380" s="2" t="s">
        <v>3465</v>
      </c>
      <c r="B380" s="2" t="s">
        <v>39</v>
      </c>
      <c r="C380" s="2">
        <v>566</v>
      </c>
    </row>
    <row r="381" spans="1:3">
      <c r="A381" s="2" t="s">
        <v>3471</v>
      </c>
      <c r="B381" s="2" t="s">
        <v>39</v>
      </c>
      <c r="C381" s="2">
        <v>562</v>
      </c>
    </row>
    <row r="382" spans="1:3">
      <c r="A382" s="2" t="s">
        <v>1106</v>
      </c>
      <c r="B382" s="2" t="s">
        <v>39</v>
      </c>
      <c r="C382" s="2">
        <v>561</v>
      </c>
    </row>
    <row r="383" spans="1:3">
      <c r="A383" s="2" t="s">
        <v>3878</v>
      </c>
      <c r="B383" s="2" t="s">
        <v>39</v>
      </c>
      <c r="C383" s="2">
        <v>561</v>
      </c>
    </row>
    <row r="384" spans="1:3">
      <c r="A384" s="2" t="s">
        <v>1851</v>
      </c>
      <c r="B384" s="2" t="s">
        <v>39</v>
      </c>
      <c r="C384" s="2">
        <v>560</v>
      </c>
    </row>
    <row r="385" spans="1:3">
      <c r="A385" s="2" t="s">
        <v>2413</v>
      </c>
      <c r="B385" s="2" t="s">
        <v>39</v>
      </c>
      <c r="C385" s="2">
        <v>554</v>
      </c>
    </row>
    <row r="386" spans="1:3">
      <c r="A386" s="2" t="s">
        <v>1082</v>
      </c>
      <c r="B386" s="2" t="s">
        <v>39</v>
      </c>
      <c r="C386" s="2">
        <v>553</v>
      </c>
    </row>
    <row r="387" spans="1:3">
      <c r="A387" s="2" t="s">
        <v>3807</v>
      </c>
      <c r="B387" s="2" t="s">
        <v>39</v>
      </c>
      <c r="C387" s="2">
        <v>553</v>
      </c>
    </row>
    <row r="388" spans="1:3">
      <c r="A388" s="2" t="s">
        <v>3860</v>
      </c>
      <c r="B388" s="2" t="s">
        <v>39</v>
      </c>
      <c r="C388" s="2">
        <v>548</v>
      </c>
    </row>
    <row r="389" spans="1:3">
      <c r="A389" s="2" t="s">
        <v>3872</v>
      </c>
      <c r="B389" s="2" t="s">
        <v>39</v>
      </c>
      <c r="C389" s="2">
        <v>547</v>
      </c>
    </row>
    <row r="390" spans="1:3">
      <c r="A390" s="2" t="s">
        <v>210</v>
      </c>
      <c r="B390" s="2" t="s">
        <v>39</v>
      </c>
      <c r="C390" s="2">
        <v>544</v>
      </c>
    </row>
    <row r="391" spans="1:3">
      <c r="A391" s="2" t="s">
        <v>2401</v>
      </c>
      <c r="B391" s="2" t="s">
        <v>39</v>
      </c>
      <c r="C391" s="2">
        <v>543</v>
      </c>
    </row>
    <row r="392" spans="1:3">
      <c r="A392" s="2" t="s">
        <v>1110</v>
      </c>
      <c r="B392" s="2" t="s">
        <v>39</v>
      </c>
      <c r="C392" s="2">
        <v>536</v>
      </c>
    </row>
    <row r="393" spans="1:3">
      <c r="A393" s="2" t="s">
        <v>244</v>
      </c>
      <c r="B393" s="2" t="s">
        <v>39</v>
      </c>
      <c r="C393" s="2">
        <v>528</v>
      </c>
    </row>
    <row r="394" spans="1:3">
      <c r="A394" s="2" t="s">
        <v>1893</v>
      </c>
      <c r="B394" s="2" t="s">
        <v>39</v>
      </c>
      <c r="C394" s="2">
        <v>525</v>
      </c>
    </row>
    <row r="395" spans="1:3">
      <c r="A395" s="2" t="s">
        <v>3426</v>
      </c>
      <c r="B395" s="2" t="s">
        <v>39</v>
      </c>
      <c r="C395" s="2">
        <v>523</v>
      </c>
    </row>
    <row r="396" spans="1:3">
      <c r="A396" s="2" t="s">
        <v>2498</v>
      </c>
      <c r="B396" s="2" t="s">
        <v>39</v>
      </c>
      <c r="C396" s="2">
        <v>522</v>
      </c>
    </row>
    <row r="397" spans="1:3">
      <c r="A397" s="2" t="s">
        <v>951</v>
      </c>
      <c r="B397" s="2" t="s">
        <v>39</v>
      </c>
      <c r="C397" s="2">
        <v>521</v>
      </c>
    </row>
    <row r="398" spans="1:3">
      <c r="A398" s="2" t="s">
        <v>3870</v>
      </c>
      <c r="B398" s="2" t="s">
        <v>39</v>
      </c>
      <c r="C398" s="2">
        <v>513</v>
      </c>
    </row>
    <row r="399" spans="1:3">
      <c r="A399" s="2" t="s">
        <v>2384</v>
      </c>
      <c r="B399" s="2" t="s">
        <v>39</v>
      </c>
      <c r="C399" s="2">
        <v>504</v>
      </c>
    </row>
    <row r="400" spans="1:3">
      <c r="A400" s="2" t="s">
        <v>3888</v>
      </c>
      <c r="B400" s="2" t="s">
        <v>39</v>
      </c>
      <c r="C400" s="2">
        <v>503</v>
      </c>
    </row>
    <row r="401" spans="1:3">
      <c r="A401" s="2" t="s">
        <v>1031</v>
      </c>
      <c r="B401" s="2" t="s">
        <v>39</v>
      </c>
      <c r="C401" s="2">
        <v>500</v>
      </c>
    </row>
    <row r="402" spans="1:3">
      <c r="A402" s="2" t="s">
        <v>1102</v>
      </c>
      <c r="B402" s="2" t="s">
        <v>39</v>
      </c>
      <c r="C402" s="2">
        <v>498</v>
      </c>
    </row>
    <row r="403" spans="1:3">
      <c r="A403" s="2" t="s">
        <v>1033</v>
      </c>
      <c r="B403" s="2" t="s">
        <v>39</v>
      </c>
      <c r="C403" s="2">
        <v>497</v>
      </c>
    </row>
    <row r="404" spans="1:3">
      <c r="A404" s="2" t="s">
        <v>3009</v>
      </c>
      <c r="B404" s="2" t="s">
        <v>39</v>
      </c>
      <c r="C404" s="2">
        <v>489</v>
      </c>
    </row>
    <row r="405" spans="1:3">
      <c r="A405" s="2" t="s">
        <v>2481</v>
      </c>
      <c r="B405" s="2" t="s">
        <v>39</v>
      </c>
      <c r="C405" s="2">
        <v>483</v>
      </c>
    </row>
    <row r="406" spans="1:3">
      <c r="A406" s="2" t="s">
        <v>2457</v>
      </c>
      <c r="B406" s="2" t="s">
        <v>39</v>
      </c>
      <c r="C406" s="2">
        <v>479</v>
      </c>
    </row>
    <row r="407" spans="1:3">
      <c r="A407" s="2" t="s">
        <v>208</v>
      </c>
      <c r="B407" s="2" t="s">
        <v>39</v>
      </c>
      <c r="C407" s="2">
        <v>478</v>
      </c>
    </row>
    <row r="408" spans="1:3">
      <c r="A408" s="2" t="s">
        <v>988</v>
      </c>
      <c r="B408" s="2" t="s">
        <v>39</v>
      </c>
      <c r="C408" s="2">
        <v>475</v>
      </c>
    </row>
    <row r="409" spans="1:3">
      <c r="A409" s="2" t="s">
        <v>4574</v>
      </c>
      <c r="B409" s="2" t="s">
        <v>39</v>
      </c>
      <c r="C409" s="2">
        <v>475</v>
      </c>
    </row>
    <row r="410" spans="1:3">
      <c r="A410" s="2" t="s">
        <v>197</v>
      </c>
      <c r="B410" s="2" t="s">
        <v>39</v>
      </c>
      <c r="C410" s="2">
        <v>455</v>
      </c>
    </row>
    <row r="411" spans="1:3">
      <c r="A411" s="2" t="s">
        <v>3442</v>
      </c>
      <c r="B411" s="2" t="s">
        <v>39</v>
      </c>
      <c r="C411" s="2">
        <v>453</v>
      </c>
    </row>
    <row r="412" spans="1:3">
      <c r="A412" s="2" t="s">
        <v>106</v>
      </c>
      <c r="B412" s="2" t="s">
        <v>39</v>
      </c>
      <c r="C412" s="2">
        <v>451</v>
      </c>
    </row>
    <row r="413" spans="1:3">
      <c r="A413" s="2" t="s">
        <v>3818</v>
      </c>
      <c r="B413" s="2" t="s">
        <v>39</v>
      </c>
      <c r="C413" s="2">
        <v>448</v>
      </c>
    </row>
    <row r="414" spans="1:3">
      <c r="A414" s="2" t="s">
        <v>3457</v>
      </c>
      <c r="B414" s="2" t="s">
        <v>39</v>
      </c>
      <c r="C414" s="2">
        <v>444</v>
      </c>
    </row>
    <row r="415" spans="1:3">
      <c r="A415" s="2" t="s">
        <v>2488</v>
      </c>
      <c r="B415" s="2" t="s">
        <v>39</v>
      </c>
      <c r="C415" s="2">
        <v>437</v>
      </c>
    </row>
    <row r="416" spans="1:3">
      <c r="A416" s="2" t="s">
        <v>3866</v>
      </c>
      <c r="B416" s="2" t="s">
        <v>39</v>
      </c>
      <c r="C416" s="2">
        <v>431</v>
      </c>
    </row>
    <row r="417" spans="1:3">
      <c r="A417" s="2" t="s">
        <v>1057</v>
      </c>
      <c r="B417" s="2" t="s">
        <v>39</v>
      </c>
      <c r="C417" s="2">
        <v>424</v>
      </c>
    </row>
    <row r="418" spans="1:3">
      <c r="A418" s="2" t="s">
        <v>4262</v>
      </c>
      <c r="B418" s="2" t="s">
        <v>39</v>
      </c>
      <c r="C418" s="2">
        <v>422</v>
      </c>
    </row>
    <row r="419" spans="1:3">
      <c r="A419" s="2" t="s">
        <v>3799</v>
      </c>
      <c r="B419" s="2" t="s">
        <v>39</v>
      </c>
      <c r="C419" s="2">
        <v>421</v>
      </c>
    </row>
    <row r="420" spans="1:3">
      <c r="A420" s="2" t="s">
        <v>1000</v>
      </c>
      <c r="B420" s="2" t="s">
        <v>39</v>
      </c>
      <c r="C420" s="2">
        <v>420</v>
      </c>
    </row>
    <row r="421" spans="1:3">
      <c r="A421" s="2" t="s">
        <v>3846</v>
      </c>
      <c r="B421" s="2" t="s">
        <v>39</v>
      </c>
      <c r="C421" s="2">
        <v>419</v>
      </c>
    </row>
    <row r="422" spans="1:3">
      <c r="A422" s="2" t="s">
        <v>212</v>
      </c>
      <c r="B422" s="2" t="s">
        <v>39</v>
      </c>
      <c r="C422" s="2">
        <v>417</v>
      </c>
    </row>
    <row r="423" spans="1:3">
      <c r="A423" s="2" t="s">
        <v>1942</v>
      </c>
      <c r="B423" s="2" t="s">
        <v>39</v>
      </c>
      <c r="C423" s="2">
        <v>411</v>
      </c>
    </row>
    <row r="424" spans="1:3">
      <c r="A424" s="2" t="s">
        <v>1891</v>
      </c>
      <c r="B424" s="2" t="s">
        <v>39</v>
      </c>
      <c r="C424" s="2">
        <v>409</v>
      </c>
    </row>
    <row r="425" spans="1:3">
      <c r="A425" s="2" t="s">
        <v>4542</v>
      </c>
      <c r="B425" s="2" t="s">
        <v>39</v>
      </c>
      <c r="C425" s="2">
        <v>409</v>
      </c>
    </row>
    <row r="426" spans="1:3">
      <c r="A426" s="2" t="s">
        <v>1595</v>
      </c>
      <c r="B426" s="2" t="s">
        <v>39</v>
      </c>
      <c r="C426" s="2">
        <v>403</v>
      </c>
    </row>
    <row r="427" spans="1:3">
      <c r="A427" s="2" t="s">
        <v>1100</v>
      </c>
      <c r="B427" s="2" t="s">
        <v>39</v>
      </c>
      <c r="C427" s="2">
        <v>403</v>
      </c>
    </row>
    <row r="428" spans="1:3">
      <c r="A428" s="2" t="s">
        <v>1613</v>
      </c>
      <c r="B428" s="2" t="s">
        <v>39</v>
      </c>
      <c r="C428" s="2">
        <v>402</v>
      </c>
    </row>
    <row r="429" spans="1:3">
      <c r="A429" s="2" t="s">
        <v>4550</v>
      </c>
      <c r="B429" s="2" t="s">
        <v>39</v>
      </c>
      <c r="C429" s="2">
        <v>400</v>
      </c>
    </row>
    <row r="430" spans="1:3">
      <c r="A430" s="2" t="s">
        <v>4568</v>
      </c>
      <c r="B430" s="2" t="s">
        <v>39</v>
      </c>
      <c r="C430" s="2">
        <v>389</v>
      </c>
    </row>
    <row r="431" spans="1:3">
      <c r="A431" s="2" t="s">
        <v>4250</v>
      </c>
      <c r="B431" s="2" t="s">
        <v>39</v>
      </c>
      <c r="C431" s="2">
        <v>388</v>
      </c>
    </row>
    <row r="432" spans="1:3">
      <c r="A432" s="2" t="s">
        <v>1010</v>
      </c>
      <c r="B432" s="2" t="s">
        <v>39</v>
      </c>
      <c r="C432" s="2">
        <v>379</v>
      </c>
    </row>
    <row r="433" spans="1:3">
      <c r="A433" s="2" t="s">
        <v>958</v>
      </c>
      <c r="B433" s="2" t="s">
        <v>39</v>
      </c>
      <c r="C433" s="2">
        <v>376</v>
      </c>
    </row>
    <row r="434" spans="1:3">
      <c r="A434" s="2" t="s">
        <v>3444</v>
      </c>
      <c r="B434" s="2" t="s">
        <v>39</v>
      </c>
      <c r="C434" s="2">
        <v>374</v>
      </c>
    </row>
    <row r="435" spans="1:3">
      <c r="A435" s="2" t="s">
        <v>88</v>
      </c>
      <c r="B435" s="2" t="s">
        <v>39</v>
      </c>
      <c r="C435" s="2">
        <v>368</v>
      </c>
    </row>
    <row r="436" spans="1:3">
      <c r="A436" s="2" t="s">
        <v>1061</v>
      </c>
      <c r="B436" s="2" t="s">
        <v>39</v>
      </c>
      <c r="C436" s="2">
        <v>366</v>
      </c>
    </row>
    <row r="437" spans="1:3">
      <c r="A437" s="2" t="s">
        <v>3011</v>
      </c>
      <c r="B437" s="2" t="s">
        <v>39</v>
      </c>
      <c r="C437" s="2">
        <v>352</v>
      </c>
    </row>
    <row r="438" spans="1:3">
      <c r="A438" s="2" t="s">
        <v>1076</v>
      </c>
      <c r="B438" s="2" t="s">
        <v>39</v>
      </c>
      <c r="C438" s="2">
        <v>347</v>
      </c>
    </row>
    <row r="439" spans="1:3">
      <c r="A439" s="2" t="s">
        <v>4241</v>
      </c>
      <c r="B439" s="2" t="s">
        <v>39</v>
      </c>
      <c r="C439" s="2">
        <v>346</v>
      </c>
    </row>
    <row r="440" spans="1:3">
      <c r="A440" s="2" t="s">
        <v>3825</v>
      </c>
      <c r="B440" s="2" t="s">
        <v>39</v>
      </c>
      <c r="C440" s="2">
        <v>340</v>
      </c>
    </row>
    <row r="441" spans="1:3">
      <c r="A441" s="2" t="s">
        <v>2500</v>
      </c>
      <c r="B441" s="2" t="s">
        <v>39</v>
      </c>
      <c r="C441" s="2">
        <v>332</v>
      </c>
    </row>
    <row r="442" spans="1:3">
      <c r="A442" s="2" t="s">
        <v>1098</v>
      </c>
      <c r="B442" s="2" t="s">
        <v>39</v>
      </c>
      <c r="C442" s="2">
        <v>324</v>
      </c>
    </row>
    <row r="443" spans="1:3">
      <c r="A443" s="2" t="s">
        <v>4239</v>
      </c>
      <c r="B443" s="2" t="s">
        <v>39</v>
      </c>
      <c r="C443" s="2">
        <v>316</v>
      </c>
    </row>
    <row r="444" spans="1:3">
      <c r="A444" s="2" t="s">
        <v>1023</v>
      </c>
      <c r="B444" s="2" t="s">
        <v>39</v>
      </c>
      <c r="C444" s="2">
        <v>315</v>
      </c>
    </row>
    <row r="445" spans="1:3">
      <c r="A445" s="2" t="s">
        <v>4268</v>
      </c>
      <c r="B445" s="2" t="s">
        <v>39</v>
      </c>
      <c r="C445" s="2">
        <v>309</v>
      </c>
    </row>
    <row r="446" spans="1:3">
      <c r="A446" s="2" t="s">
        <v>2976</v>
      </c>
      <c r="B446" s="2" t="s">
        <v>39</v>
      </c>
      <c r="C446" s="2">
        <v>307</v>
      </c>
    </row>
    <row r="447" spans="1:3">
      <c r="A447" s="2" t="s">
        <v>4232</v>
      </c>
      <c r="B447" s="2" t="s">
        <v>39</v>
      </c>
      <c r="C447" s="2">
        <v>302</v>
      </c>
    </row>
    <row r="448" spans="1:3">
      <c r="A448" s="2" t="s">
        <v>1957</v>
      </c>
      <c r="B448" s="2" t="s">
        <v>39</v>
      </c>
      <c r="C448" s="2">
        <v>302</v>
      </c>
    </row>
    <row r="449" spans="1:3">
      <c r="A449" s="2" t="s">
        <v>1843</v>
      </c>
      <c r="B449" s="2" t="s">
        <v>39</v>
      </c>
      <c r="C449" s="2">
        <v>298</v>
      </c>
    </row>
    <row r="450" spans="1:3">
      <c r="A450" s="2" t="s">
        <v>2403</v>
      </c>
      <c r="B450" s="2" t="s">
        <v>39</v>
      </c>
      <c r="C450" s="2">
        <v>297</v>
      </c>
    </row>
    <row r="451" spans="1:3">
      <c r="A451" s="2" t="s">
        <v>4552</v>
      </c>
      <c r="B451" s="2" t="s">
        <v>39</v>
      </c>
      <c r="C451" s="2">
        <v>296</v>
      </c>
    </row>
    <row r="452" spans="1:3">
      <c r="A452" s="2" t="s">
        <v>4572</v>
      </c>
      <c r="B452" s="2" t="s">
        <v>39</v>
      </c>
      <c r="C452" s="2">
        <v>293</v>
      </c>
    </row>
    <row r="453" spans="1:3">
      <c r="A453" s="2" t="s">
        <v>1869</v>
      </c>
      <c r="B453" s="2" t="s">
        <v>39</v>
      </c>
      <c r="C453" s="2">
        <v>291</v>
      </c>
    </row>
    <row r="454" spans="1:3">
      <c r="A454" s="2" t="s">
        <v>233</v>
      </c>
      <c r="B454" s="2" t="s">
        <v>39</v>
      </c>
      <c r="C454" s="2">
        <v>284</v>
      </c>
    </row>
    <row r="455" spans="1:3">
      <c r="A455" s="2" t="s">
        <v>4527</v>
      </c>
      <c r="B455" s="2" t="s">
        <v>39</v>
      </c>
      <c r="C455" s="2">
        <v>278</v>
      </c>
    </row>
    <row r="456" spans="1:3">
      <c r="A456" s="2" t="s">
        <v>242</v>
      </c>
      <c r="B456" s="2" t="s">
        <v>39</v>
      </c>
      <c r="C456" s="2">
        <v>261</v>
      </c>
    </row>
    <row r="457" spans="1:3">
      <c r="A457" s="2" t="s">
        <v>1955</v>
      </c>
      <c r="B457" s="2" t="s">
        <v>39</v>
      </c>
      <c r="C457" s="2">
        <v>249</v>
      </c>
    </row>
    <row r="458" spans="1:3">
      <c r="A458" s="2" t="s">
        <v>1602</v>
      </c>
      <c r="B458" s="2" t="s">
        <v>39</v>
      </c>
      <c r="C458" s="2">
        <v>240</v>
      </c>
    </row>
    <row r="459" spans="1:3">
      <c r="A459" s="2" t="s">
        <v>3804</v>
      </c>
      <c r="B459" s="2" t="s">
        <v>39</v>
      </c>
      <c r="C459" s="2">
        <v>236</v>
      </c>
    </row>
    <row r="460" spans="1:3">
      <c r="A460" s="2" t="s">
        <v>3892</v>
      </c>
      <c r="B460" s="2" t="s">
        <v>39</v>
      </c>
      <c r="C460" s="2">
        <v>235</v>
      </c>
    </row>
    <row r="461" spans="1:3">
      <c r="A461" s="2" t="s">
        <v>3854</v>
      </c>
      <c r="B461" s="2" t="s">
        <v>39</v>
      </c>
      <c r="C461" s="2">
        <v>233</v>
      </c>
    </row>
    <row r="462" spans="1:3">
      <c r="A462" s="2" t="s">
        <v>3862</v>
      </c>
      <c r="B462" s="2" t="s">
        <v>39</v>
      </c>
      <c r="C462" s="2">
        <v>219</v>
      </c>
    </row>
    <row r="463" spans="1:3">
      <c r="A463" s="2" t="s">
        <v>3446</v>
      </c>
      <c r="B463" s="2" t="s">
        <v>39</v>
      </c>
      <c r="C463" s="2">
        <v>212</v>
      </c>
    </row>
    <row r="464" spans="1:3">
      <c r="A464" s="2" t="s">
        <v>1041</v>
      </c>
      <c r="B464" s="2" t="s">
        <v>39</v>
      </c>
      <c r="C464" s="2">
        <v>207</v>
      </c>
    </row>
    <row r="465" spans="1:3">
      <c r="A465" s="2" t="s">
        <v>4244</v>
      </c>
      <c r="B465" s="2" t="s">
        <v>39</v>
      </c>
      <c r="C465" s="2">
        <v>204</v>
      </c>
    </row>
    <row r="466" spans="1:3">
      <c r="A466" s="2" t="s">
        <v>2466</v>
      </c>
      <c r="B466" s="2" t="s">
        <v>39</v>
      </c>
      <c r="C466" s="2">
        <v>200</v>
      </c>
    </row>
    <row r="467" spans="1:3">
      <c r="A467" s="2" t="s">
        <v>4558</v>
      </c>
      <c r="B467" s="2" t="s">
        <v>39</v>
      </c>
      <c r="C467" s="2">
        <v>194</v>
      </c>
    </row>
    <row r="468" spans="1:3">
      <c r="A468" s="2" t="s">
        <v>3837</v>
      </c>
      <c r="B468" s="2" t="s">
        <v>39</v>
      </c>
      <c r="C468" s="2">
        <v>190</v>
      </c>
    </row>
    <row r="469" spans="1:3">
      <c r="A469" s="2" t="s">
        <v>3828</v>
      </c>
      <c r="B469" s="2" t="s">
        <v>39</v>
      </c>
      <c r="C469" s="2">
        <v>179</v>
      </c>
    </row>
    <row r="470" spans="1:3">
      <c r="A470" s="2" t="s">
        <v>1065</v>
      </c>
      <c r="B470" s="2" t="s">
        <v>39</v>
      </c>
      <c r="C470" s="2">
        <v>179</v>
      </c>
    </row>
    <row r="471" spans="1:3">
      <c r="A471" s="2" t="s">
        <v>992</v>
      </c>
      <c r="B471" s="2" t="s">
        <v>39</v>
      </c>
      <c r="C471" s="2">
        <v>179</v>
      </c>
    </row>
    <row r="472" spans="1:3">
      <c r="A472" s="2" t="s">
        <v>4256</v>
      </c>
      <c r="B472" s="2" t="s">
        <v>39</v>
      </c>
      <c r="C472" s="2">
        <v>162</v>
      </c>
    </row>
    <row r="473" spans="1:3">
      <c r="A473" s="2" t="s">
        <v>1840</v>
      </c>
      <c r="B473" s="2" t="s">
        <v>39</v>
      </c>
      <c r="C473" s="2">
        <v>146</v>
      </c>
    </row>
    <row r="474" spans="1:3">
      <c r="A474" s="2" t="s">
        <v>67</v>
      </c>
      <c r="B474" s="2" t="s">
        <v>39</v>
      </c>
      <c r="C474" s="2">
        <v>142</v>
      </c>
    </row>
    <row r="475" spans="1:3">
      <c r="A475" s="2" t="s">
        <v>4226</v>
      </c>
      <c r="B475" s="2" t="s">
        <v>39</v>
      </c>
      <c r="C475" s="2">
        <v>140</v>
      </c>
    </row>
    <row r="476" spans="1:3">
      <c r="A476" s="2" t="s">
        <v>4576</v>
      </c>
      <c r="B476" s="2" t="s">
        <v>39</v>
      </c>
      <c r="C476" s="2">
        <v>136</v>
      </c>
    </row>
    <row r="477" spans="1:3">
      <c r="A477" s="2" t="s">
        <v>3797</v>
      </c>
      <c r="B477" s="2" t="s">
        <v>39</v>
      </c>
      <c r="C477" s="2">
        <v>136</v>
      </c>
    </row>
    <row r="478" spans="1:3">
      <c r="A478" s="2" t="s">
        <v>4517</v>
      </c>
      <c r="B478" s="2" t="s">
        <v>39</v>
      </c>
      <c r="C478" s="2">
        <v>129</v>
      </c>
    </row>
    <row r="479" spans="1:3">
      <c r="A479" s="2" t="s">
        <v>2486</v>
      </c>
      <c r="B479" s="2" t="s">
        <v>39</v>
      </c>
      <c r="C479" s="2">
        <v>124</v>
      </c>
    </row>
    <row r="480" spans="1:3">
      <c r="A480" s="2" t="s">
        <v>4223</v>
      </c>
      <c r="B480" s="2" t="s">
        <v>39</v>
      </c>
      <c r="C480" s="2">
        <v>114</v>
      </c>
    </row>
    <row r="481" spans="1:3">
      <c r="A481" s="2" t="s">
        <v>990</v>
      </c>
      <c r="B481" s="2" t="s">
        <v>39</v>
      </c>
      <c r="C481" s="2">
        <v>113</v>
      </c>
    </row>
    <row r="482" spans="1:3">
      <c r="A482" s="2" t="s">
        <v>4498</v>
      </c>
      <c r="B482" s="2" t="s">
        <v>39</v>
      </c>
      <c r="C482" s="2">
        <v>108</v>
      </c>
    </row>
    <row r="483" spans="1:3">
      <c r="A483" s="2" t="s">
        <v>3423</v>
      </c>
      <c r="B483" s="2" t="s">
        <v>39</v>
      </c>
      <c r="C483" s="2">
        <v>108</v>
      </c>
    </row>
    <row r="484" spans="1:3">
      <c r="A484" s="2" t="s">
        <v>1916</v>
      </c>
      <c r="B484" s="2" t="s">
        <v>39</v>
      </c>
      <c r="C484" s="2">
        <v>83</v>
      </c>
    </row>
    <row r="485" spans="1:3">
      <c r="A485" s="2" t="s">
        <v>4564</v>
      </c>
      <c r="B485" s="2" t="s">
        <v>39</v>
      </c>
      <c r="C485" s="2">
        <v>66</v>
      </c>
    </row>
    <row r="486" spans="1:3">
      <c r="A486" s="2" t="s">
        <v>3459</v>
      </c>
      <c r="B486" s="2" t="s">
        <v>39</v>
      </c>
      <c r="C486" s="2">
        <v>59</v>
      </c>
    </row>
    <row r="487" spans="1:3">
      <c r="A487" s="2" t="s">
        <v>3448</v>
      </c>
      <c r="B487" s="2" t="s">
        <v>39</v>
      </c>
      <c r="C487" s="2">
        <v>40</v>
      </c>
    </row>
    <row r="488" spans="1:3">
      <c r="A488" s="2" t="s">
        <v>3834</v>
      </c>
      <c r="B488" s="2" t="s">
        <v>39</v>
      </c>
      <c r="C488" s="2">
        <v>27</v>
      </c>
    </row>
    <row r="489" spans="1:3">
      <c r="A489" s="2" t="s">
        <v>352</v>
      </c>
      <c r="B489" s="2" t="s">
        <v>36</v>
      </c>
      <c r="C489" s="2">
        <v>1958</v>
      </c>
    </row>
    <row r="490" spans="1:3">
      <c r="A490" s="2" t="s">
        <v>358</v>
      </c>
      <c r="B490" s="2" t="s">
        <v>36</v>
      </c>
      <c r="C490" s="2">
        <v>1900</v>
      </c>
    </row>
    <row r="491" spans="1:3">
      <c r="A491" s="2" t="s">
        <v>318</v>
      </c>
      <c r="B491" s="2" t="s">
        <v>36</v>
      </c>
      <c r="C491" s="2">
        <v>1863</v>
      </c>
    </row>
    <row r="492" spans="1:3">
      <c r="A492" s="2" t="s">
        <v>329</v>
      </c>
      <c r="B492" s="2" t="s">
        <v>36</v>
      </c>
      <c r="C492" s="2">
        <v>1777</v>
      </c>
    </row>
    <row r="493" spans="1:3">
      <c r="A493" s="2" t="s">
        <v>340</v>
      </c>
      <c r="B493" s="2" t="s">
        <v>36</v>
      </c>
      <c r="C493" s="2">
        <v>1770</v>
      </c>
    </row>
    <row r="494" spans="1:3">
      <c r="A494" s="2" t="s">
        <v>335</v>
      </c>
      <c r="B494" s="2" t="s">
        <v>36</v>
      </c>
      <c r="C494" s="2">
        <v>1720</v>
      </c>
    </row>
    <row r="495" spans="1:3">
      <c r="A495" s="2" t="s">
        <v>369</v>
      </c>
      <c r="B495" s="2" t="s">
        <v>36</v>
      </c>
      <c r="C495" s="2">
        <v>1717</v>
      </c>
    </row>
    <row r="496" spans="1:3">
      <c r="A496" s="2" t="s">
        <v>1184</v>
      </c>
      <c r="B496" s="2" t="s">
        <v>36</v>
      </c>
      <c r="C496" s="2">
        <v>1700</v>
      </c>
    </row>
    <row r="497" spans="1:3">
      <c r="A497" s="2" t="s">
        <v>383</v>
      </c>
      <c r="B497" s="2" t="s">
        <v>36</v>
      </c>
      <c r="C497" s="2">
        <v>1674</v>
      </c>
    </row>
    <row r="498" spans="1:3">
      <c r="A498" s="2" t="s">
        <v>390</v>
      </c>
      <c r="B498" s="2" t="s">
        <v>36</v>
      </c>
      <c r="C498" s="2">
        <v>1663</v>
      </c>
    </row>
    <row r="499" spans="1:3">
      <c r="A499" s="2" t="s">
        <v>392</v>
      </c>
      <c r="B499" s="2" t="s">
        <v>36</v>
      </c>
      <c r="C499" s="2">
        <v>1656</v>
      </c>
    </row>
    <row r="500" spans="1:3">
      <c r="A500" s="2" t="s">
        <v>2080</v>
      </c>
      <c r="B500" s="2" t="s">
        <v>36</v>
      </c>
      <c r="C500" s="2">
        <v>1642</v>
      </c>
    </row>
    <row r="501" spans="1:3">
      <c r="A501" s="2" t="s">
        <v>381</v>
      </c>
      <c r="B501" s="2" t="s">
        <v>36</v>
      </c>
      <c r="C501" s="2">
        <v>1634</v>
      </c>
    </row>
    <row r="502" spans="1:3">
      <c r="A502" s="2" t="s">
        <v>1188</v>
      </c>
      <c r="B502" s="2" t="s">
        <v>36</v>
      </c>
      <c r="C502" s="2">
        <v>1628</v>
      </c>
    </row>
    <row r="503" spans="1:3">
      <c r="A503" s="2" t="s">
        <v>399</v>
      </c>
      <c r="B503" s="2" t="s">
        <v>36</v>
      </c>
      <c r="C503" s="2">
        <v>1609</v>
      </c>
    </row>
    <row r="504" spans="1:3">
      <c r="A504" s="2" t="s">
        <v>391</v>
      </c>
      <c r="B504" s="2" t="s">
        <v>36</v>
      </c>
      <c r="C504" s="2">
        <v>1608</v>
      </c>
    </row>
    <row r="505" spans="1:3">
      <c r="A505" s="2" t="s">
        <v>3990</v>
      </c>
      <c r="B505" s="2" t="s">
        <v>36</v>
      </c>
      <c r="C505" s="2">
        <v>1605</v>
      </c>
    </row>
    <row r="506" spans="1:3">
      <c r="A506" s="2" t="s">
        <v>427</v>
      </c>
      <c r="B506" s="2" t="s">
        <v>36</v>
      </c>
      <c r="C506" s="2">
        <v>1604</v>
      </c>
    </row>
    <row r="507" spans="1:3">
      <c r="A507" s="2" t="s">
        <v>1173</v>
      </c>
      <c r="B507" s="2" t="s">
        <v>36</v>
      </c>
      <c r="C507" s="2">
        <v>1604</v>
      </c>
    </row>
    <row r="508" spans="1:3">
      <c r="A508" s="2" t="s">
        <v>328</v>
      </c>
      <c r="B508" s="2" t="s">
        <v>36</v>
      </c>
      <c r="C508" s="2">
        <v>1602</v>
      </c>
    </row>
    <row r="509" spans="1:3">
      <c r="A509" s="2" t="s">
        <v>3059</v>
      </c>
      <c r="B509" s="2" t="s">
        <v>36</v>
      </c>
      <c r="C509" s="2">
        <v>1597</v>
      </c>
    </row>
    <row r="510" spans="1:3">
      <c r="A510" s="2" t="s">
        <v>363</v>
      </c>
      <c r="B510" s="2" t="s">
        <v>36</v>
      </c>
      <c r="C510" s="2">
        <v>1597</v>
      </c>
    </row>
    <row r="511" spans="1:3">
      <c r="A511" s="2" t="s">
        <v>3974</v>
      </c>
      <c r="B511" s="2" t="s">
        <v>36</v>
      </c>
      <c r="C511" s="2">
        <v>1597</v>
      </c>
    </row>
    <row r="512" spans="1:3">
      <c r="A512" s="2" t="s">
        <v>1199</v>
      </c>
      <c r="B512" s="2" t="s">
        <v>36</v>
      </c>
      <c r="C512" s="2">
        <v>1591</v>
      </c>
    </row>
    <row r="513" spans="1:3">
      <c r="A513" s="2" t="s">
        <v>405</v>
      </c>
      <c r="B513" s="2" t="s">
        <v>36</v>
      </c>
      <c r="C513" s="2">
        <v>1588</v>
      </c>
    </row>
    <row r="514" spans="1:3">
      <c r="A514" s="2" t="s">
        <v>2581</v>
      </c>
      <c r="B514" s="2" t="s">
        <v>36</v>
      </c>
      <c r="C514" s="2">
        <v>1580</v>
      </c>
    </row>
    <row r="515" spans="1:3">
      <c r="A515" s="2" t="s">
        <v>366</v>
      </c>
      <c r="B515" s="2" t="s">
        <v>36</v>
      </c>
      <c r="C515" s="2">
        <v>1575</v>
      </c>
    </row>
    <row r="516" spans="1:3">
      <c r="A516" s="2" t="s">
        <v>401</v>
      </c>
      <c r="B516" s="2" t="s">
        <v>36</v>
      </c>
      <c r="C516" s="2">
        <v>1567</v>
      </c>
    </row>
    <row r="517" spans="1:3">
      <c r="A517" s="2" t="s">
        <v>416</v>
      </c>
      <c r="B517" s="2" t="s">
        <v>36</v>
      </c>
      <c r="C517" s="2">
        <v>1559</v>
      </c>
    </row>
    <row r="518" spans="1:3">
      <c r="A518" s="2" t="s">
        <v>1168</v>
      </c>
      <c r="B518" s="2" t="s">
        <v>36</v>
      </c>
      <c r="C518" s="2">
        <v>1555</v>
      </c>
    </row>
    <row r="519" spans="1:3">
      <c r="A519" s="2" t="s">
        <v>4310</v>
      </c>
      <c r="B519" s="2" t="s">
        <v>36</v>
      </c>
      <c r="C519" s="2">
        <v>1553</v>
      </c>
    </row>
    <row r="520" spans="1:3">
      <c r="A520" s="2" t="s">
        <v>2062</v>
      </c>
      <c r="B520" s="2" t="s">
        <v>36</v>
      </c>
      <c r="C520" s="2">
        <v>1545</v>
      </c>
    </row>
    <row r="521" spans="1:3">
      <c r="A521" s="2" t="s">
        <v>2603</v>
      </c>
      <c r="B521" s="2" t="s">
        <v>36</v>
      </c>
      <c r="C521" s="2">
        <v>1543</v>
      </c>
    </row>
    <row r="522" spans="1:3">
      <c r="A522" s="2" t="s">
        <v>403</v>
      </c>
      <c r="B522" s="2" t="s">
        <v>36</v>
      </c>
      <c r="C522" s="2">
        <v>1543</v>
      </c>
    </row>
    <row r="523" spans="1:3">
      <c r="A523" s="2" t="s">
        <v>1969</v>
      </c>
      <c r="B523" s="2" t="s">
        <v>36</v>
      </c>
      <c r="C523" s="2">
        <v>1542</v>
      </c>
    </row>
    <row r="524" spans="1:3">
      <c r="A524" s="2" t="s">
        <v>413</v>
      </c>
      <c r="B524" s="2" t="s">
        <v>36</v>
      </c>
      <c r="C524" s="2">
        <v>1539</v>
      </c>
    </row>
    <row r="525" spans="1:3">
      <c r="A525" s="2" t="s">
        <v>3106</v>
      </c>
      <c r="B525" s="2" t="s">
        <v>36</v>
      </c>
      <c r="C525" s="2">
        <v>1533</v>
      </c>
    </row>
    <row r="526" spans="1:3">
      <c r="A526" s="2" t="s">
        <v>2576</v>
      </c>
      <c r="B526" s="2" t="s">
        <v>36</v>
      </c>
      <c r="C526" s="2">
        <v>1529</v>
      </c>
    </row>
    <row r="527" spans="1:3">
      <c r="A527" s="2" t="s">
        <v>2647</v>
      </c>
      <c r="B527" s="2" t="s">
        <v>36</v>
      </c>
      <c r="C527" s="2">
        <v>1525</v>
      </c>
    </row>
    <row r="528" spans="1:3">
      <c r="A528" s="2" t="s">
        <v>423</v>
      </c>
      <c r="B528" s="2" t="s">
        <v>36</v>
      </c>
      <c r="C528" s="2">
        <v>1523</v>
      </c>
    </row>
    <row r="529" spans="1:3">
      <c r="A529" s="2" t="s">
        <v>2556</v>
      </c>
      <c r="B529" s="2" t="s">
        <v>36</v>
      </c>
      <c r="C529" s="2">
        <v>1517</v>
      </c>
    </row>
    <row r="530" spans="1:3">
      <c r="A530" s="2" t="s">
        <v>1117</v>
      </c>
      <c r="B530" s="2" t="s">
        <v>36</v>
      </c>
      <c r="C530" s="2">
        <v>1514</v>
      </c>
    </row>
    <row r="531" spans="1:3">
      <c r="A531" s="2" t="s">
        <v>3981</v>
      </c>
      <c r="B531" s="2" t="s">
        <v>36</v>
      </c>
      <c r="C531" s="2">
        <v>1514</v>
      </c>
    </row>
    <row r="532" spans="1:3">
      <c r="A532" s="2" t="s">
        <v>1169</v>
      </c>
      <c r="B532" s="2" t="s">
        <v>36</v>
      </c>
      <c r="C532" s="2">
        <v>1510</v>
      </c>
    </row>
    <row r="533" spans="1:3">
      <c r="A533" s="2" t="s">
        <v>414</v>
      </c>
      <c r="B533" s="2" t="s">
        <v>36</v>
      </c>
      <c r="C533" s="2">
        <v>1510</v>
      </c>
    </row>
    <row r="534" spans="1:3">
      <c r="A534" s="2" t="s">
        <v>4696</v>
      </c>
      <c r="B534" s="2" t="s">
        <v>36</v>
      </c>
      <c r="C534" s="2">
        <v>1491</v>
      </c>
    </row>
    <row r="535" spans="1:3">
      <c r="A535" s="2" t="s">
        <v>2582</v>
      </c>
      <c r="B535" s="2" t="s">
        <v>36</v>
      </c>
      <c r="C535" s="2">
        <v>1489</v>
      </c>
    </row>
    <row r="536" spans="1:3">
      <c r="A536" s="2" t="s">
        <v>1668</v>
      </c>
      <c r="B536" s="2" t="s">
        <v>36</v>
      </c>
      <c r="C536" s="2">
        <v>1486</v>
      </c>
    </row>
    <row r="537" spans="1:3">
      <c r="A537" s="2" t="s">
        <v>1191</v>
      </c>
      <c r="B537" s="2" t="s">
        <v>36</v>
      </c>
      <c r="C537" s="2">
        <v>1486</v>
      </c>
    </row>
    <row r="538" spans="1:3">
      <c r="A538" s="2" t="s">
        <v>1154</v>
      </c>
      <c r="B538" s="2" t="s">
        <v>36</v>
      </c>
      <c r="C538" s="2">
        <v>1477</v>
      </c>
    </row>
    <row r="539" spans="1:3">
      <c r="A539" s="2" t="s">
        <v>1140</v>
      </c>
      <c r="B539" s="2" t="s">
        <v>36</v>
      </c>
      <c r="C539" s="2">
        <v>1474</v>
      </c>
    </row>
    <row r="540" spans="1:3">
      <c r="A540" s="2" t="s">
        <v>3522</v>
      </c>
      <c r="B540" s="2" t="s">
        <v>36</v>
      </c>
      <c r="C540" s="2">
        <v>1472</v>
      </c>
    </row>
    <row r="541" spans="1:3">
      <c r="A541" s="2" t="s">
        <v>1148</v>
      </c>
      <c r="B541" s="2" t="s">
        <v>36</v>
      </c>
      <c r="C541" s="2">
        <v>1467</v>
      </c>
    </row>
    <row r="542" spans="1:3">
      <c r="A542" s="2" t="s">
        <v>2646</v>
      </c>
      <c r="B542" s="2" t="s">
        <v>36</v>
      </c>
      <c r="C542" s="2">
        <v>1464</v>
      </c>
    </row>
    <row r="543" spans="1:3">
      <c r="A543" s="2" t="s">
        <v>301</v>
      </c>
      <c r="B543" s="2" t="s">
        <v>36</v>
      </c>
      <c r="C543" s="2">
        <v>1460</v>
      </c>
    </row>
    <row r="544" spans="1:3">
      <c r="A544" s="2" t="s">
        <v>4002</v>
      </c>
      <c r="B544" s="2" t="s">
        <v>36</v>
      </c>
      <c r="C544" s="2">
        <v>1460</v>
      </c>
    </row>
    <row r="545" spans="1:3">
      <c r="A545" s="2" t="s">
        <v>4707</v>
      </c>
      <c r="B545" s="2" t="s">
        <v>36</v>
      </c>
      <c r="C545" s="2">
        <v>1456</v>
      </c>
    </row>
    <row r="546" spans="1:3">
      <c r="A546" s="2" t="s">
        <v>393</v>
      </c>
      <c r="B546" s="2" t="s">
        <v>36</v>
      </c>
      <c r="C546" s="2">
        <v>1446</v>
      </c>
    </row>
    <row r="547" spans="1:3">
      <c r="A547" s="2" t="s">
        <v>310</v>
      </c>
      <c r="B547" s="2" t="s">
        <v>36</v>
      </c>
      <c r="C547" s="2">
        <v>1444</v>
      </c>
    </row>
    <row r="548" spans="1:3">
      <c r="A548" s="2" t="s">
        <v>2010</v>
      </c>
      <c r="B548" s="2" t="s">
        <v>36</v>
      </c>
      <c r="C548" s="2">
        <v>1427</v>
      </c>
    </row>
    <row r="549" spans="1:3">
      <c r="A549" s="2" t="s">
        <v>2630</v>
      </c>
      <c r="B549" s="2" t="s">
        <v>36</v>
      </c>
      <c r="C549" s="2">
        <v>1425</v>
      </c>
    </row>
    <row r="550" spans="1:3">
      <c r="A550" s="2" t="s">
        <v>3122</v>
      </c>
      <c r="B550" s="2" t="s">
        <v>36</v>
      </c>
      <c r="C550" s="2">
        <v>1403</v>
      </c>
    </row>
    <row r="551" spans="1:3">
      <c r="A551" s="2" t="s">
        <v>3518</v>
      </c>
      <c r="B551" s="2" t="s">
        <v>36</v>
      </c>
      <c r="C551" s="2">
        <v>1401</v>
      </c>
    </row>
    <row r="552" spans="1:3">
      <c r="A552" s="2" t="s">
        <v>400</v>
      </c>
      <c r="B552" s="2" t="s">
        <v>36</v>
      </c>
      <c r="C552" s="2">
        <v>1400</v>
      </c>
    </row>
    <row r="553" spans="1:3">
      <c r="A553" s="2" t="s">
        <v>2602</v>
      </c>
      <c r="B553" s="2" t="s">
        <v>36</v>
      </c>
      <c r="C553" s="2">
        <v>1393</v>
      </c>
    </row>
    <row r="554" spans="1:3">
      <c r="A554" s="2" t="s">
        <v>1649</v>
      </c>
      <c r="B554" s="2" t="s">
        <v>36</v>
      </c>
      <c r="C554" s="2">
        <v>1391</v>
      </c>
    </row>
    <row r="555" spans="1:3">
      <c r="A555" s="2" t="s">
        <v>429</v>
      </c>
      <c r="B555" s="2" t="s">
        <v>36</v>
      </c>
      <c r="C555" s="2">
        <v>1390</v>
      </c>
    </row>
    <row r="556" spans="1:3">
      <c r="A556" s="2" t="s">
        <v>4706</v>
      </c>
      <c r="B556" s="2" t="s">
        <v>36</v>
      </c>
      <c r="C556" s="2">
        <v>1389</v>
      </c>
    </row>
    <row r="557" spans="1:3">
      <c r="A557" s="2" t="s">
        <v>3027</v>
      </c>
      <c r="B557" s="2" t="s">
        <v>36</v>
      </c>
      <c r="C557" s="2">
        <v>1384</v>
      </c>
    </row>
    <row r="558" spans="1:3">
      <c r="A558" s="2" t="s">
        <v>4666</v>
      </c>
      <c r="B558" s="2" t="s">
        <v>36</v>
      </c>
      <c r="C558" s="2">
        <v>1384</v>
      </c>
    </row>
    <row r="559" spans="1:3">
      <c r="A559" s="2" t="s">
        <v>3111</v>
      </c>
      <c r="B559" s="2" t="s">
        <v>36</v>
      </c>
      <c r="C559" s="2">
        <v>1375</v>
      </c>
    </row>
    <row r="560" spans="1:3">
      <c r="A560" s="2" t="s">
        <v>315</v>
      </c>
      <c r="B560" s="2" t="s">
        <v>36</v>
      </c>
      <c r="C560" s="2">
        <v>1372</v>
      </c>
    </row>
    <row r="561" spans="1:3">
      <c r="A561" s="2" t="s">
        <v>1153</v>
      </c>
      <c r="B561" s="2" t="s">
        <v>36</v>
      </c>
      <c r="C561" s="2">
        <v>1370</v>
      </c>
    </row>
    <row r="562" spans="1:3">
      <c r="A562" s="2" t="s">
        <v>1220</v>
      </c>
      <c r="B562" s="2" t="s">
        <v>36</v>
      </c>
      <c r="C562" s="2">
        <v>1369</v>
      </c>
    </row>
    <row r="563" spans="1:3">
      <c r="A563" s="2" t="s">
        <v>4347</v>
      </c>
      <c r="B563" s="2" t="s">
        <v>36</v>
      </c>
      <c r="C563" s="2">
        <v>1366</v>
      </c>
    </row>
    <row r="564" spans="1:3">
      <c r="A564" s="2" t="s">
        <v>2639</v>
      </c>
      <c r="B564" s="2" t="s">
        <v>36</v>
      </c>
      <c r="C564" s="2">
        <v>1363</v>
      </c>
    </row>
    <row r="565" spans="1:3">
      <c r="A565" s="2" t="s">
        <v>382</v>
      </c>
      <c r="B565" s="2" t="s">
        <v>36</v>
      </c>
      <c r="C565" s="2">
        <v>1357</v>
      </c>
    </row>
    <row r="566" spans="1:3">
      <c r="A566" s="2" t="s">
        <v>3125</v>
      </c>
      <c r="B566" s="2" t="s">
        <v>36</v>
      </c>
      <c r="C566" s="2">
        <v>1340</v>
      </c>
    </row>
    <row r="567" spans="1:3">
      <c r="A567" s="2" t="s">
        <v>1673</v>
      </c>
      <c r="B567" s="2" t="s">
        <v>36</v>
      </c>
      <c r="C567" s="2">
        <v>1339</v>
      </c>
    </row>
    <row r="568" spans="1:3">
      <c r="A568" s="2" t="s">
        <v>425</v>
      </c>
      <c r="B568" s="2" t="s">
        <v>36</v>
      </c>
      <c r="C568" s="2">
        <v>1326</v>
      </c>
    </row>
    <row r="569" spans="1:3">
      <c r="A569" s="2" t="s">
        <v>1996</v>
      </c>
      <c r="B569" s="2" t="s">
        <v>36</v>
      </c>
      <c r="C569" s="2">
        <v>1321</v>
      </c>
    </row>
    <row r="570" spans="1:3">
      <c r="A570" s="2" t="s">
        <v>3498</v>
      </c>
      <c r="B570" s="2" t="s">
        <v>36</v>
      </c>
      <c r="C570" s="2">
        <v>1313</v>
      </c>
    </row>
    <row r="571" spans="1:3">
      <c r="A571" s="2" t="s">
        <v>3051</v>
      </c>
      <c r="B571" s="2" t="s">
        <v>36</v>
      </c>
      <c r="C571" s="2">
        <v>1313</v>
      </c>
    </row>
    <row r="572" spans="1:3">
      <c r="A572" s="2" t="s">
        <v>3100</v>
      </c>
      <c r="B572" s="2" t="s">
        <v>36</v>
      </c>
      <c r="C572" s="2">
        <v>1312</v>
      </c>
    </row>
    <row r="573" spans="1:3">
      <c r="A573" s="2" t="s">
        <v>2625</v>
      </c>
      <c r="B573" s="2" t="s">
        <v>36</v>
      </c>
      <c r="C573" s="2">
        <v>1309</v>
      </c>
    </row>
    <row r="574" spans="1:3">
      <c r="A574" s="2" t="s">
        <v>384</v>
      </c>
      <c r="B574" s="2" t="s">
        <v>36</v>
      </c>
      <c r="C574" s="2">
        <v>1306</v>
      </c>
    </row>
    <row r="575" spans="1:3">
      <c r="A575" s="2" t="s">
        <v>1190</v>
      </c>
      <c r="B575" s="2" t="s">
        <v>36</v>
      </c>
      <c r="C575" s="2">
        <v>1303</v>
      </c>
    </row>
    <row r="576" spans="1:3">
      <c r="A576" s="2" t="s">
        <v>1214</v>
      </c>
      <c r="B576" s="2" t="s">
        <v>36</v>
      </c>
      <c r="C576" s="2">
        <v>1299</v>
      </c>
    </row>
    <row r="577" spans="1:3">
      <c r="A577" s="2" t="s">
        <v>2088</v>
      </c>
      <c r="B577" s="2" t="s">
        <v>36</v>
      </c>
      <c r="C577" s="2">
        <v>1297</v>
      </c>
    </row>
    <row r="578" spans="1:3">
      <c r="A578" s="2" t="s">
        <v>1135</v>
      </c>
      <c r="B578" s="2" t="s">
        <v>36</v>
      </c>
      <c r="C578" s="2">
        <v>1296</v>
      </c>
    </row>
    <row r="579" spans="1:3">
      <c r="A579" s="2" t="s">
        <v>2585</v>
      </c>
      <c r="B579" s="2" t="s">
        <v>36</v>
      </c>
      <c r="C579" s="2">
        <v>1292</v>
      </c>
    </row>
    <row r="580" spans="1:3">
      <c r="A580" s="2" t="s">
        <v>297</v>
      </c>
      <c r="B580" s="2" t="s">
        <v>36</v>
      </c>
      <c r="C580" s="2">
        <v>1290</v>
      </c>
    </row>
    <row r="581" spans="1:3">
      <c r="A581" s="2" t="s">
        <v>2578</v>
      </c>
      <c r="B581" s="2" t="s">
        <v>36</v>
      </c>
      <c r="C581" s="2">
        <v>1284</v>
      </c>
    </row>
    <row r="582" spans="1:3">
      <c r="A582" s="2" t="s">
        <v>2046</v>
      </c>
      <c r="B582" s="2" t="s">
        <v>36</v>
      </c>
      <c r="C582" s="2">
        <v>1283</v>
      </c>
    </row>
    <row r="583" spans="1:3">
      <c r="A583" s="2" t="s">
        <v>386</v>
      </c>
      <c r="B583" s="2" t="s">
        <v>36</v>
      </c>
      <c r="C583" s="2">
        <v>1268</v>
      </c>
    </row>
    <row r="584" spans="1:3">
      <c r="A584" s="2" t="s">
        <v>1983</v>
      </c>
      <c r="B584" s="2" t="s">
        <v>36</v>
      </c>
      <c r="C584" s="2">
        <v>1268</v>
      </c>
    </row>
    <row r="585" spans="1:3">
      <c r="A585" s="2" t="s">
        <v>370</v>
      </c>
      <c r="B585" s="2" t="s">
        <v>36</v>
      </c>
      <c r="C585" s="2">
        <v>1266</v>
      </c>
    </row>
    <row r="586" spans="1:3">
      <c r="A586" s="2" t="s">
        <v>2084</v>
      </c>
      <c r="B586" s="2" t="s">
        <v>36</v>
      </c>
      <c r="C586" s="2">
        <v>1265</v>
      </c>
    </row>
    <row r="587" spans="1:3">
      <c r="A587" s="2" t="s">
        <v>1648</v>
      </c>
      <c r="B587" s="2" t="s">
        <v>36</v>
      </c>
      <c r="C587" s="2">
        <v>1264</v>
      </c>
    </row>
    <row r="588" spans="1:3">
      <c r="A588" s="2" t="s">
        <v>3121</v>
      </c>
      <c r="B588" s="2" t="s">
        <v>36</v>
      </c>
      <c r="C588" s="2">
        <v>1263</v>
      </c>
    </row>
    <row r="589" spans="1:3">
      <c r="A589" s="2" t="s">
        <v>3534</v>
      </c>
      <c r="B589" s="2" t="s">
        <v>36</v>
      </c>
      <c r="C589" s="2">
        <v>1258</v>
      </c>
    </row>
    <row r="590" spans="1:3">
      <c r="A590" s="2" t="s">
        <v>3956</v>
      </c>
      <c r="B590" s="2" t="s">
        <v>36</v>
      </c>
      <c r="C590" s="2">
        <v>1256</v>
      </c>
    </row>
    <row r="591" spans="1:3">
      <c r="A591" s="2" t="s">
        <v>971</v>
      </c>
      <c r="B591" s="2" t="s">
        <v>36</v>
      </c>
      <c r="C591" s="2">
        <v>1252</v>
      </c>
    </row>
    <row r="592" spans="1:3">
      <c r="A592" s="2" t="s">
        <v>4280</v>
      </c>
      <c r="B592" s="2" t="s">
        <v>36</v>
      </c>
      <c r="C592" s="2">
        <v>1251</v>
      </c>
    </row>
    <row r="593" spans="1:3">
      <c r="A593" s="2" t="s">
        <v>4001</v>
      </c>
      <c r="B593" s="2" t="s">
        <v>36</v>
      </c>
      <c r="C593" s="2">
        <v>1250</v>
      </c>
    </row>
    <row r="594" spans="1:3">
      <c r="A594" s="2" t="s">
        <v>3056</v>
      </c>
      <c r="B594" s="2" t="s">
        <v>36</v>
      </c>
      <c r="C594" s="2">
        <v>1243</v>
      </c>
    </row>
    <row r="595" spans="1:3">
      <c r="A595" s="2" t="s">
        <v>3995</v>
      </c>
      <c r="B595" s="2" t="s">
        <v>36</v>
      </c>
      <c r="C595" s="2">
        <v>1239</v>
      </c>
    </row>
    <row r="596" spans="1:3">
      <c r="A596" s="2" t="s">
        <v>350</v>
      </c>
      <c r="B596" s="2" t="s">
        <v>36</v>
      </c>
      <c r="C596" s="2">
        <v>1238</v>
      </c>
    </row>
    <row r="597" spans="1:3">
      <c r="A597" s="2" t="s">
        <v>2077</v>
      </c>
      <c r="B597" s="2" t="s">
        <v>36</v>
      </c>
      <c r="C597" s="2">
        <v>1236</v>
      </c>
    </row>
    <row r="598" spans="1:3">
      <c r="A598" s="2" t="s">
        <v>3120</v>
      </c>
      <c r="B598" s="2" t="s">
        <v>36</v>
      </c>
      <c r="C598" s="2">
        <v>1234</v>
      </c>
    </row>
    <row r="599" spans="1:3">
      <c r="A599" s="2" t="s">
        <v>1642</v>
      </c>
      <c r="B599" s="2" t="s">
        <v>36</v>
      </c>
      <c r="C599" s="2">
        <v>1227</v>
      </c>
    </row>
    <row r="600" spans="1:3">
      <c r="A600" s="2" t="s">
        <v>2612</v>
      </c>
      <c r="B600" s="2" t="s">
        <v>36</v>
      </c>
      <c r="C600" s="2">
        <v>1225</v>
      </c>
    </row>
    <row r="601" spans="1:3">
      <c r="A601" s="2" t="s">
        <v>1162</v>
      </c>
      <c r="B601" s="2" t="s">
        <v>36</v>
      </c>
      <c r="C601" s="2">
        <v>1225</v>
      </c>
    </row>
    <row r="602" spans="1:3">
      <c r="A602" s="2" t="s">
        <v>1667</v>
      </c>
      <c r="B602" s="2" t="s">
        <v>36</v>
      </c>
      <c r="C602" s="2">
        <v>1224</v>
      </c>
    </row>
    <row r="603" spans="1:3">
      <c r="A603" s="2" t="s">
        <v>1964</v>
      </c>
      <c r="B603" s="2" t="s">
        <v>36</v>
      </c>
      <c r="C603" s="2">
        <v>1214</v>
      </c>
    </row>
    <row r="604" spans="1:3">
      <c r="A604" s="2" t="s">
        <v>1213</v>
      </c>
      <c r="B604" s="2" t="s">
        <v>36</v>
      </c>
      <c r="C604" s="2">
        <v>1210</v>
      </c>
    </row>
    <row r="605" spans="1:3">
      <c r="A605" s="2" t="s">
        <v>3050</v>
      </c>
      <c r="B605" s="2" t="s">
        <v>36</v>
      </c>
      <c r="C605" s="2">
        <v>1208</v>
      </c>
    </row>
    <row r="606" spans="1:3">
      <c r="A606" s="2" t="s">
        <v>387</v>
      </c>
      <c r="B606" s="2" t="s">
        <v>36</v>
      </c>
      <c r="C606" s="2">
        <v>1206</v>
      </c>
    </row>
    <row r="607" spans="1:3">
      <c r="A607" s="2" t="s">
        <v>428</v>
      </c>
      <c r="B607" s="2" t="s">
        <v>36</v>
      </c>
      <c r="C607" s="2">
        <v>1205</v>
      </c>
    </row>
    <row r="608" spans="1:3">
      <c r="A608" s="2" t="s">
        <v>1181</v>
      </c>
      <c r="B608" s="2" t="s">
        <v>36</v>
      </c>
      <c r="C608" s="2">
        <v>1202</v>
      </c>
    </row>
    <row r="609" spans="1:3">
      <c r="A609" s="2" t="s">
        <v>308</v>
      </c>
      <c r="B609" s="2" t="s">
        <v>36</v>
      </c>
      <c r="C609" s="2">
        <v>1201</v>
      </c>
    </row>
    <row r="610" spans="1:3">
      <c r="A610" s="2" t="s">
        <v>348</v>
      </c>
      <c r="B610" s="2" t="s">
        <v>36</v>
      </c>
      <c r="C610" s="2">
        <v>1193</v>
      </c>
    </row>
    <row r="611" spans="1:3">
      <c r="A611" s="2" t="s">
        <v>3957</v>
      </c>
      <c r="B611" s="2" t="s">
        <v>36</v>
      </c>
      <c r="C611" s="2">
        <v>1192</v>
      </c>
    </row>
    <row r="612" spans="1:3">
      <c r="A612" s="2" t="s">
        <v>3479</v>
      </c>
      <c r="B612" s="2" t="s">
        <v>36</v>
      </c>
      <c r="C612" s="2">
        <v>1188</v>
      </c>
    </row>
    <row r="613" spans="1:3">
      <c r="A613" s="2" t="s">
        <v>4295</v>
      </c>
      <c r="B613" s="2" t="s">
        <v>36</v>
      </c>
      <c r="C613" s="2">
        <v>1182</v>
      </c>
    </row>
    <row r="614" spans="1:3">
      <c r="A614" s="2" t="s">
        <v>1675</v>
      </c>
      <c r="B614" s="2" t="s">
        <v>36</v>
      </c>
      <c r="C614" s="2">
        <v>1179</v>
      </c>
    </row>
    <row r="615" spans="1:3">
      <c r="A615" s="2" t="s">
        <v>402</v>
      </c>
      <c r="B615" s="2" t="s">
        <v>36</v>
      </c>
      <c r="C615" s="2">
        <v>1178</v>
      </c>
    </row>
    <row r="616" spans="1:3">
      <c r="A616" s="2" t="s">
        <v>1211</v>
      </c>
      <c r="B616" s="2" t="s">
        <v>36</v>
      </c>
      <c r="C616" s="2">
        <v>1175</v>
      </c>
    </row>
    <row r="617" spans="1:3">
      <c r="A617" s="2" t="s">
        <v>3088</v>
      </c>
      <c r="B617" s="2" t="s">
        <v>36</v>
      </c>
      <c r="C617" s="2">
        <v>1175</v>
      </c>
    </row>
    <row r="618" spans="1:3">
      <c r="A618" s="2" t="s">
        <v>3116</v>
      </c>
      <c r="B618" s="2" t="s">
        <v>36</v>
      </c>
      <c r="C618" s="2">
        <v>1167</v>
      </c>
    </row>
    <row r="619" spans="1:3">
      <c r="A619" s="2" t="s">
        <v>1178</v>
      </c>
      <c r="B619" s="2" t="s">
        <v>36</v>
      </c>
      <c r="C619" s="2">
        <v>1165</v>
      </c>
    </row>
    <row r="620" spans="1:3">
      <c r="A620" s="2" t="s">
        <v>2618</v>
      </c>
      <c r="B620" s="2" t="s">
        <v>36</v>
      </c>
      <c r="C620" s="2">
        <v>1160</v>
      </c>
    </row>
    <row r="621" spans="1:3">
      <c r="A621" s="2" t="s">
        <v>3102</v>
      </c>
      <c r="B621" s="2" t="s">
        <v>36</v>
      </c>
      <c r="C621" s="2">
        <v>1159</v>
      </c>
    </row>
    <row r="622" spans="1:3">
      <c r="A622" s="2" t="s">
        <v>3540</v>
      </c>
      <c r="B622" s="2" t="s">
        <v>36</v>
      </c>
      <c r="C622" s="2">
        <v>1156</v>
      </c>
    </row>
    <row r="623" spans="1:3">
      <c r="A623" s="2" t="s">
        <v>3998</v>
      </c>
      <c r="B623" s="2" t="s">
        <v>36</v>
      </c>
      <c r="C623" s="2">
        <v>1155</v>
      </c>
    </row>
    <row r="624" spans="1:3">
      <c r="A624" s="2" t="s">
        <v>3569</v>
      </c>
      <c r="B624" s="2" t="s">
        <v>36</v>
      </c>
      <c r="C624" s="2">
        <v>1155</v>
      </c>
    </row>
    <row r="625" spans="1:3">
      <c r="A625" s="2" t="s">
        <v>2034</v>
      </c>
      <c r="B625" s="2" t="s">
        <v>36</v>
      </c>
      <c r="C625" s="2">
        <v>1150</v>
      </c>
    </row>
    <row r="626" spans="1:3">
      <c r="A626" s="2" t="s">
        <v>2560</v>
      </c>
      <c r="B626" s="2" t="s">
        <v>36</v>
      </c>
      <c r="C626" s="2">
        <v>1144</v>
      </c>
    </row>
    <row r="627" spans="1:3">
      <c r="A627" s="2" t="s">
        <v>4694</v>
      </c>
      <c r="B627" s="2" t="s">
        <v>36</v>
      </c>
      <c r="C627" s="2">
        <v>1141</v>
      </c>
    </row>
    <row r="628" spans="1:3">
      <c r="A628" s="2" t="s">
        <v>407</v>
      </c>
      <c r="B628" s="2" t="s">
        <v>36</v>
      </c>
      <c r="C628" s="2">
        <v>1139</v>
      </c>
    </row>
    <row r="629" spans="1:3">
      <c r="A629" s="2" t="s">
        <v>3954</v>
      </c>
      <c r="B629" s="2" t="s">
        <v>36</v>
      </c>
      <c r="C629" s="2">
        <v>1138</v>
      </c>
    </row>
    <row r="630" spans="1:3">
      <c r="A630" s="2" t="s">
        <v>417</v>
      </c>
      <c r="B630" s="2" t="s">
        <v>36</v>
      </c>
      <c r="C630" s="2">
        <v>1138</v>
      </c>
    </row>
    <row r="631" spans="1:3">
      <c r="A631" s="2" t="s">
        <v>3085</v>
      </c>
      <c r="B631" s="2" t="s">
        <v>36</v>
      </c>
      <c r="C631" s="2">
        <v>1138</v>
      </c>
    </row>
    <row r="632" spans="1:3">
      <c r="A632" s="2" t="s">
        <v>2645</v>
      </c>
      <c r="B632" s="2" t="s">
        <v>36</v>
      </c>
      <c r="C632" s="2">
        <v>1123</v>
      </c>
    </row>
    <row r="633" spans="1:3">
      <c r="A633" s="2" t="s">
        <v>3068</v>
      </c>
      <c r="B633" s="2" t="s">
        <v>36</v>
      </c>
      <c r="C633" s="2">
        <v>1121</v>
      </c>
    </row>
    <row r="634" spans="1:3">
      <c r="A634" s="2" t="s">
        <v>4692</v>
      </c>
      <c r="B634" s="2" t="s">
        <v>36</v>
      </c>
      <c r="C634" s="2">
        <v>1121</v>
      </c>
    </row>
    <row r="635" spans="1:3">
      <c r="A635" s="2" t="s">
        <v>3965</v>
      </c>
      <c r="B635" s="2" t="s">
        <v>36</v>
      </c>
      <c r="C635" s="2">
        <v>1121</v>
      </c>
    </row>
    <row r="636" spans="1:3">
      <c r="A636" s="2" t="s">
        <v>3483</v>
      </c>
      <c r="B636" s="2" t="s">
        <v>36</v>
      </c>
      <c r="C636" s="2">
        <v>1119</v>
      </c>
    </row>
    <row r="637" spans="1:3">
      <c r="A637" s="2" t="s">
        <v>4276</v>
      </c>
      <c r="B637" s="2" t="s">
        <v>36</v>
      </c>
      <c r="C637" s="2">
        <v>1114</v>
      </c>
    </row>
    <row r="638" spans="1:3">
      <c r="A638" s="2" t="s">
        <v>373</v>
      </c>
      <c r="B638" s="2" t="s">
        <v>36</v>
      </c>
      <c r="C638" s="2">
        <v>1113</v>
      </c>
    </row>
    <row r="639" spans="1:3">
      <c r="A639" s="2" t="s">
        <v>1690</v>
      </c>
      <c r="B639" s="2" t="s">
        <v>36</v>
      </c>
      <c r="C639" s="2">
        <v>1109</v>
      </c>
    </row>
    <row r="640" spans="1:3">
      <c r="A640" s="2" t="s">
        <v>3105</v>
      </c>
      <c r="B640" s="2" t="s">
        <v>36</v>
      </c>
      <c r="C640" s="2">
        <v>1108</v>
      </c>
    </row>
    <row r="641" spans="1:3">
      <c r="A641" s="2" t="s">
        <v>967</v>
      </c>
      <c r="B641" s="2" t="s">
        <v>36</v>
      </c>
      <c r="C641" s="2">
        <v>1103</v>
      </c>
    </row>
    <row r="642" spans="1:3">
      <c r="A642" s="2" t="s">
        <v>2568</v>
      </c>
      <c r="B642" s="2" t="s">
        <v>36</v>
      </c>
      <c r="C642" s="2">
        <v>1100</v>
      </c>
    </row>
    <row r="643" spans="1:3">
      <c r="A643" s="2" t="s">
        <v>2043</v>
      </c>
      <c r="B643" s="2" t="s">
        <v>36</v>
      </c>
      <c r="C643" s="2">
        <v>1099</v>
      </c>
    </row>
    <row r="644" spans="1:3">
      <c r="A644" s="2" t="s">
        <v>1962</v>
      </c>
      <c r="B644" s="2" t="s">
        <v>36</v>
      </c>
      <c r="C644" s="2">
        <v>1097</v>
      </c>
    </row>
    <row r="645" spans="1:3">
      <c r="A645" s="2" t="s">
        <v>1205</v>
      </c>
      <c r="B645" s="2" t="s">
        <v>36</v>
      </c>
      <c r="C645" s="2">
        <v>1096</v>
      </c>
    </row>
    <row r="646" spans="1:3">
      <c r="A646" s="2" t="s">
        <v>4292</v>
      </c>
      <c r="B646" s="2" t="s">
        <v>36</v>
      </c>
      <c r="C646" s="2">
        <v>1089</v>
      </c>
    </row>
    <row r="647" spans="1:3">
      <c r="A647" s="2" t="s">
        <v>2638</v>
      </c>
      <c r="B647" s="2" t="s">
        <v>36</v>
      </c>
      <c r="C647" s="2">
        <v>1088</v>
      </c>
    </row>
    <row r="648" spans="1:3">
      <c r="A648" s="2" t="s">
        <v>1665</v>
      </c>
      <c r="B648" s="2" t="s">
        <v>36</v>
      </c>
      <c r="C648" s="2">
        <v>1085</v>
      </c>
    </row>
    <row r="649" spans="1:3">
      <c r="A649" s="2" t="s">
        <v>1994</v>
      </c>
      <c r="B649" s="2" t="s">
        <v>36</v>
      </c>
      <c r="C649" s="2">
        <v>1084</v>
      </c>
    </row>
    <row r="650" spans="1:3">
      <c r="A650" s="2" t="s">
        <v>1687</v>
      </c>
      <c r="B650" s="2" t="s">
        <v>36</v>
      </c>
      <c r="C650" s="2">
        <v>1082</v>
      </c>
    </row>
    <row r="651" spans="1:3">
      <c r="A651" s="2" t="s">
        <v>1160</v>
      </c>
      <c r="B651" s="2" t="s">
        <v>36</v>
      </c>
      <c r="C651" s="2">
        <v>1082</v>
      </c>
    </row>
    <row r="652" spans="1:3">
      <c r="A652" s="2" t="s">
        <v>1990</v>
      </c>
      <c r="B652" s="2" t="s">
        <v>36</v>
      </c>
      <c r="C652" s="2">
        <v>1079</v>
      </c>
    </row>
    <row r="653" spans="1:3">
      <c r="A653" s="2" t="s">
        <v>4697</v>
      </c>
      <c r="B653" s="2" t="s">
        <v>36</v>
      </c>
      <c r="C653" s="2">
        <v>1072</v>
      </c>
    </row>
    <row r="654" spans="1:3">
      <c r="A654" s="2" t="s">
        <v>4328</v>
      </c>
      <c r="B654" s="2" t="s">
        <v>36</v>
      </c>
      <c r="C654" s="2">
        <v>1071</v>
      </c>
    </row>
    <row r="655" spans="1:3">
      <c r="A655" s="2" t="s">
        <v>1615</v>
      </c>
      <c r="B655" s="2" t="s">
        <v>36</v>
      </c>
      <c r="C655" s="2">
        <v>1064</v>
      </c>
    </row>
    <row r="656" spans="1:3">
      <c r="A656" s="2" t="s">
        <v>4302</v>
      </c>
      <c r="B656" s="2" t="s">
        <v>36</v>
      </c>
      <c r="C656" s="2">
        <v>1061</v>
      </c>
    </row>
    <row r="657" spans="1:3">
      <c r="A657" s="2" t="s">
        <v>3967</v>
      </c>
      <c r="B657" s="2" t="s">
        <v>36</v>
      </c>
      <c r="C657" s="2">
        <v>1061</v>
      </c>
    </row>
    <row r="658" spans="1:3">
      <c r="A658" s="2" t="s">
        <v>1971</v>
      </c>
      <c r="B658" s="2" t="s">
        <v>36</v>
      </c>
      <c r="C658" s="2">
        <v>1057</v>
      </c>
    </row>
    <row r="659" spans="1:3">
      <c r="A659" s="2" t="s">
        <v>1195</v>
      </c>
      <c r="B659" s="2" t="s">
        <v>36</v>
      </c>
      <c r="C659" s="2">
        <v>1053</v>
      </c>
    </row>
    <row r="660" spans="1:3">
      <c r="A660" s="2" t="s">
        <v>357</v>
      </c>
      <c r="B660" s="2" t="s">
        <v>36</v>
      </c>
      <c r="C660" s="2">
        <v>1052</v>
      </c>
    </row>
    <row r="661" spans="1:3">
      <c r="A661" s="2" t="s">
        <v>2048</v>
      </c>
      <c r="B661" s="2" t="s">
        <v>36</v>
      </c>
      <c r="C661" s="2">
        <v>1050</v>
      </c>
    </row>
    <row r="662" spans="1:3">
      <c r="A662" s="2" t="s">
        <v>1150</v>
      </c>
      <c r="B662" s="2" t="s">
        <v>36</v>
      </c>
      <c r="C662" s="2">
        <v>1044</v>
      </c>
    </row>
    <row r="663" spans="1:3">
      <c r="A663" s="2" t="s">
        <v>3999</v>
      </c>
      <c r="B663" s="2" t="s">
        <v>36</v>
      </c>
      <c r="C663" s="2">
        <v>1043</v>
      </c>
    </row>
    <row r="664" spans="1:3">
      <c r="A664" s="2" t="s">
        <v>299</v>
      </c>
      <c r="B664" s="2" t="s">
        <v>36</v>
      </c>
      <c r="C664" s="2">
        <v>1042</v>
      </c>
    </row>
    <row r="665" spans="1:3">
      <c r="A665" s="2" t="s">
        <v>3984</v>
      </c>
      <c r="B665" s="2" t="s">
        <v>36</v>
      </c>
      <c r="C665" s="2">
        <v>1042</v>
      </c>
    </row>
    <row r="666" spans="1:3">
      <c r="A666" s="2" t="s">
        <v>347</v>
      </c>
      <c r="B666" s="2" t="s">
        <v>36</v>
      </c>
      <c r="C666" s="2">
        <v>1040</v>
      </c>
    </row>
    <row r="667" spans="1:3">
      <c r="A667" s="2" t="s">
        <v>408</v>
      </c>
      <c r="B667" s="2" t="s">
        <v>36</v>
      </c>
      <c r="C667" s="2">
        <v>1039</v>
      </c>
    </row>
    <row r="668" spans="1:3">
      <c r="A668" s="2" t="s">
        <v>345</v>
      </c>
      <c r="B668" s="2" t="s">
        <v>36</v>
      </c>
      <c r="C668" s="2">
        <v>1036</v>
      </c>
    </row>
    <row r="669" spans="1:3">
      <c r="A669" s="2" t="s">
        <v>1662</v>
      </c>
      <c r="B669" s="2" t="s">
        <v>36</v>
      </c>
      <c r="C669" s="2">
        <v>1033</v>
      </c>
    </row>
    <row r="670" spans="1:3">
      <c r="A670" s="2" t="s">
        <v>3053</v>
      </c>
      <c r="B670" s="2" t="s">
        <v>36</v>
      </c>
      <c r="C670" s="2">
        <v>1030</v>
      </c>
    </row>
    <row r="671" spans="1:3">
      <c r="A671" s="2" t="s">
        <v>1670</v>
      </c>
      <c r="B671" s="2" t="s">
        <v>36</v>
      </c>
      <c r="C671" s="2">
        <v>1020</v>
      </c>
    </row>
    <row r="672" spans="1:3">
      <c r="A672" s="2" t="s">
        <v>2572</v>
      </c>
      <c r="B672" s="2" t="s">
        <v>36</v>
      </c>
      <c r="C672" s="2">
        <v>1019</v>
      </c>
    </row>
    <row r="673" spans="1:3">
      <c r="A673" s="2" t="s">
        <v>3075</v>
      </c>
      <c r="B673" s="2" t="s">
        <v>36</v>
      </c>
      <c r="C673" s="2">
        <v>1016</v>
      </c>
    </row>
    <row r="674" spans="1:3">
      <c r="A674" s="2" t="s">
        <v>398</v>
      </c>
      <c r="B674" s="2" t="s">
        <v>36</v>
      </c>
      <c r="C674" s="2">
        <v>1013</v>
      </c>
    </row>
    <row r="675" spans="1:3">
      <c r="A675" s="2" t="s">
        <v>2623</v>
      </c>
      <c r="B675" s="2" t="s">
        <v>36</v>
      </c>
      <c r="C675" s="2">
        <v>1011</v>
      </c>
    </row>
    <row r="676" spans="1:3">
      <c r="A676" s="2" t="s">
        <v>1987</v>
      </c>
      <c r="B676" s="2" t="s">
        <v>36</v>
      </c>
      <c r="C676" s="2">
        <v>1010</v>
      </c>
    </row>
    <row r="677" spans="1:3">
      <c r="A677" s="2" t="s">
        <v>1651</v>
      </c>
      <c r="B677" s="2" t="s">
        <v>36</v>
      </c>
      <c r="C677" s="2">
        <v>1004</v>
      </c>
    </row>
    <row r="678" spans="1:3">
      <c r="A678" s="2" t="s">
        <v>2628</v>
      </c>
      <c r="B678" s="2" t="s">
        <v>36</v>
      </c>
      <c r="C678" s="2">
        <v>1004</v>
      </c>
    </row>
    <row r="679" spans="1:3">
      <c r="A679" s="2" t="s">
        <v>1688</v>
      </c>
      <c r="B679" s="2" t="s">
        <v>36</v>
      </c>
      <c r="C679" s="2">
        <v>1003</v>
      </c>
    </row>
    <row r="680" spans="1:3">
      <c r="A680" s="2" t="s">
        <v>2616</v>
      </c>
      <c r="B680" s="2" t="s">
        <v>36</v>
      </c>
      <c r="C680" s="2">
        <v>1002</v>
      </c>
    </row>
    <row r="681" spans="1:3">
      <c r="A681" s="2" t="s">
        <v>2611</v>
      </c>
      <c r="B681" s="2" t="s">
        <v>36</v>
      </c>
      <c r="C681" s="2">
        <v>1000</v>
      </c>
    </row>
    <row r="682" spans="1:3">
      <c r="A682" s="2" t="s">
        <v>3559</v>
      </c>
      <c r="B682" s="2" t="s">
        <v>36</v>
      </c>
      <c r="C682" s="2">
        <v>997</v>
      </c>
    </row>
    <row r="683" spans="1:3">
      <c r="A683" s="2" t="s">
        <v>4003</v>
      </c>
      <c r="B683" s="2" t="s">
        <v>36</v>
      </c>
      <c r="C683" s="2">
        <v>993</v>
      </c>
    </row>
    <row r="684" spans="1:3">
      <c r="A684" s="2" t="s">
        <v>361</v>
      </c>
      <c r="B684" s="2" t="s">
        <v>36</v>
      </c>
      <c r="C684" s="2">
        <v>987</v>
      </c>
    </row>
    <row r="685" spans="1:3">
      <c r="A685" s="2" t="s">
        <v>1973</v>
      </c>
      <c r="B685" s="2" t="s">
        <v>36</v>
      </c>
      <c r="C685" s="2">
        <v>982</v>
      </c>
    </row>
    <row r="686" spans="1:3">
      <c r="A686" s="2" t="s">
        <v>1174</v>
      </c>
      <c r="B686" s="2" t="s">
        <v>36</v>
      </c>
      <c r="C686" s="2">
        <v>980</v>
      </c>
    </row>
    <row r="687" spans="1:3">
      <c r="A687" s="2" t="s">
        <v>3040</v>
      </c>
      <c r="B687" s="2" t="s">
        <v>36</v>
      </c>
      <c r="C687" s="2">
        <v>977</v>
      </c>
    </row>
    <row r="688" spans="1:3">
      <c r="A688" s="2" t="s">
        <v>4698</v>
      </c>
      <c r="B688" s="2" t="s">
        <v>36</v>
      </c>
      <c r="C688" s="2">
        <v>976</v>
      </c>
    </row>
    <row r="689" spans="1:3">
      <c r="A689" s="2" t="s">
        <v>3489</v>
      </c>
      <c r="B689" s="2" t="s">
        <v>36</v>
      </c>
      <c r="C689" s="2">
        <v>976</v>
      </c>
    </row>
    <row r="690" spans="1:3">
      <c r="A690" s="2" t="s">
        <v>418</v>
      </c>
      <c r="B690" s="2" t="s">
        <v>36</v>
      </c>
      <c r="C690" s="2">
        <v>969</v>
      </c>
    </row>
    <row r="691" spans="1:3">
      <c r="A691" s="2" t="s">
        <v>3107</v>
      </c>
      <c r="B691" s="2" t="s">
        <v>36</v>
      </c>
      <c r="C691" s="2">
        <v>964</v>
      </c>
    </row>
    <row r="692" spans="1:3">
      <c r="A692" s="2" t="s">
        <v>377</v>
      </c>
      <c r="B692" s="2" t="s">
        <v>36</v>
      </c>
      <c r="C692" s="2">
        <v>964</v>
      </c>
    </row>
    <row r="693" spans="1:3">
      <c r="A693" s="2" t="s">
        <v>3977</v>
      </c>
      <c r="B693" s="2" t="s">
        <v>36</v>
      </c>
      <c r="C693" s="2">
        <v>963</v>
      </c>
    </row>
    <row r="694" spans="1:3">
      <c r="A694" s="2" t="s">
        <v>4306</v>
      </c>
      <c r="B694" s="2" t="s">
        <v>36</v>
      </c>
      <c r="C694" s="2">
        <v>960</v>
      </c>
    </row>
    <row r="695" spans="1:3">
      <c r="A695" s="2" t="s">
        <v>3567</v>
      </c>
      <c r="B695" s="2" t="s">
        <v>36</v>
      </c>
      <c r="C695" s="2">
        <v>956</v>
      </c>
    </row>
    <row r="696" spans="1:3">
      <c r="A696" s="2" t="s">
        <v>378</v>
      </c>
      <c r="B696" s="2" t="s">
        <v>36</v>
      </c>
      <c r="C696" s="2">
        <v>950</v>
      </c>
    </row>
    <row r="697" spans="1:3">
      <c r="A697" s="2" t="s">
        <v>421</v>
      </c>
      <c r="B697" s="2" t="s">
        <v>36</v>
      </c>
      <c r="C697" s="2">
        <v>948</v>
      </c>
    </row>
    <row r="698" spans="1:3">
      <c r="A698" s="2" t="s">
        <v>4642</v>
      </c>
      <c r="B698" s="2" t="s">
        <v>36</v>
      </c>
      <c r="C698" s="2">
        <v>948</v>
      </c>
    </row>
    <row r="699" spans="1:3">
      <c r="A699" s="2" t="s">
        <v>3558</v>
      </c>
      <c r="B699" s="2" t="s">
        <v>36</v>
      </c>
      <c r="C699" s="2">
        <v>948</v>
      </c>
    </row>
    <row r="700" spans="1:3">
      <c r="A700" s="2" t="s">
        <v>2000</v>
      </c>
      <c r="B700" s="2" t="s">
        <v>36</v>
      </c>
      <c r="C700" s="2">
        <v>946</v>
      </c>
    </row>
    <row r="701" spans="1:3">
      <c r="A701" s="2" t="s">
        <v>1172</v>
      </c>
      <c r="B701" s="2" t="s">
        <v>36</v>
      </c>
      <c r="C701" s="2">
        <v>943</v>
      </c>
    </row>
    <row r="702" spans="1:3">
      <c r="A702" s="2" t="s">
        <v>419</v>
      </c>
      <c r="B702" s="2" t="s">
        <v>36</v>
      </c>
      <c r="C702" s="2">
        <v>942</v>
      </c>
    </row>
    <row r="703" spans="1:3">
      <c r="A703" s="2" t="s">
        <v>4330</v>
      </c>
      <c r="B703" s="2" t="s">
        <v>36</v>
      </c>
      <c r="C703" s="2">
        <v>942</v>
      </c>
    </row>
    <row r="704" spans="1:3">
      <c r="A704" s="2" t="s">
        <v>2631</v>
      </c>
      <c r="B704" s="2" t="s">
        <v>36</v>
      </c>
      <c r="C704" s="2">
        <v>941</v>
      </c>
    </row>
    <row r="705" spans="1:3">
      <c r="A705" s="2" t="s">
        <v>412</v>
      </c>
      <c r="B705" s="2" t="s">
        <v>36</v>
      </c>
      <c r="C705" s="2">
        <v>939</v>
      </c>
    </row>
    <row r="706" spans="1:3">
      <c r="A706" s="2" t="s">
        <v>3113</v>
      </c>
      <c r="B706" s="2" t="s">
        <v>36</v>
      </c>
      <c r="C706" s="2">
        <v>937</v>
      </c>
    </row>
    <row r="707" spans="1:3">
      <c r="A707" s="2" t="s">
        <v>4317</v>
      </c>
      <c r="B707" s="2" t="s">
        <v>36</v>
      </c>
      <c r="C707" s="2">
        <v>937</v>
      </c>
    </row>
    <row r="708" spans="1:3">
      <c r="A708" s="2" t="s">
        <v>2633</v>
      </c>
      <c r="B708" s="2" t="s">
        <v>36</v>
      </c>
      <c r="C708" s="2">
        <v>937</v>
      </c>
    </row>
    <row r="709" spans="1:3">
      <c r="A709" s="2" t="s">
        <v>4287</v>
      </c>
      <c r="B709" s="2" t="s">
        <v>36</v>
      </c>
      <c r="C709" s="2">
        <v>937</v>
      </c>
    </row>
    <row r="710" spans="1:3">
      <c r="A710" s="2" t="s">
        <v>2604</v>
      </c>
      <c r="B710" s="2" t="s">
        <v>36</v>
      </c>
      <c r="C710" s="2">
        <v>933</v>
      </c>
    </row>
    <row r="711" spans="1:3">
      <c r="A711" s="2" t="s">
        <v>394</v>
      </c>
      <c r="B711" s="2" t="s">
        <v>36</v>
      </c>
      <c r="C711" s="2">
        <v>933</v>
      </c>
    </row>
    <row r="712" spans="1:3">
      <c r="A712" s="2" t="s">
        <v>1133</v>
      </c>
      <c r="B712" s="2" t="s">
        <v>36</v>
      </c>
      <c r="C712" s="2">
        <v>930</v>
      </c>
    </row>
    <row r="713" spans="1:3">
      <c r="A713" s="2" t="s">
        <v>3553</v>
      </c>
      <c r="B713" s="2" t="s">
        <v>36</v>
      </c>
      <c r="C713" s="2">
        <v>928</v>
      </c>
    </row>
    <row r="714" spans="1:3">
      <c r="A714" s="2" t="s">
        <v>4337</v>
      </c>
      <c r="B714" s="2" t="s">
        <v>36</v>
      </c>
      <c r="C714" s="2">
        <v>928</v>
      </c>
    </row>
    <row r="715" spans="1:3">
      <c r="A715" s="2" t="s">
        <v>1676</v>
      </c>
      <c r="B715" s="2" t="s">
        <v>36</v>
      </c>
      <c r="C715" s="2">
        <v>927</v>
      </c>
    </row>
    <row r="716" spans="1:3">
      <c r="A716" s="2" t="s">
        <v>388</v>
      </c>
      <c r="B716" s="2" t="s">
        <v>36</v>
      </c>
      <c r="C716" s="2">
        <v>926</v>
      </c>
    </row>
    <row r="717" spans="1:3">
      <c r="A717" s="2" t="s">
        <v>1666</v>
      </c>
      <c r="B717" s="2" t="s">
        <v>36</v>
      </c>
      <c r="C717" s="2">
        <v>923</v>
      </c>
    </row>
    <row r="718" spans="1:3">
      <c r="A718" s="2" t="s">
        <v>2629</v>
      </c>
      <c r="B718" s="2" t="s">
        <v>36</v>
      </c>
      <c r="C718" s="2">
        <v>922</v>
      </c>
    </row>
    <row r="719" spans="1:3">
      <c r="A719" s="2" t="s">
        <v>2055</v>
      </c>
      <c r="B719" s="2" t="s">
        <v>36</v>
      </c>
      <c r="C719" s="2">
        <v>922</v>
      </c>
    </row>
    <row r="720" spans="1:3">
      <c r="A720" s="2" t="s">
        <v>1218</v>
      </c>
      <c r="B720" s="2" t="s">
        <v>36</v>
      </c>
      <c r="C720" s="2">
        <v>919</v>
      </c>
    </row>
    <row r="721" spans="1:3">
      <c r="A721" s="2" t="s">
        <v>3066</v>
      </c>
      <c r="B721" s="2" t="s">
        <v>36</v>
      </c>
      <c r="C721" s="2">
        <v>912</v>
      </c>
    </row>
    <row r="722" spans="1:3">
      <c r="A722" s="2" t="s">
        <v>380</v>
      </c>
      <c r="B722" s="2" t="s">
        <v>36</v>
      </c>
      <c r="C722" s="2">
        <v>912</v>
      </c>
    </row>
    <row r="723" spans="1:3">
      <c r="A723" s="2" t="s">
        <v>2068</v>
      </c>
      <c r="B723" s="2" t="s">
        <v>36</v>
      </c>
      <c r="C723" s="2">
        <v>908</v>
      </c>
    </row>
    <row r="724" spans="1:3">
      <c r="A724" s="2" t="s">
        <v>2600</v>
      </c>
      <c r="B724" s="2" t="s">
        <v>36</v>
      </c>
      <c r="C724" s="2">
        <v>897</v>
      </c>
    </row>
    <row r="725" spans="1:3">
      <c r="A725" s="2" t="s">
        <v>3108</v>
      </c>
      <c r="B725" s="2" t="s">
        <v>36</v>
      </c>
      <c r="C725" s="2">
        <v>895</v>
      </c>
    </row>
    <row r="726" spans="1:3">
      <c r="A726" s="2" t="s">
        <v>2586</v>
      </c>
      <c r="B726" s="2" t="s">
        <v>36</v>
      </c>
      <c r="C726" s="2">
        <v>895</v>
      </c>
    </row>
    <row r="727" spans="1:3">
      <c r="A727" s="2" t="s">
        <v>420</v>
      </c>
      <c r="B727" s="2" t="s">
        <v>36</v>
      </c>
      <c r="C727" s="2">
        <v>894</v>
      </c>
    </row>
    <row r="728" spans="1:3">
      <c r="A728" s="2" t="s">
        <v>4321</v>
      </c>
      <c r="B728" s="2" t="s">
        <v>36</v>
      </c>
      <c r="C728" s="2">
        <v>892</v>
      </c>
    </row>
    <row r="729" spans="1:3">
      <c r="A729" s="2" t="s">
        <v>3932</v>
      </c>
      <c r="B729" s="2" t="s">
        <v>36</v>
      </c>
      <c r="C729" s="2">
        <v>890</v>
      </c>
    </row>
    <row r="730" spans="1:3">
      <c r="A730" s="2" t="s">
        <v>3097</v>
      </c>
      <c r="B730" s="2" t="s">
        <v>36</v>
      </c>
      <c r="C730" s="2">
        <v>886</v>
      </c>
    </row>
    <row r="731" spans="1:3">
      <c r="A731" s="2" t="s">
        <v>2085</v>
      </c>
      <c r="B731" s="2" t="s">
        <v>36</v>
      </c>
      <c r="C731" s="2">
        <v>886</v>
      </c>
    </row>
    <row r="732" spans="1:3">
      <c r="A732" s="2" t="s">
        <v>4301</v>
      </c>
      <c r="B732" s="2" t="s">
        <v>36</v>
      </c>
      <c r="C732" s="2">
        <v>884</v>
      </c>
    </row>
    <row r="733" spans="1:3">
      <c r="A733" s="2" t="s">
        <v>3994</v>
      </c>
      <c r="B733" s="2" t="s">
        <v>36</v>
      </c>
      <c r="C733" s="2">
        <v>882</v>
      </c>
    </row>
    <row r="734" spans="1:3">
      <c r="A734" s="2" t="s">
        <v>2049</v>
      </c>
      <c r="B734" s="2" t="s">
        <v>36</v>
      </c>
      <c r="C734" s="2">
        <v>882</v>
      </c>
    </row>
    <row r="735" spans="1:3">
      <c r="A735" s="2" t="s">
        <v>4607</v>
      </c>
      <c r="B735" s="2" t="s">
        <v>36</v>
      </c>
      <c r="C735" s="2">
        <v>880</v>
      </c>
    </row>
    <row r="736" spans="1:3">
      <c r="A736" s="2" t="s">
        <v>2554</v>
      </c>
      <c r="B736" s="2" t="s">
        <v>36</v>
      </c>
      <c r="C736" s="2">
        <v>878</v>
      </c>
    </row>
    <row r="737" spans="1:3">
      <c r="A737" s="2" t="s">
        <v>3507</v>
      </c>
      <c r="B737" s="2" t="s">
        <v>36</v>
      </c>
      <c r="C737" s="2">
        <v>874</v>
      </c>
    </row>
    <row r="738" spans="1:3">
      <c r="A738" s="2" t="s">
        <v>4303</v>
      </c>
      <c r="B738" s="2" t="s">
        <v>36</v>
      </c>
      <c r="C738" s="2">
        <v>867</v>
      </c>
    </row>
    <row r="739" spans="1:3">
      <c r="A739" s="2" t="s">
        <v>4316</v>
      </c>
      <c r="B739" s="2" t="s">
        <v>36</v>
      </c>
      <c r="C739" s="2">
        <v>864</v>
      </c>
    </row>
    <row r="740" spans="1:3">
      <c r="A740" s="2" t="s">
        <v>1650</v>
      </c>
      <c r="B740" s="2" t="s">
        <v>36</v>
      </c>
      <c r="C740" s="2">
        <v>861</v>
      </c>
    </row>
    <row r="741" spans="1:3">
      <c r="A741" s="2" t="s">
        <v>2622</v>
      </c>
      <c r="B741" s="2" t="s">
        <v>36</v>
      </c>
      <c r="C741" s="2">
        <v>861</v>
      </c>
    </row>
    <row r="742" spans="1:3">
      <c r="A742" s="2" t="s">
        <v>1681</v>
      </c>
      <c r="B742" s="2" t="s">
        <v>36</v>
      </c>
      <c r="C742" s="2">
        <v>861</v>
      </c>
    </row>
    <row r="743" spans="1:3">
      <c r="A743" s="2" t="s">
        <v>396</v>
      </c>
      <c r="B743" s="2" t="s">
        <v>36</v>
      </c>
      <c r="C743" s="2">
        <v>860</v>
      </c>
    </row>
    <row r="744" spans="1:3">
      <c r="A744" s="2" t="s">
        <v>3948</v>
      </c>
      <c r="B744" s="2" t="s">
        <v>36</v>
      </c>
      <c r="C744" s="2">
        <v>856</v>
      </c>
    </row>
    <row r="745" spans="1:3">
      <c r="A745" s="2" t="s">
        <v>1219</v>
      </c>
      <c r="B745" s="2" t="s">
        <v>36</v>
      </c>
      <c r="C745" s="2">
        <v>852</v>
      </c>
    </row>
    <row r="746" spans="1:3">
      <c r="A746" s="2" t="s">
        <v>294</v>
      </c>
      <c r="B746" s="2" t="s">
        <v>36</v>
      </c>
      <c r="C746" s="2">
        <v>851</v>
      </c>
    </row>
    <row r="747" spans="1:3">
      <c r="A747" s="2" t="s">
        <v>1680</v>
      </c>
      <c r="B747" s="2" t="s">
        <v>36</v>
      </c>
      <c r="C747" s="2">
        <v>850</v>
      </c>
    </row>
    <row r="748" spans="1:3">
      <c r="A748" s="2" t="s">
        <v>2027</v>
      </c>
      <c r="B748" s="2" t="s">
        <v>36</v>
      </c>
      <c r="C748" s="2">
        <v>848</v>
      </c>
    </row>
    <row r="749" spans="1:3">
      <c r="A749" s="2" t="s">
        <v>2606</v>
      </c>
      <c r="B749" s="2" t="s">
        <v>36</v>
      </c>
      <c r="C749" s="2">
        <v>848</v>
      </c>
    </row>
    <row r="750" spans="1:3">
      <c r="A750" s="2" t="s">
        <v>4297</v>
      </c>
      <c r="B750" s="2" t="s">
        <v>36</v>
      </c>
      <c r="C750" s="2">
        <v>846</v>
      </c>
    </row>
    <row r="751" spans="1:3">
      <c r="A751" s="2" t="s">
        <v>1656</v>
      </c>
      <c r="B751" s="2" t="s">
        <v>36</v>
      </c>
      <c r="C751" s="2">
        <v>845</v>
      </c>
    </row>
    <row r="752" spans="1:3">
      <c r="A752" s="2" t="s">
        <v>3579</v>
      </c>
      <c r="B752" s="2" t="s">
        <v>36</v>
      </c>
      <c r="C752" s="2">
        <v>841</v>
      </c>
    </row>
    <row r="753" spans="1:3">
      <c r="A753" s="2" t="s">
        <v>1663</v>
      </c>
      <c r="B753" s="2" t="s">
        <v>36</v>
      </c>
      <c r="C753" s="2">
        <v>836</v>
      </c>
    </row>
    <row r="754" spans="1:3">
      <c r="A754" s="2" t="s">
        <v>3112</v>
      </c>
      <c r="B754" s="2" t="s">
        <v>36</v>
      </c>
      <c r="C754" s="2">
        <v>835</v>
      </c>
    </row>
    <row r="755" spans="1:3">
      <c r="A755" s="2" t="s">
        <v>4305</v>
      </c>
      <c r="B755" s="2" t="s">
        <v>36</v>
      </c>
      <c r="C755" s="2">
        <v>833</v>
      </c>
    </row>
    <row r="756" spans="1:3">
      <c r="A756" s="2" t="s">
        <v>3942</v>
      </c>
      <c r="B756" s="2" t="s">
        <v>36</v>
      </c>
      <c r="C756" s="2">
        <v>827</v>
      </c>
    </row>
    <row r="757" spans="1:3">
      <c r="A757" s="2" t="s">
        <v>3082</v>
      </c>
      <c r="B757" s="2" t="s">
        <v>36</v>
      </c>
      <c r="C757" s="2">
        <v>824</v>
      </c>
    </row>
    <row r="758" spans="1:3">
      <c r="A758" s="2" t="s">
        <v>3980</v>
      </c>
      <c r="B758" s="2" t="s">
        <v>36</v>
      </c>
      <c r="C758" s="2">
        <v>823</v>
      </c>
    </row>
    <row r="759" spans="1:3">
      <c r="A759" s="2" t="s">
        <v>4006</v>
      </c>
      <c r="B759" s="2" t="s">
        <v>36</v>
      </c>
      <c r="C759" s="2">
        <v>822</v>
      </c>
    </row>
    <row r="760" spans="1:3">
      <c r="A760" s="2" t="s">
        <v>3092</v>
      </c>
      <c r="B760" s="2" t="s">
        <v>36</v>
      </c>
      <c r="C760" s="2">
        <v>822</v>
      </c>
    </row>
    <row r="761" spans="1:3">
      <c r="A761" s="2" t="s">
        <v>1201</v>
      </c>
      <c r="B761" s="2" t="s">
        <v>36</v>
      </c>
      <c r="C761" s="2">
        <v>821</v>
      </c>
    </row>
    <row r="762" spans="1:3">
      <c r="A762" s="2" t="s">
        <v>2024</v>
      </c>
      <c r="B762" s="2" t="s">
        <v>36</v>
      </c>
      <c r="C762" s="2">
        <v>820</v>
      </c>
    </row>
    <row r="763" spans="1:3">
      <c r="A763" s="2" t="s">
        <v>2081</v>
      </c>
      <c r="B763" s="2" t="s">
        <v>36</v>
      </c>
      <c r="C763" s="2">
        <v>817</v>
      </c>
    </row>
    <row r="764" spans="1:3">
      <c r="A764" s="2" t="s">
        <v>4691</v>
      </c>
      <c r="B764" s="2" t="s">
        <v>36</v>
      </c>
      <c r="C764" s="2">
        <v>815</v>
      </c>
    </row>
    <row r="765" spans="1:3">
      <c r="A765" s="2" t="s">
        <v>2050</v>
      </c>
      <c r="B765" s="2" t="s">
        <v>36</v>
      </c>
      <c r="C765" s="2">
        <v>812</v>
      </c>
    </row>
    <row r="766" spans="1:3">
      <c r="A766" s="2" t="s">
        <v>143</v>
      </c>
      <c r="B766" s="2" t="s">
        <v>36</v>
      </c>
      <c r="C766" s="2">
        <v>810</v>
      </c>
    </row>
    <row r="767" spans="1:3">
      <c r="A767" s="2" t="s">
        <v>1176</v>
      </c>
      <c r="B767" s="2" t="s">
        <v>36</v>
      </c>
      <c r="C767" s="2">
        <v>809</v>
      </c>
    </row>
    <row r="768" spans="1:3">
      <c r="A768" s="2" t="s">
        <v>372</v>
      </c>
      <c r="B768" s="2" t="s">
        <v>36</v>
      </c>
      <c r="C768" s="2">
        <v>807</v>
      </c>
    </row>
    <row r="769" spans="1:3">
      <c r="A769" s="2" t="s">
        <v>4336</v>
      </c>
      <c r="B769" s="2" t="s">
        <v>36</v>
      </c>
      <c r="C769" s="2">
        <v>801</v>
      </c>
    </row>
    <row r="770" spans="1:3">
      <c r="A770" s="2" t="s">
        <v>2613</v>
      </c>
      <c r="B770" s="2" t="s">
        <v>36</v>
      </c>
      <c r="C770" s="2">
        <v>800</v>
      </c>
    </row>
    <row r="771" spans="1:3">
      <c r="A771" s="2" t="s">
        <v>1221</v>
      </c>
      <c r="B771" s="2" t="s">
        <v>36</v>
      </c>
      <c r="C771" s="2">
        <v>799</v>
      </c>
    </row>
    <row r="772" spans="1:3">
      <c r="A772" s="2" t="s">
        <v>2648</v>
      </c>
      <c r="B772" s="2" t="s">
        <v>36</v>
      </c>
      <c r="C772" s="2">
        <v>799</v>
      </c>
    </row>
    <row r="773" spans="1:3">
      <c r="A773" s="2" t="s">
        <v>3047</v>
      </c>
      <c r="B773" s="2" t="s">
        <v>36</v>
      </c>
      <c r="C773" s="2">
        <v>791</v>
      </c>
    </row>
    <row r="774" spans="1:3">
      <c r="A774" s="2" t="s">
        <v>2039</v>
      </c>
      <c r="B774" s="2" t="s">
        <v>36</v>
      </c>
      <c r="C774" s="2">
        <v>789</v>
      </c>
    </row>
    <row r="775" spans="1:3">
      <c r="A775" s="2" t="s">
        <v>2083</v>
      </c>
      <c r="B775" s="2" t="s">
        <v>36</v>
      </c>
      <c r="C775" s="2">
        <v>789</v>
      </c>
    </row>
    <row r="776" spans="1:3">
      <c r="A776" s="2" t="s">
        <v>1193</v>
      </c>
      <c r="B776" s="2" t="s">
        <v>36</v>
      </c>
      <c r="C776" s="2">
        <v>785</v>
      </c>
    </row>
    <row r="777" spans="1:3">
      <c r="A777" s="2" t="s">
        <v>2626</v>
      </c>
      <c r="B777" s="2" t="s">
        <v>36</v>
      </c>
      <c r="C777" s="2">
        <v>782</v>
      </c>
    </row>
    <row r="778" spans="1:3">
      <c r="A778" s="2" t="s">
        <v>3549</v>
      </c>
      <c r="B778" s="2" t="s">
        <v>36</v>
      </c>
      <c r="C778" s="2">
        <v>778</v>
      </c>
    </row>
    <row r="779" spans="1:3">
      <c r="A779" s="2" t="s">
        <v>3060</v>
      </c>
      <c r="B779" s="2" t="s">
        <v>36</v>
      </c>
      <c r="C779" s="2">
        <v>778</v>
      </c>
    </row>
    <row r="780" spans="1:3">
      <c r="A780" s="2" t="s">
        <v>3573</v>
      </c>
      <c r="B780" s="2" t="s">
        <v>36</v>
      </c>
      <c r="C780" s="2">
        <v>776</v>
      </c>
    </row>
    <row r="781" spans="1:3">
      <c r="A781" s="2" t="s">
        <v>3055</v>
      </c>
      <c r="B781" s="2" t="s">
        <v>36</v>
      </c>
      <c r="C781" s="2">
        <v>776</v>
      </c>
    </row>
    <row r="782" spans="1:3">
      <c r="A782" s="2" t="s">
        <v>1207</v>
      </c>
      <c r="B782" s="2" t="s">
        <v>36</v>
      </c>
      <c r="C782" s="2">
        <v>776</v>
      </c>
    </row>
    <row r="783" spans="1:3">
      <c r="A783" s="2" t="s">
        <v>4334</v>
      </c>
      <c r="B783" s="2" t="s">
        <v>36</v>
      </c>
      <c r="C783" s="2">
        <v>771</v>
      </c>
    </row>
    <row r="784" spans="1:3">
      <c r="A784" s="2" t="s">
        <v>4000</v>
      </c>
      <c r="B784" s="2" t="s">
        <v>36</v>
      </c>
      <c r="C784" s="2">
        <v>766</v>
      </c>
    </row>
    <row r="785" spans="1:3">
      <c r="A785" s="2" t="s">
        <v>2608</v>
      </c>
      <c r="B785" s="2" t="s">
        <v>36</v>
      </c>
      <c r="C785" s="2">
        <v>765</v>
      </c>
    </row>
    <row r="786" spans="1:3">
      <c r="A786" s="2" t="s">
        <v>3993</v>
      </c>
      <c r="B786" s="2" t="s">
        <v>36</v>
      </c>
      <c r="C786" s="2">
        <v>765</v>
      </c>
    </row>
    <row r="787" spans="1:3">
      <c r="A787" s="2" t="s">
        <v>2014</v>
      </c>
      <c r="B787" s="2" t="s">
        <v>36</v>
      </c>
      <c r="C787" s="2">
        <v>764</v>
      </c>
    </row>
    <row r="788" spans="1:3">
      <c r="A788" s="2" t="s">
        <v>1664</v>
      </c>
      <c r="B788" s="2" t="s">
        <v>36</v>
      </c>
      <c r="C788" s="2">
        <v>764</v>
      </c>
    </row>
    <row r="789" spans="1:3">
      <c r="A789" s="2" t="s">
        <v>426</v>
      </c>
      <c r="B789" s="2" t="s">
        <v>36</v>
      </c>
      <c r="C789" s="2">
        <v>761</v>
      </c>
    </row>
    <row r="790" spans="1:3">
      <c r="A790" s="2" t="s">
        <v>3500</v>
      </c>
      <c r="B790" s="2" t="s">
        <v>36</v>
      </c>
      <c r="C790" s="2">
        <v>758</v>
      </c>
    </row>
    <row r="791" spans="1:3">
      <c r="A791" s="2" t="s">
        <v>4338</v>
      </c>
      <c r="B791" s="2" t="s">
        <v>36</v>
      </c>
      <c r="C791" s="2">
        <v>754</v>
      </c>
    </row>
    <row r="792" spans="1:3">
      <c r="A792" s="2" t="s">
        <v>3586</v>
      </c>
      <c r="B792" s="2" t="s">
        <v>36</v>
      </c>
      <c r="C792" s="2">
        <v>753</v>
      </c>
    </row>
    <row r="793" spans="1:3">
      <c r="A793" s="2" t="s">
        <v>4290</v>
      </c>
      <c r="B793" s="2" t="s">
        <v>36</v>
      </c>
      <c r="C793" s="2">
        <v>748</v>
      </c>
    </row>
    <row r="794" spans="1:3">
      <c r="A794" s="2" t="s">
        <v>3493</v>
      </c>
      <c r="B794" s="2" t="s">
        <v>36</v>
      </c>
      <c r="C794" s="2">
        <v>746</v>
      </c>
    </row>
    <row r="795" spans="1:3">
      <c r="A795" s="2" t="s">
        <v>2592</v>
      </c>
      <c r="B795" s="2" t="s">
        <v>36</v>
      </c>
      <c r="C795" s="2">
        <v>746</v>
      </c>
    </row>
    <row r="796" spans="1:3">
      <c r="A796" s="2" t="s">
        <v>1210</v>
      </c>
      <c r="B796" s="2" t="s">
        <v>36</v>
      </c>
      <c r="C796" s="2">
        <v>740</v>
      </c>
    </row>
    <row r="797" spans="1:3">
      <c r="A797" s="2" t="s">
        <v>3109</v>
      </c>
      <c r="B797" s="2" t="s">
        <v>36</v>
      </c>
      <c r="C797" s="2">
        <v>735</v>
      </c>
    </row>
    <row r="798" spans="1:3">
      <c r="A798" s="2" t="s">
        <v>1212</v>
      </c>
      <c r="B798" s="2" t="s">
        <v>36</v>
      </c>
      <c r="C798" s="2">
        <v>733</v>
      </c>
    </row>
    <row r="799" spans="1:3">
      <c r="A799" s="2" t="s">
        <v>3584</v>
      </c>
      <c r="B799" s="2" t="s">
        <v>36</v>
      </c>
      <c r="C799" s="2">
        <v>731</v>
      </c>
    </row>
    <row r="800" spans="1:3">
      <c r="A800" s="2" t="s">
        <v>2614</v>
      </c>
      <c r="B800" s="2" t="s">
        <v>36</v>
      </c>
      <c r="C800" s="2">
        <v>730</v>
      </c>
    </row>
    <row r="801" spans="1:3">
      <c r="A801" s="2" t="s">
        <v>4668</v>
      </c>
      <c r="B801" s="2" t="s">
        <v>36</v>
      </c>
      <c r="C801" s="2">
        <v>722</v>
      </c>
    </row>
    <row r="802" spans="1:3">
      <c r="A802" s="2" t="s">
        <v>2004</v>
      </c>
      <c r="B802" s="2" t="s">
        <v>36</v>
      </c>
      <c r="C802" s="2">
        <v>722</v>
      </c>
    </row>
    <row r="803" spans="1:3">
      <c r="A803" s="2" t="s">
        <v>3562</v>
      </c>
      <c r="B803" s="2" t="s">
        <v>36</v>
      </c>
      <c r="C803" s="2">
        <v>720</v>
      </c>
    </row>
    <row r="804" spans="1:3">
      <c r="A804" s="2" t="s">
        <v>2044</v>
      </c>
      <c r="B804" s="2" t="s">
        <v>36</v>
      </c>
      <c r="C804" s="2">
        <v>720</v>
      </c>
    </row>
    <row r="805" spans="1:3">
      <c r="A805" s="2" t="s">
        <v>4308</v>
      </c>
      <c r="B805" s="2" t="s">
        <v>36</v>
      </c>
      <c r="C805" s="2">
        <v>719</v>
      </c>
    </row>
    <row r="806" spans="1:3">
      <c r="A806" s="2" t="s">
        <v>2021</v>
      </c>
      <c r="B806" s="2" t="s">
        <v>36</v>
      </c>
      <c r="C806" s="2">
        <v>718</v>
      </c>
    </row>
    <row r="807" spans="1:3">
      <c r="A807" s="2" t="s">
        <v>3049</v>
      </c>
      <c r="B807" s="2" t="s">
        <v>36</v>
      </c>
      <c r="C807" s="2">
        <v>712</v>
      </c>
    </row>
    <row r="808" spans="1:3">
      <c r="A808" s="2" t="s">
        <v>3508</v>
      </c>
      <c r="B808" s="2" t="s">
        <v>36</v>
      </c>
      <c r="C808" s="2">
        <v>710</v>
      </c>
    </row>
    <row r="809" spans="1:3">
      <c r="A809" s="2" t="s">
        <v>4326</v>
      </c>
      <c r="B809" s="2" t="s">
        <v>36</v>
      </c>
      <c r="C809" s="2">
        <v>706</v>
      </c>
    </row>
    <row r="810" spans="1:3">
      <c r="A810" s="2" t="s">
        <v>3031</v>
      </c>
      <c r="B810" s="2" t="s">
        <v>36</v>
      </c>
      <c r="C810" s="2">
        <v>703</v>
      </c>
    </row>
    <row r="811" spans="1:3">
      <c r="A811" s="2" t="s">
        <v>1192</v>
      </c>
      <c r="B811" s="2" t="s">
        <v>36</v>
      </c>
      <c r="C811" s="2">
        <v>695</v>
      </c>
    </row>
    <row r="812" spans="1:3">
      <c r="A812" s="2" t="s">
        <v>1163</v>
      </c>
      <c r="B812" s="2" t="s">
        <v>36</v>
      </c>
      <c r="C812" s="2">
        <v>694</v>
      </c>
    </row>
    <row r="813" spans="1:3">
      <c r="A813" s="2" t="s">
        <v>3089</v>
      </c>
      <c r="B813" s="2" t="s">
        <v>36</v>
      </c>
      <c r="C813" s="2">
        <v>679</v>
      </c>
    </row>
    <row r="814" spans="1:3">
      <c r="A814" s="2" t="s">
        <v>3035</v>
      </c>
      <c r="B814" s="2" t="s">
        <v>36</v>
      </c>
      <c r="C814" s="2">
        <v>668</v>
      </c>
    </row>
    <row r="815" spans="1:3">
      <c r="A815" s="2" t="s">
        <v>2518</v>
      </c>
      <c r="B815" s="2" t="s">
        <v>36</v>
      </c>
      <c r="C815" s="2">
        <v>666</v>
      </c>
    </row>
    <row r="816" spans="1:3">
      <c r="A816" s="2" t="s">
        <v>3062</v>
      </c>
      <c r="B816" s="2" t="s">
        <v>36</v>
      </c>
      <c r="C816" s="2">
        <v>663</v>
      </c>
    </row>
    <row r="817" spans="1:3">
      <c r="A817" s="2" t="s">
        <v>2624</v>
      </c>
      <c r="B817" s="2" t="s">
        <v>36</v>
      </c>
      <c r="C817" s="2">
        <v>662</v>
      </c>
    </row>
    <row r="818" spans="1:3">
      <c r="A818" s="2" t="s">
        <v>4341</v>
      </c>
      <c r="B818" s="2" t="s">
        <v>36</v>
      </c>
      <c r="C818" s="2">
        <v>660</v>
      </c>
    </row>
    <row r="819" spans="1:3">
      <c r="A819" s="2" t="s">
        <v>1979</v>
      </c>
      <c r="B819" s="2" t="s">
        <v>36</v>
      </c>
      <c r="C819" s="2">
        <v>658</v>
      </c>
    </row>
    <row r="820" spans="1:3">
      <c r="A820" s="2" t="s">
        <v>2637</v>
      </c>
      <c r="B820" s="2" t="s">
        <v>36</v>
      </c>
      <c r="C820" s="2">
        <v>654</v>
      </c>
    </row>
    <row r="821" spans="1:3">
      <c r="A821" s="2" t="s">
        <v>55</v>
      </c>
      <c r="B821" s="2" t="s">
        <v>36</v>
      </c>
      <c r="C821" s="2">
        <v>649</v>
      </c>
    </row>
    <row r="822" spans="1:3">
      <c r="A822" s="2" t="s">
        <v>3499</v>
      </c>
      <c r="B822" s="2" t="s">
        <v>36</v>
      </c>
      <c r="C822" s="2">
        <v>647</v>
      </c>
    </row>
    <row r="823" spans="1:3">
      <c r="A823" s="2" t="s">
        <v>3555</v>
      </c>
      <c r="B823" s="2" t="s">
        <v>36</v>
      </c>
      <c r="C823" s="2">
        <v>646</v>
      </c>
    </row>
    <row r="824" spans="1:3">
      <c r="A824" s="2" t="s">
        <v>2051</v>
      </c>
      <c r="B824" s="2" t="s">
        <v>36</v>
      </c>
      <c r="C824" s="2">
        <v>646</v>
      </c>
    </row>
    <row r="825" spans="1:3">
      <c r="A825" s="2" t="s">
        <v>1619</v>
      </c>
      <c r="B825" s="2" t="s">
        <v>36</v>
      </c>
      <c r="C825" s="2">
        <v>644</v>
      </c>
    </row>
    <row r="826" spans="1:3">
      <c r="A826" s="2" t="s">
        <v>4618</v>
      </c>
      <c r="B826" s="2" t="s">
        <v>36</v>
      </c>
      <c r="C826" s="2">
        <v>641</v>
      </c>
    </row>
    <row r="827" spans="1:3">
      <c r="A827" s="2" t="s">
        <v>1196</v>
      </c>
      <c r="B827" s="2" t="s">
        <v>36</v>
      </c>
      <c r="C827" s="2">
        <v>640</v>
      </c>
    </row>
    <row r="828" spans="1:3">
      <c r="A828" s="2" t="s">
        <v>3127</v>
      </c>
      <c r="B828" s="2" t="s">
        <v>36</v>
      </c>
      <c r="C828" s="2">
        <v>636</v>
      </c>
    </row>
    <row r="829" spans="1:3">
      <c r="A829" s="2" t="s">
        <v>4335</v>
      </c>
      <c r="B829" s="2" t="s">
        <v>36</v>
      </c>
      <c r="C829" s="2">
        <v>636</v>
      </c>
    </row>
    <row r="830" spans="1:3">
      <c r="A830" s="2" t="s">
        <v>4699</v>
      </c>
      <c r="B830" s="2" t="s">
        <v>36</v>
      </c>
      <c r="C830" s="2">
        <v>635</v>
      </c>
    </row>
    <row r="831" spans="1:3">
      <c r="A831" s="2" t="s">
        <v>2520</v>
      </c>
      <c r="B831" s="2" t="s">
        <v>36</v>
      </c>
      <c r="C831" s="2">
        <v>635</v>
      </c>
    </row>
    <row r="832" spans="1:3">
      <c r="A832" s="2" t="s">
        <v>94</v>
      </c>
      <c r="B832" s="2" t="s">
        <v>36</v>
      </c>
      <c r="C832" s="2">
        <v>634</v>
      </c>
    </row>
    <row r="833" spans="1:3">
      <c r="A833" s="2" t="s">
        <v>1203</v>
      </c>
      <c r="B833" s="2" t="s">
        <v>36</v>
      </c>
      <c r="C833" s="2">
        <v>634</v>
      </c>
    </row>
    <row r="834" spans="1:3">
      <c r="A834" s="2" t="s">
        <v>1638</v>
      </c>
      <c r="B834" s="2" t="s">
        <v>36</v>
      </c>
      <c r="C834" s="2">
        <v>628</v>
      </c>
    </row>
    <row r="835" spans="1:3">
      <c r="A835" s="2" t="s">
        <v>3552</v>
      </c>
      <c r="B835" s="2" t="s">
        <v>36</v>
      </c>
      <c r="C835" s="2">
        <v>628</v>
      </c>
    </row>
    <row r="836" spans="1:3">
      <c r="A836" s="2" t="s">
        <v>3996</v>
      </c>
      <c r="B836" s="2" t="s">
        <v>36</v>
      </c>
      <c r="C836" s="2">
        <v>626</v>
      </c>
    </row>
    <row r="837" spans="1:3">
      <c r="A837" s="2" t="s">
        <v>2617</v>
      </c>
      <c r="B837" s="2" t="s">
        <v>36</v>
      </c>
      <c r="C837" s="2">
        <v>625</v>
      </c>
    </row>
    <row r="838" spans="1:3">
      <c r="A838" s="2" t="s">
        <v>4318</v>
      </c>
      <c r="B838" s="2" t="s">
        <v>36</v>
      </c>
      <c r="C838" s="2">
        <v>624</v>
      </c>
    </row>
    <row r="839" spans="1:3">
      <c r="A839" s="2" t="s">
        <v>1624</v>
      </c>
      <c r="B839" s="2" t="s">
        <v>36</v>
      </c>
      <c r="C839" s="2">
        <v>623</v>
      </c>
    </row>
    <row r="840" spans="1:3">
      <c r="A840" s="2" t="s">
        <v>3052</v>
      </c>
      <c r="B840" s="2" t="s">
        <v>36</v>
      </c>
      <c r="C840" s="2">
        <v>622</v>
      </c>
    </row>
    <row r="841" spans="1:3">
      <c r="A841" s="2" t="s">
        <v>4323</v>
      </c>
      <c r="B841" s="2" t="s">
        <v>36</v>
      </c>
      <c r="C841" s="2">
        <v>619</v>
      </c>
    </row>
    <row r="842" spans="1:3">
      <c r="A842" s="2" t="s">
        <v>3043</v>
      </c>
      <c r="B842" s="2" t="s">
        <v>36</v>
      </c>
      <c r="C842" s="2">
        <v>617</v>
      </c>
    </row>
    <row r="843" spans="1:3">
      <c r="A843" s="2" t="s">
        <v>2086</v>
      </c>
      <c r="B843" s="2" t="s">
        <v>36</v>
      </c>
      <c r="C843" s="2">
        <v>616</v>
      </c>
    </row>
    <row r="844" spans="1:3">
      <c r="A844" s="2" t="s">
        <v>1198</v>
      </c>
      <c r="B844" s="2" t="s">
        <v>36</v>
      </c>
      <c r="C844" s="2">
        <v>616</v>
      </c>
    </row>
    <row r="845" spans="1:3">
      <c r="A845" s="2" t="s">
        <v>1215</v>
      </c>
      <c r="B845" s="2" t="s">
        <v>36</v>
      </c>
      <c r="C845" s="2">
        <v>612</v>
      </c>
    </row>
    <row r="846" spans="1:3">
      <c r="A846" s="2" t="s">
        <v>303</v>
      </c>
      <c r="B846" s="2" t="s">
        <v>36</v>
      </c>
      <c r="C846" s="2">
        <v>611</v>
      </c>
    </row>
    <row r="847" spans="1:3">
      <c r="A847" s="2" t="s">
        <v>3968</v>
      </c>
      <c r="B847" s="2" t="s">
        <v>36</v>
      </c>
      <c r="C847" s="2">
        <v>611</v>
      </c>
    </row>
    <row r="848" spans="1:3">
      <c r="A848" s="2" t="s">
        <v>3086</v>
      </c>
      <c r="B848" s="2" t="s">
        <v>36</v>
      </c>
      <c r="C848" s="2">
        <v>610</v>
      </c>
    </row>
    <row r="849" spans="1:3">
      <c r="A849" s="2" t="s">
        <v>1678</v>
      </c>
      <c r="B849" s="2" t="s">
        <v>36</v>
      </c>
      <c r="C849" s="2">
        <v>608</v>
      </c>
    </row>
    <row r="850" spans="1:3">
      <c r="A850" s="2" t="s">
        <v>4604</v>
      </c>
      <c r="B850" s="2" t="s">
        <v>36</v>
      </c>
      <c r="C850" s="2">
        <v>607</v>
      </c>
    </row>
    <row r="851" spans="1:3">
      <c r="A851" s="2" t="s">
        <v>3099</v>
      </c>
      <c r="B851" s="2" t="s">
        <v>36</v>
      </c>
      <c r="C851" s="2">
        <v>606</v>
      </c>
    </row>
    <row r="852" spans="1:3">
      <c r="A852" s="2" t="s">
        <v>2588</v>
      </c>
      <c r="B852" s="2" t="s">
        <v>36</v>
      </c>
      <c r="C852" s="2">
        <v>602</v>
      </c>
    </row>
    <row r="853" spans="1:3">
      <c r="A853" s="2" t="s">
        <v>2601</v>
      </c>
      <c r="B853" s="2" t="s">
        <v>36</v>
      </c>
      <c r="C853" s="2">
        <v>602</v>
      </c>
    </row>
    <row r="854" spans="1:3">
      <c r="A854" s="2" t="s">
        <v>3073</v>
      </c>
      <c r="B854" s="2" t="s">
        <v>36</v>
      </c>
      <c r="C854" s="2">
        <v>597</v>
      </c>
    </row>
    <row r="855" spans="1:3">
      <c r="A855" s="2" t="s">
        <v>2019</v>
      </c>
      <c r="B855" s="2" t="s">
        <v>36</v>
      </c>
      <c r="C855" s="2">
        <v>597</v>
      </c>
    </row>
    <row r="856" spans="1:3">
      <c r="A856" s="2" t="s">
        <v>2641</v>
      </c>
      <c r="B856" s="2" t="s">
        <v>36</v>
      </c>
      <c r="C856" s="2">
        <v>596</v>
      </c>
    </row>
    <row r="857" spans="1:3">
      <c r="A857" s="2" t="s">
        <v>1993</v>
      </c>
      <c r="B857" s="2" t="s">
        <v>36</v>
      </c>
      <c r="C857" s="2">
        <v>592</v>
      </c>
    </row>
    <row r="858" spans="1:3">
      <c r="A858" s="2" t="s">
        <v>1149</v>
      </c>
      <c r="B858" s="2" t="s">
        <v>36</v>
      </c>
      <c r="C858" s="2">
        <v>591</v>
      </c>
    </row>
    <row r="859" spans="1:3">
      <c r="A859" s="2" t="s">
        <v>3098</v>
      </c>
      <c r="B859" s="2" t="s">
        <v>36</v>
      </c>
      <c r="C859" s="2">
        <v>586</v>
      </c>
    </row>
    <row r="860" spans="1:3">
      <c r="A860" s="2" t="s">
        <v>1182</v>
      </c>
      <c r="B860" s="2" t="s">
        <v>36</v>
      </c>
      <c r="C860" s="2">
        <v>586</v>
      </c>
    </row>
    <row r="861" spans="1:3">
      <c r="A861" s="2" t="s">
        <v>3991</v>
      </c>
      <c r="B861" s="2" t="s">
        <v>36</v>
      </c>
      <c r="C861" s="2">
        <v>585</v>
      </c>
    </row>
    <row r="862" spans="1:3">
      <c r="A862" s="2" t="s">
        <v>2006</v>
      </c>
      <c r="B862" s="2" t="s">
        <v>36</v>
      </c>
      <c r="C862" s="2">
        <v>583</v>
      </c>
    </row>
    <row r="863" spans="1:3">
      <c r="A863" s="2" t="s">
        <v>3960</v>
      </c>
      <c r="B863" s="2" t="s">
        <v>36</v>
      </c>
      <c r="C863" s="2">
        <v>582</v>
      </c>
    </row>
    <row r="864" spans="1:3">
      <c r="A864" s="2" t="s">
        <v>3533</v>
      </c>
      <c r="B864" s="2" t="s">
        <v>36</v>
      </c>
      <c r="C864" s="2">
        <v>580</v>
      </c>
    </row>
    <row r="865" spans="1:3">
      <c r="A865" s="2" t="s">
        <v>3582</v>
      </c>
      <c r="B865" s="2" t="s">
        <v>36</v>
      </c>
      <c r="C865" s="2">
        <v>578</v>
      </c>
    </row>
    <row r="866" spans="1:3">
      <c r="A866" s="2" t="s">
        <v>1217</v>
      </c>
      <c r="B866" s="2" t="s">
        <v>36</v>
      </c>
      <c r="C866" s="2">
        <v>578</v>
      </c>
    </row>
    <row r="867" spans="1:3">
      <c r="A867" s="2" t="s">
        <v>1672</v>
      </c>
      <c r="B867" s="2" t="s">
        <v>36</v>
      </c>
      <c r="C867" s="2">
        <v>576</v>
      </c>
    </row>
    <row r="868" spans="1:3">
      <c r="A868" s="2" t="s">
        <v>3087</v>
      </c>
      <c r="B868" s="2" t="s">
        <v>36</v>
      </c>
      <c r="C868" s="2">
        <v>576</v>
      </c>
    </row>
    <row r="869" spans="1:3">
      <c r="A869" s="2" t="s">
        <v>3513</v>
      </c>
      <c r="B869" s="2" t="s">
        <v>36</v>
      </c>
      <c r="C869" s="2">
        <v>570</v>
      </c>
    </row>
    <row r="870" spans="1:3">
      <c r="A870" s="2" t="s">
        <v>3061</v>
      </c>
      <c r="B870" s="2" t="s">
        <v>36</v>
      </c>
      <c r="C870" s="2">
        <v>567</v>
      </c>
    </row>
    <row r="871" spans="1:3">
      <c r="A871" s="2" t="s">
        <v>4661</v>
      </c>
      <c r="B871" s="2" t="s">
        <v>36</v>
      </c>
      <c r="C871" s="2">
        <v>567</v>
      </c>
    </row>
    <row r="872" spans="1:3">
      <c r="A872" s="2" t="s">
        <v>3902</v>
      </c>
      <c r="B872" s="2" t="s">
        <v>36</v>
      </c>
      <c r="C872" s="2">
        <v>567</v>
      </c>
    </row>
    <row r="873" spans="1:3">
      <c r="A873" s="2" t="s">
        <v>1622</v>
      </c>
      <c r="B873" s="2" t="s">
        <v>36</v>
      </c>
      <c r="C873" s="2">
        <v>565</v>
      </c>
    </row>
    <row r="874" spans="1:3">
      <c r="A874" s="2" t="s">
        <v>1189</v>
      </c>
      <c r="B874" s="2" t="s">
        <v>36</v>
      </c>
      <c r="C874" s="2">
        <v>564</v>
      </c>
    </row>
    <row r="875" spans="1:3">
      <c r="A875" s="2" t="s">
        <v>4653</v>
      </c>
      <c r="B875" s="2" t="s">
        <v>36</v>
      </c>
      <c r="C875" s="2">
        <v>563</v>
      </c>
    </row>
    <row r="876" spans="1:3">
      <c r="A876" s="2" t="s">
        <v>1202</v>
      </c>
      <c r="B876" s="2" t="s">
        <v>36</v>
      </c>
      <c r="C876" s="2">
        <v>563</v>
      </c>
    </row>
    <row r="877" spans="1:3">
      <c r="A877" s="2" t="s">
        <v>1111</v>
      </c>
      <c r="B877" s="2" t="s">
        <v>36</v>
      </c>
      <c r="C877" s="2">
        <v>556</v>
      </c>
    </row>
    <row r="878" spans="1:3">
      <c r="A878" s="2" t="s">
        <v>2053</v>
      </c>
      <c r="B878" s="2" t="s">
        <v>36</v>
      </c>
      <c r="C878" s="2">
        <v>552</v>
      </c>
    </row>
    <row r="879" spans="1:3">
      <c r="A879" s="2" t="s">
        <v>4344</v>
      </c>
      <c r="B879" s="2" t="s">
        <v>36</v>
      </c>
      <c r="C879" s="2">
        <v>551</v>
      </c>
    </row>
    <row r="880" spans="1:3">
      <c r="A880" s="2" t="s">
        <v>2594</v>
      </c>
      <c r="B880" s="2" t="s">
        <v>36</v>
      </c>
      <c r="C880" s="2">
        <v>548</v>
      </c>
    </row>
    <row r="881" spans="1:3">
      <c r="A881" s="2" t="s">
        <v>2056</v>
      </c>
      <c r="B881" s="2" t="s">
        <v>36</v>
      </c>
      <c r="C881" s="2">
        <v>548</v>
      </c>
    </row>
    <row r="882" spans="1:3">
      <c r="A882" s="2" t="s">
        <v>1977</v>
      </c>
      <c r="B882" s="2" t="s">
        <v>36</v>
      </c>
      <c r="C882" s="2">
        <v>548</v>
      </c>
    </row>
    <row r="883" spans="1:3">
      <c r="A883" s="2" t="s">
        <v>4324</v>
      </c>
      <c r="B883" s="2" t="s">
        <v>36</v>
      </c>
      <c r="C883" s="2">
        <v>546</v>
      </c>
    </row>
    <row r="884" spans="1:3">
      <c r="A884" s="2" t="s">
        <v>3079</v>
      </c>
      <c r="B884" s="2" t="s">
        <v>36</v>
      </c>
      <c r="C884" s="2">
        <v>546</v>
      </c>
    </row>
    <row r="885" spans="1:3">
      <c r="A885" s="2" t="s">
        <v>326</v>
      </c>
      <c r="B885" s="2" t="s">
        <v>36</v>
      </c>
      <c r="C885" s="2">
        <v>544</v>
      </c>
    </row>
    <row r="886" spans="1:3">
      <c r="A886" s="2" t="s">
        <v>3896</v>
      </c>
      <c r="B886" s="2" t="s">
        <v>36</v>
      </c>
      <c r="C886" s="2">
        <v>538</v>
      </c>
    </row>
    <row r="887" spans="1:3">
      <c r="A887" s="2" t="s">
        <v>3514</v>
      </c>
      <c r="B887" s="2" t="s">
        <v>36</v>
      </c>
      <c r="C887" s="2">
        <v>536</v>
      </c>
    </row>
    <row r="888" spans="1:3">
      <c r="A888" s="2" t="s">
        <v>3505</v>
      </c>
      <c r="B888" s="2" t="s">
        <v>36</v>
      </c>
      <c r="C888" s="2">
        <v>535</v>
      </c>
    </row>
    <row r="889" spans="1:3">
      <c r="A889" s="2" t="s">
        <v>4286</v>
      </c>
      <c r="B889" s="2" t="s">
        <v>36</v>
      </c>
      <c r="C889" s="2">
        <v>534</v>
      </c>
    </row>
    <row r="890" spans="1:3">
      <c r="A890" s="2" t="s">
        <v>4651</v>
      </c>
      <c r="B890" s="2" t="s">
        <v>36</v>
      </c>
      <c r="C890" s="2">
        <v>534</v>
      </c>
    </row>
    <row r="891" spans="1:3">
      <c r="A891" s="2" t="s">
        <v>333</v>
      </c>
      <c r="B891" s="2" t="s">
        <v>36</v>
      </c>
      <c r="C891" s="2">
        <v>531</v>
      </c>
    </row>
    <row r="892" spans="1:3">
      <c r="A892" s="2" t="s">
        <v>3520</v>
      </c>
      <c r="B892" s="2" t="s">
        <v>36</v>
      </c>
      <c r="C892" s="2">
        <v>531</v>
      </c>
    </row>
    <row r="893" spans="1:3">
      <c r="A893" s="2" t="s">
        <v>3962</v>
      </c>
      <c r="B893" s="2" t="s">
        <v>36</v>
      </c>
      <c r="C893" s="2">
        <v>529</v>
      </c>
    </row>
    <row r="894" spans="1:3">
      <c r="A894" s="2" t="s">
        <v>3071</v>
      </c>
      <c r="B894" s="2" t="s">
        <v>36</v>
      </c>
      <c r="C894" s="2">
        <v>526</v>
      </c>
    </row>
    <row r="895" spans="1:3">
      <c r="A895" s="2" t="s">
        <v>3970</v>
      </c>
      <c r="B895" s="2" t="s">
        <v>36</v>
      </c>
      <c r="C895" s="2">
        <v>525</v>
      </c>
    </row>
    <row r="896" spans="1:3">
      <c r="A896" s="2" t="s">
        <v>4639</v>
      </c>
      <c r="B896" s="2" t="s">
        <v>36</v>
      </c>
      <c r="C896" s="2">
        <v>524</v>
      </c>
    </row>
    <row r="897" spans="1:3">
      <c r="A897" s="2" t="s">
        <v>4703</v>
      </c>
      <c r="B897" s="2" t="s">
        <v>36</v>
      </c>
      <c r="C897" s="2">
        <v>520</v>
      </c>
    </row>
    <row r="898" spans="1:3">
      <c r="A898" s="2" t="s">
        <v>3923</v>
      </c>
      <c r="B898" s="2" t="s">
        <v>36</v>
      </c>
      <c r="C898" s="2">
        <v>519</v>
      </c>
    </row>
    <row r="899" spans="1:3">
      <c r="A899" s="2" t="s">
        <v>3128</v>
      </c>
      <c r="B899" s="2" t="s">
        <v>36</v>
      </c>
      <c r="C899" s="2">
        <v>517</v>
      </c>
    </row>
    <row r="900" spans="1:3">
      <c r="A900" s="2" t="s">
        <v>3494</v>
      </c>
      <c r="B900" s="2" t="s">
        <v>36</v>
      </c>
      <c r="C900" s="2">
        <v>517</v>
      </c>
    </row>
    <row r="901" spans="1:3">
      <c r="A901" s="2" t="s">
        <v>3894</v>
      </c>
      <c r="B901" s="2" t="s">
        <v>36</v>
      </c>
      <c r="C901" s="2">
        <v>516</v>
      </c>
    </row>
    <row r="902" spans="1:3">
      <c r="A902" s="2" t="s">
        <v>1170</v>
      </c>
      <c r="B902" s="2" t="s">
        <v>36</v>
      </c>
      <c r="C902" s="2">
        <v>508</v>
      </c>
    </row>
    <row r="903" spans="1:3">
      <c r="A903" s="2" t="s">
        <v>4345</v>
      </c>
      <c r="B903" s="2" t="s">
        <v>36</v>
      </c>
      <c r="C903" s="2">
        <v>507</v>
      </c>
    </row>
    <row r="904" spans="1:3">
      <c r="A904" s="2" t="s">
        <v>1194</v>
      </c>
      <c r="B904" s="2" t="s">
        <v>36</v>
      </c>
      <c r="C904" s="2">
        <v>507</v>
      </c>
    </row>
    <row r="905" spans="1:3">
      <c r="A905" s="2" t="s">
        <v>320</v>
      </c>
      <c r="B905" s="2" t="s">
        <v>36</v>
      </c>
      <c r="C905" s="2">
        <v>503</v>
      </c>
    </row>
    <row r="906" spans="1:3">
      <c r="A906" s="2" t="s">
        <v>3103</v>
      </c>
      <c r="B906" s="2" t="s">
        <v>36</v>
      </c>
      <c r="C906" s="2">
        <v>501</v>
      </c>
    </row>
    <row r="907" spans="1:3">
      <c r="A907" s="2" t="s">
        <v>3547</v>
      </c>
      <c r="B907" s="2" t="s">
        <v>36</v>
      </c>
      <c r="C907" s="2">
        <v>500</v>
      </c>
    </row>
    <row r="908" spans="1:3">
      <c r="A908" s="2" t="s">
        <v>4646</v>
      </c>
      <c r="B908" s="2" t="s">
        <v>36</v>
      </c>
      <c r="C908" s="2">
        <v>498</v>
      </c>
    </row>
    <row r="909" spans="1:3">
      <c r="A909" s="2" t="s">
        <v>3065</v>
      </c>
      <c r="B909" s="2" t="s">
        <v>36</v>
      </c>
      <c r="C909" s="2">
        <v>493</v>
      </c>
    </row>
    <row r="910" spans="1:3">
      <c r="A910" s="2" t="s">
        <v>1645</v>
      </c>
      <c r="B910" s="2" t="s">
        <v>36</v>
      </c>
      <c r="C910" s="2">
        <v>492</v>
      </c>
    </row>
    <row r="911" spans="1:3">
      <c r="A911" s="2" t="s">
        <v>4304</v>
      </c>
      <c r="B911" s="2" t="s">
        <v>36</v>
      </c>
      <c r="C911" s="2">
        <v>491</v>
      </c>
    </row>
    <row r="912" spans="1:3">
      <c r="A912" s="2" t="s">
        <v>3560</v>
      </c>
      <c r="B912" s="2" t="s">
        <v>36</v>
      </c>
      <c r="C912" s="2">
        <v>491</v>
      </c>
    </row>
    <row r="913" spans="1:3">
      <c r="A913" s="2" t="s">
        <v>3988</v>
      </c>
      <c r="B913" s="2" t="s">
        <v>36</v>
      </c>
      <c r="C913" s="2">
        <v>489</v>
      </c>
    </row>
    <row r="914" spans="1:3">
      <c r="A914" s="2" t="s">
        <v>1206</v>
      </c>
      <c r="B914" s="2" t="s">
        <v>36</v>
      </c>
      <c r="C914" s="2">
        <v>489</v>
      </c>
    </row>
    <row r="915" spans="1:3">
      <c r="A915" s="2" t="s">
        <v>4679</v>
      </c>
      <c r="B915" s="2" t="s">
        <v>36</v>
      </c>
      <c r="C915" s="2">
        <v>488</v>
      </c>
    </row>
    <row r="916" spans="1:3">
      <c r="A916" s="2" t="s">
        <v>4329</v>
      </c>
      <c r="B916" s="2" t="s">
        <v>36</v>
      </c>
      <c r="C916" s="2">
        <v>483</v>
      </c>
    </row>
    <row r="917" spans="1:3">
      <c r="A917" s="2" t="s">
        <v>4681</v>
      </c>
      <c r="B917" s="2" t="s">
        <v>36</v>
      </c>
      <c r="C917" s="2">
        <v>481</v>
      </c>
    </row>
    <row r="918" spans="1:3">
      <c r="A918" s="2" t="s">
        <v>4708</v>
      </c>
      <c r="B918" s="2" t="s">
        <v>36</v>
      </c>
      <c r="C918" s="2">
        <v>480</v>
      </c>
    </row>
    <row r="919" spans="1:3">
      <c r="A919" s="2" t="s">
        <v>3918</v>
      </c>
      <c r="B919" s="2" t="s">
        <v>36</v>
      </c>
      <c r="C919" s="2">
        <v>479</v>
      </c>
    </row>
    <row r="920" spans="1:3">
      <c r="A920" s="2" t="s">
        <v>3114</v>
      </c>
      <c r="B920" s="2" t="s">
        <v>36</v>
      </c>
      <c r="C920" s="2">
        <v>477</v>
      </c>
    </row>
    <row r="921" spans="1:3">
      <c r="A921" s="2" t="s">
        <v>4634</v>
      </c>
      <c r="B921" s="2" t="s">
        <v>36</v>
      </c>
      <c r="C921" s="2">
        <v>476</v>
      </c>
    </row>
    <row r="922" spans="1:3">
      <c r="A922" s="2" t="s">
        <v>3495</v>
      </c>
      <c r="B922" s="2" t="s">
        <v>36</v>
      </c>
      <c r="C922" s="2">
        <v>474</v>
      </c>
    </row>
    <row r="923" spans="1:3">
      <c r="A923" s="2" t="s">
        <v>3516</v>
      </c>
      <c r="B923" s="2" t="s">
        <v>36</v>
      </c>
      <c r="C923" s="2">
        <v>474</v>
      </c>
    </row>
    <row r="924" spans="1:3">
      <c r="A924" s="2" t="s">
        <v>3064</v>
      </c>
      <c r="B924" s="2" t="s">
        <v>36</v>
      </c>
      <c r="C924" s="2">
        <v>474</v>
      </c>
    </row>
    <row r="925" spans="1:3">
      <c r="A925" s="2" t="s">
        <v>3094</v>
      </c>
      <c r="B925" s="2" t="s">
        <v>36</v>
      </c>
      <c r="C925" s="2">
        <v>471</v>
      </c>
    </row>
    <row r="926" spans="1:3">
      <c r="A926" s="2" t="s">
        <v>376</v>
      </c>
      <c r="B926" s="2" t="s">
        <v>36</v>
      </c>
      <c r="C926" s="2">
        <v>469</v>
      </c>
    </row>
    <row r="927" spans="1:3">
      <c r="A927" s="2" t="s">
        <v>1647</v>
      </c>
      <c r="B927" s="2" t="s">
        <v>36</v>
      </c>
      <c r="C927" s="2">
        <v>467</v>
      </c>
    </row>
    <row r="928" spans="1:3">
      <c r="A928" s="2" t="s">
        <v>3070</v>
      </c>
      <c r="B928" s="2" t="s">
        <v>36</v>
      </c>
      <c r="C928" s="2">
        <v>467</v>
      </c>
    </row>
    <row r="929" spans="1:3">
      <c r="A929" s="2" t="s">
        <v>3550</v>
      </c>
      <c r="B929" s="2" t="s">
        <v>36</v>
      </c>
      <c r="C929" s="2">
        <v>466</v>
      </c>
    </row>
    <row r="930" spans="1:3">
      <c r="A930" s="2" t="s">
        <v>1679</v>
      </c>
      <c r="B930" s="2" t="s">
        <v>36</v>
      </c>
      <c r="C930" s="2">
        <v>465</v>
      </c>
    </row>
    <row r="931" spans="1:3">
      <c r="A931" s="2" t="s">
        <v>2526</v>
      </c>
      <c r="B931" s="2" t="s">
        <v>36</v>
      </c>
      <c r="C931" s="2">
        <v>463</v>
      </c>
    </row>
    <row r="932" spans="1:3">
      <c r="A932" s="2" t="s">
        <v>3912</v>
      </c>
      <c r="B932" s="2" t="s">
        <v>36</v>
      </c>
      <c r="C932" s="2">
        <v>460</v>
      </c>
    </row>
    <row r="933" spans="1:3">
      <c r="A933" s="2" t="s">
        <v>2522</v>
      </c>
      <c r="B933" s="2" t="s">
        <v>36</v>
      </c>
      <c r="C933" s="2">
        <v>458</v>
      </c>
    </row>
    <row r="934" spans="1:3">
      <c r="A934" s="2" t="s">
        <v>4695</v>
      </c>
      <c r="B934" s="2" t="s">
        <v>36</v>
      </c>
      <c r="C934" s="2">
        <v>457</v>
      </c>
    </row>
    <row r="935" spans="1:3">
      <c r="A935" s="2" t="s">
        <v>3124</v>
      </c>
      <c r="B935" s="2" t="s">
        <v>36</v>
      </c>
      <c r="C935" s="2">
        <v>456</v>
      </c>
    </row>
    <row r="936" spans="1:3">
      <c r="A936" s="2" t="s">
        <v>2642</v>
      </c>
      <c r="B936" s="2" t="s">
        <v>36</v>
      </c>
      <c r="C936" s="2">
        <v>455</v>
      </c>
    </row>
    <row r="937" spans="1:3">
      <c r="A937" s="2" t="s">
        <v>3924</v>
      </c>
      <c r="B937" s="2" t="s">
        <v>36</v>
      </c>
      <c r="C937" s="2">
        <v>455</v>
      </c>
    </row>
    <row r="938" spans="1:3">
      <c r="A938" s="2" t="s">
        <v>2052</v>
      </c>
      <c r="B938" s="2" t="s">
        <v>36</v>
      </c>
      <c r="C938" s="2">
        <v>448</v>
      </c>
    </row>
    <row r="939" spans="1:3">
      <c r="A939" s="2" t="s">
        <v>2054</v>
      </c>
      <c r="B939" s="2" t="s">
        <v>36</v>
      </c>
      <c r="C939" s="2">
        <v>444</v>
      </c>
    </row>
    <row r="940" spans="1:3">
      <c r="A940" s="2" t="s">
        <v>4339</v>
      </c>
      <c r="B940" s="2" t="s">
        <v>36</v>
      </c>
      <c r="C940" s="2">
        <v>444</v>
      </c>
    </row>
    <row r="941" spans="1:3">
      <c r="A941" s="2" t="s">
        <v>3940</v>
      </c>
      <c r="B941" s="2" t="s">
        <v>36</v>
      </c>
      <c r="C941" s="2">
        <v>444</v>
      </c>
    </row>
    <row r="942" spans="1:3">
      <c r="A942" s="2" t="s">
        <v>4640</v>
      </c>
      <c r="B942" s="2" t="s">
        <v>36</v>
      </c>
      <c r="C942" s="2">
        <v>444</v>
      </c>
    </row>
    <row r="943" spans="1:3">
      <c r="A943" s="2" t="s">
        <v>4288</v>
      </c>
      <c r="B943" s="2" t="s">
        <v>36</v>
      </c>
      <c r="C943" s="2">
        <v>443</v>
      </c>
    </row>
    <row r="944" spans="1:3">
      <c r="A944" s="2" t="s">
        <v>3978</v>
      </c>
      <c r="B944" s="2" t="s">
        <v>36</v>
      </c>
      <c r="C944" s="2">
        <v>442</v>
      </c>
    </row>
    <row r="945" spans="1:3">
      <c r="A945" s="2" t="s">
        <v>1677</v>
      </c>
      <c r="B945" s="2" t="s">
        <v>36</v>
      </c>
      <c r="C945" s="2">
        <v>442</v>
      </c>
    </row>
    <row r="946" spans="1:3">
      <c r="A946" s="2" t="s">
        <v>3504</v>
      </c>
      <c r="B946" s="2" t="s">
        <v>36</v>
      </c>
      <c r="C946" s="2">
        <v>440</v>
      </c>
    </row>
    <row r="947" spans="1:3">
      <c r="A947" s="2" t="s">
        <v>3510</v>
      </c>
      <c r="B947" s="2" t="s">
        <v>36</v>
      </c>
      <c r="C947" s="2">
        <v>440</v>
      </c>
    </row>
    <row r="948" spans="1:3">
      <c r="A948" s="2" t="s">
        <v>1200</v>
      </c>
      <c r="B948" s="2" t="s">
        <v>36</v>
      </c>
      <c r="C948" s="2">
        <v>439</v>
      </c>
    </row>
    <row r="949" spans="1:3">
      <c r="A949" s="2" t="s">
        <v>2619</v>
      </c>
      <c r="B949" s="2" t="s">
        <v>36</v>
      </c>
      <c r="C949" s="2">
        <v>439</v>
      </c>
    </row>
    <row r="950" spans="1:3">
      <c r="A950" s="2" t="s">
        <v>1147</v>
      </c>
      <c r="B950" s="2" t="s">
        <v>36</v>
      </c>
      <c r="C950" s="2">
        <v>439</v>
      </c>
    </row>
    <row r="951" spans="1:3">
      <c r="A951" s="2" t="s">
        <v>4682</v>
      </c>
      <c r="B951" s="2" t="s">
        <v>36</v>
      </c>
      <c r="C951" s="2">
        <v>437</v>
      </c>
    </row>
    <row r="952" spans="1:3">
      <c r="A952" s="2" t="s">
        <v>3119</v>
      </c>
      <c r="B952" s="2" t="s">
        <v>36</v>
      </c>
      <c r="C952" s="2">
        <v>434</v>
      </c>
    </row>
    <row r="953" spans="1:3">
      <c r="A953" s="2" t="s">
        <v>4004</v>
      </c>
      <c r="B953" s="2" t="s">
        <v>36</v>
      </c>
      <c r="C953" s="2">
        <v>434</v>
      </c>
    </row>
    <row r="954" spans="1:3">
      <c r="A954" s="2" t="s">
        <v>1139</v>
      </c>
      <c r="B954" s="2" t="s">
        <v>36</v>
      </c>
      <c r="C954" s="2">
        <v>431</v>
      </c>
    </row>
    <row r="955" spans="1:3">
      <c r="A955" s="2" t="s">
        <v>4673</v>
      </c>
      <c r="B955" s="2" t="s">
        <v>36</v>
      </c>
      <c r="C955" s="2">
        <v>429</v>
      </c>
    </row>
    <row r="956" spans="1:3">
      <c r="A956" s="2" t="s">
        <v>3575</v>
      </c>
      <c r="B956" s="2" t="s">
        <v>36</v>
      </c>
      <c r="C956" s="2">
        <v>425</v>
      </c>
    </row>
    <row r="957" spans="1:3">
      <c r="A957" s="2" t="s">
        <v>4632</v>
      </c>
      <c r="B957" s="2" t="s">
        <v>36</v>
      </c>
      <c r="C957" s="2">
        <v>420</v>
      </c>
    </row>
    <row r="958" spans="1:3">
      <c r="A958" s="2" t="s">
        <v>4322</v>
      </c>
      <c r="B958" s="2" t="s">
        <v>36</v>
      </c>
      <c r="C958" s="2">
        <v>420</v>
      </c>
    </row>
    <row r="959" spans="1:3">
      <c r="A959" s="2" t="s">
        <v>4346</v>
      </c>
      <c r="B959" s="2" t="s">
        <v>36</v>
      </c>
      <c r="C959" s="2">
        <v>419</v>
      </c>
    </row>
    <row r="960" spans="1:3">
      <c r="A960" s="2" t="s">
        <v>1115</v>
      </c>
      <c r="B960" s="2" t="s">
        <v>36</v>
      </c>
      <c r="C960" s="2">
        <v>418</v>
      </c>
    </row>
    <row r="961" spans="1:3">
      <c r="A961" s="2" t="s">
        <v>1165</v>
      </c>
      <c r="B961" s="2" t="s">
        <v>36</v>
      </c>
      <c r="C961" s="2">
        <v>416</v>
      </c>
    </row>
    <row r="962" spans="1:3">
      <c r="A962" s="2" t="s">
        <v>1626</v>
      </c>
      <c r="B962" s="2" t="s">
        <v>36</v>
      </c>
      <c r="C962" s="2">
        <v>415</v>
      </c>
    </row>
    <row r="963" spans="1:3">
      <c r="A963" s="2" t="s">
        <v>3077</v>
      </c>
      <c r="B963" s="2" t="s">
        <v>36</v>
      </c>
      <c r="C963" s="2">
        <v>415</v>
      </c>
    </row>
    <row r="964" spans="1:3">
      <c r="A964" s="2" t="s">
        <v>4644</v>
      </c>
      <c r="B964" s="2" t="s">
        <v>36</v>
      </c>
      <c r="C964" s="2">
        <v>414</v>
      </c>
    </row>
    <row r="965" spans="1:3">
      <c r="A965" s="2" t="s">
        <v>4637</v>
      </c>
      <c r="B965" s="2" t="s">
        <v>36</v>
      </c>
      <c r="C965" s="2">
        <v>414</v>
      </c>
    </row>
    <row r="966" spans="1:3">
      <c r="A966" s="2" t="s">
        <v>2042</v>
      </c>
      <c r="B966" s="2" t="s">
        <v>36</v>
      </c>
      <c r="C966" s="2">
        <v>409</v>
      </c>
    </row>
    <row r="967" spans="1:3">
      <c r="A967" s="2" t="s">
        <v>4343</v>
      </c>
      <c r="B967" s="2" t="s">
        <v>36</v>
      </c>
      <c r="C967" s="2">
        <v>407</v>
      </c>
    </row>
    <row r="968" spans="1:3">
      <c r="A968" s="2" t="s">
        <v>3531</v>
      </c>
      <c r="B968" s="2" t="s">
        <v>36</v>
      </c>
      <c r="C968" s="2">
        <v>406</v>
      </c>
    </row>
    <row r="969" spans="1:3">
      <c r="A969" s="2" t="s">
        <v>1975</v>
      </c>
      <c r="B969" s="2" t="s">
        <v>36</v>
      </c>
      <c r="C969" s="2">
        <v>405</v>
      </c>
    </row>
    <row r="970" spans="1:3">
      <c r="A970" s="2" t="s">
        <v>3556</v>
      </c>
      <c r="B970" s="2" t="s">
        <v>36</v>
      </c>
      <c r="C970" s="2">
        <v>405</v>
      </c>
    </row>
    <row r="971" spans="1:3">
      <c r="A971" s="2" t="s">
        <v>4331</v>
      </c>
      <c r="B971" s="2" t="s">
        <v>36</v>
      </c>
      <c r="C971" s="2">
        <v>396</v>
      </c>
    </row>
    <row r="972" spans="1:3">
      <c r="A972" s="2" t="s">
        <v>343</v>
      </c>
      <c r="B972" s="2" t="s">
        <v>36</v>
      </c>
      <c r="C972" s="2">
        <v>394</v>
      </c>
    </row>
    <row r="973" spans="1:3">
      <c r="A973" s="2" t="s">
        <v>3898</v>
      </c>
      <c r="B973" s="2" t="s">
        <v>36</v>
      </c>
      <c r="C973" s="2">
        <v>394</v>
      </c>
    </row>
    <row r="974" spans="1:3">
      <c r="A974" s="2" t="s">
        <v>3519</v>
      </c>
      <c r="B974" s="2" t="s">
        <v>36</v>
      </c>
      <c r="C974" s="2">
        <v>393</v>
      </c>
    </row>
    <row r="975" spans="1:3">
      <c r="A975" s="2" t="s">
        <v>3021</v>
      </c>
      <c r="B975" s="2" t="s">
        <v>36</v>
      </c>
      <c r="C975" s="2">
        <v>391</v>
      </c>
    </row>
    <row r="976" spans="1:3">
      <c r="A976" s="2" t="s">
        <v>4314</v>
      </c>
      <c r="B976" s="2" t="s">
        <v>36</v>
      </c>
      <c r="C976" s="2">
        <v>389</v>
      </c>
    </row>
    <row r="977" spans="1:3">
      <c r="A977" s="2" t="s">
        <v>1985</v>
      </c>
      <c r="B977" s="2" t="s">
        <v>36</v>
      </c>
      <c r="C977" s="2">
        <v>388</v>
      </c>
    </row>
    <row r="978" spans="1:3">
      <c r="A978" s="2" t="s">
        <v>2064</v>
      </c>
      <c r="B978" s="2" t="s">
        <v>36</v>
      </c>
      <c r="C978" s="2">
        <v>388</v>
      </c>
    </row>
    <row r="979" spans="1:3">
      <c r="A979" s="2" t="s">
        <v>1654</v>
      </c>
      <c r="B979" s="2" t="s">
        <v>36</v>
      </c>
      <c r="C979" s="2">
        <v>387</v>
      </c>
    </row>
    <row r="980" spans="1:3">
      <c r="A980" s="2" t="s">
        <v>2016</v>
      </c>
      <c r="B980" s="2" t="s">
        <v>36</v>
      </c>
      <c r="C980" s="2">
        <v>386</v>
      </c>
    </row>
    <row r="981" spans="1:3">
      <c r="A981" s="2" t="s">
        <v>2636</v>
      </c>
      <c r="B981" s="2" t="s">
        <v>36</v>
      </c>
      <c r="C981" s="2">
        <v>386</v>
      </c>
    </row>
    <row r="982" spans="1:3">
      <c r="A982" s="2" t="s">
        <v>3900</v>
      </c>
      <c r="B982" s="2" t="s">
        <v>36</v>
      </c>
      <c r="C982" s="2">
        <v>385</v>
      </c>
    </row>
    <row r="983" spans="1:3">
      <c r="A983" s="2" t="s">
        <v>395</v>
      </c>
      <c r="B983" s="2" t="s">
        <v>36</v>
      </c>
      <c r="C983" s="2">
        <v>382</v>
      </c>
    </row>
    <row r="984" spans="1:3">
      <c r="A984" s="2" t="s">
        <v>4705</v>
      </c>
      <c r="B984" s="2" t="s">
        <v>36</v>
      </c>
      <c r="C984" s="2">
        <v>382</v>
      </c>
    </row>
    <row r="985" spans="1:3">
      <c r="A985" s="2" t="s">
        <v>3018</v>
      </c>
      <c r="B985" s="2" t="s">
        <v>36</v>
      </c>
      <c r="C985" s="2">
        <v>382</v>
      </c>
    </row>
    <row r="986" spans="1:3">
      <c r="A986" s="2" t="s">
        <v>3057</v>
      </c>
      <c r="B986" s="2" t="s">
        <v>36</v>
      </c>
      <c r="C986" s="2">
        <v>380</v>
      </c>
    </row>
    <row r="987" spans="1:3">
      <c r="A987" s="2" t="s">
        <v>4300</v>
      </c>
      <c r="B987" s="2" t="s">
        <v>36</v>
      </c>
      <c r="C987" s="2">
        <v>380</v>
      </c>
    </row>
    <row r="988" spans="1:3">
      <c r="A988" s="2" t="s">
        <v>4583</v>
      </c>
      <c r="B988" s="2" t="s">
        <v>36</v>
      </c>
      <c r="C988" s="2">
        <v>379</v>
      </c>
    </row>
    <row r="989" spans="1:3">
      <c r="A989" s="2" t="s">
        <v>1634</v>
      </c>
      <c r="B989" s="2" t="s">
        <v>36</v>
      </c>
      <c r="C989" s="2">
        <v>375</v>
      </c>
    </row>
    <row r="990" spans="1:3">
      <c r="A990" s="2" t="s">
        <v>1646</v>
      </c>
      <c r="B990" s="2" t="s">
        <v>36</v>
      </c>
      <c r="C990" s="2">
        <v>372</v>
      </c>
    </row>
    <row r="991" spans="1:3">
      <c r="A991" s="2" t="s">
        <v>3081</v>
      </c>
      <c r="B991" s="2" t="s">
        <v>36</v>
      </c>
      <c r="C991" s="2">
        <v>371</v>
      </c>
    </row>
    <row r="992" spans="1:3">
      <c r="A992" s="2" t="s">
        <v>3521</v>
      </c>
      <c r="B992" s="2" t="s">
        <v>36</v>
      </c>
      <c r="C992" s="2">
        <v>371</v>
      </c>
    </row>
    <row r="993" spans="1:3">
      <c r="A993" s="2" t="s">
        <v>2524</v>
      </c>
      <c r="B993" s="2" t="s">
        <v>36</v>
      </c>
      <c r="C993" s="2">
        <v>370</v>
      </c>
    </row>
    <row r="994" spans="1:3">
      <c r="A994" s="2" t="s">
        <v>3536</v>
      </c>
      <c r="B994" s="2" t="s">
        <v>36</v>
      </c>
      <c r="C994" s="2">
        <v>368</v>
      </c>
    </row>
    <row r="995" spans="1:3">
      <c r="A995" s="2" t="s">
        <v>3048</v>
      </c>
      <c r="B995" s="2" t="s">
        <v>36</v>
      </c>
      <c r="C995" s="2">
        <v>368</v>
      </c>
    </row>
    <row r="996" spans="1:3">
      <c r="A996" s="2" t="s">
        <v>1113</v>
      </c>
      <c r="B996" s="2" t="s">
        <v>36</v>
      </c>
      <c r="C996" s="2">
        <v>366</v>
      </c>
    </row>
    <row r="997" spans="1:3">
      <c r="A997" s="2" t="s">
        <v>3537</v>
      </c>
      <c r="B997" s="2" t="s">
        <v>36</v>
      </c>
      <c r="C997" s="2">
        <v>366</v>
      </c>
    </row>
    <row r="998" spans="1:3">
      <c r="A998" s="2" t="s">
        <v>2090</v>
      </c>
      <c r="B998" s="2" t="s">
        <v>36</v>
      </c>
      <c r="C998" s="2">
        <v>366</v>
      </c>
    </row>
    <row r="999" spans="1:3">
      <c r="A999" s="2" t="s">
        <v>2643</v>
      </c>
      <c r="B999" s="2" t="s">
        <v>36</v>
      </c>
      <c r="C999" s="2">
        <v>362</v>
      </c>
    </row>
    <row r="1000" spans="1:3">
      <c r="A1000" s="2" t="s">
        <v>2030</v>
      </c>
      <c r="B1000" s="2" t="s">
        <v>36</v>
      </c>
      <c r="C1000" s="2">
        <v>362</v>
      </c>
    </row>
    <row r="1001" spans="1:3">
      <c r="A1001" s="2" t="s">
        <v>354</v>
      </c>
      <c r="B1001" s="2" t="s">
        <v>36</v>
      </c>
      <c r="C1001" s="2">
        <v>356</v>
      </c>
    </row>
    <row r="1002" spans="1:3">
      <c r="A1002" s="2" t="s">
        <v>2069</v>
      </c>
      <c r="B1002" s="2" t="s">
        <v>36</v>
      </c>
      <c r="C1002" s="2">
        <v>353</v>
      </c>
    </row>
    <row r="1003" spans="1:3">
      <c r="A1003" s="2" t="s">
        <v>3554</v>
      </c>
      <c r="B1003" s="2" t="s">
        <v>36</v>
      </c>
      <c r="C1003" s="2">
        <v>351</v>
      </c>
    </row>
    <row r="1004" spans="1:3">
      <c r="A1004" s="2" t="s">
        <v>1689</v>
      </c>
      <c r="B1004" s="2" t="s">
        <v>36</v>
      </c>
      <c r="C1004" s="2">
        <v>350</v>
      </c>
    </row>
    <row r="1005" spans="1:3">
      <c r="A1005" s="2" t="s">
        <v>3936</v>
      </c>
      <c r="B1005" s="2" t="s">
        <v>36</v>
      </c>
      <c r="C1005" s="2">
        <v>350</v>
      </c>
    </row>
    <row r="1006" spans="1:3">
      <c r="A1006" s="2" t="s">
        <v>1216</v>
      </c>
      <c r="B1006" s="2" t="s">
        <v>36</v>
      </c>
      <c r="C1006" s="2">
        <v>350</v>
      </c>
    </row>
    <row r="1007" spans="1:3">
      <c r="A1007" s="2" t="s">
        <v>368</v>
      </c>
      <c r="B1007" s="2" t="s">
        <v>36</v>
      </c>
      <c r="C1007" s="2">
        <v>348</v>
      </c>
    </row>
    <row r="1008" spans="1:3">
      <c r="A1008" s="2" t="s">
        <v>1999</v>
      </c>
      <c r="B1008" s="2" t="s">
        <v>36</v>
      </c>
      <c r="C1008" s="2">
        <v>346</v>
      </c>
    </row>
    <row r="1009" spans="1:3">
      <c r="A1009" s="2" t="s">
        <v>3023</v>
      </c>
      <c r="B1009" s="2" t="s">
        <v>36</v>
      </c>
      <c r="C1009" s="2">
        <v>346</v>
      </c>
    </row>
    <row r="1010" spans="1:3">
      <c r="A1010" s="2" t="s">
        <v>3572</v>
      </c>
      <c r="B1010" s="2" t="s">
        <v>36</v>
      </c>
      <c r="C1010" s="2">
        <v>346</v>
      </c>
    </row>
    <row r="1011" spans="1:3">
      <c r="A1011" s="2" t="s">
        <v>312</v>
      </c>
      <c r="B1011" s="2" t="s">
        <v>36</v>
      </c>
      <c r="C1011" s="2">
        <v>345</v>
      </c>
    </row>
    <row r="1012" spans="1:3">
      <c r="A1012" s="2" t="s">
        <v>1635</v>
      </c>
      <c r="B1012" s="2" t="s">
        <v>36</v>
      </c>
      <c r="C1012" s="2">
        <v>345</v>
      </c>
    </row>
    <row r="1013" spans="1:3">
      <c r="A1013" s="2" t="s">
        <v>4319</v>
      </c>
      <c r="B1013" s="2" t="s">
        <v>36</v>
      </c>
      <c r="C1013" s="2">
        <v>343</v>
      </c>
    </row>
    <row r="1014" spans="1:3">
      <c r="A1014" s="2" t="s">
        <v>4685</v>
      </c>
      <c r="B1014" s="2" t="s">
        <v>36</v>
      </c>
      <c r="C1014" s="2">
        <v>343</v>
      </c>
    </row>
    <row r="1015" spans="1:3">
      <c r="A1015" s="2" t="s">
        <v>1138</v>
      </c>
      <c r="B1015" s="2" t="s">
        <v>36</v>
      </c>
      <c r="C1015" s="2">
        <v>342</v>
      </c>
    </row>
    <row r="1016" spans="1:3">
      <c r="A1016" s="2" t="s">
        <v>1657</v>
      </c>
      <c r="B1016" s="2" t="s">
        <v>36</v>
      </c>
      <c r="C1016" s="2">
        <v>341</v>
      </c>
    </row>
    <row r="1017" spans="1:3">
      <c r="A1017" s="2" t="s">
        <v>1991</v>
      </c>
      <c r="B1017" s="2" t="s">
        <v>36</v>
      </c>
      <c r="C1017" s="2">
        <v>338</v>
      </c>
    </row>
    <row r="1018" spans="1:3">
      <c r="A1018" s="2" t="s">
        <v>2009</v>
      </c>
      <c r="B1018" s="2" t="s">
        <v>36</v>
      </c>
      <c r="C1018" s="2">
        <v>337</v>
      </c>
    </row>
    <row r="1019" spans="1:3">
      <c r="A1019" s="2" t="s">
        <v>3090</v>
      </c>
      <c r="B1019" s="2" t="s">
        <v>36</v>
      </c>
      <c r="C1019" s="2">
        <v>337</v>
      </c>
    </row>
    <row r="1020" spans="1:3">
      <c r="A1020" s="2" t="s">
        <v>422</v>
      </c>
      <c r="B1020" s="2" t="s">
        <v>36</v>
      </c>
      <c r="C1020" s="2">
        <v>337</v>
      </c>
    </row>
    <row r="1021" spans="1:3">
      <c r="A1021" s="2" t="s">
        <v>2548</v>
      </c>
      <c r="B1021" s="2" t="s">
        <v>36</v>
      </c>
      <c r="C1021" s="2">
        <v>335</v>
      </c>
    </row>
    <row r="1022" spans="1:3">
      <c r="A1022" s="2" t="s">
        <v>4670</v>
      </c>
      <c r="B1022" s="2" t="s">
        <v>36</v>
      </c>
      <c r="C1022" s="2">
        <v>335</v>
      </c>
    </row>
    <row r="1023" spans="1:3">
      <c r="A1023" s="2" t="s">
        <v>3551</v>
      </c>
      <c r="B1023" s="2" t="s">
        <v>36</v>
      </c>
      <c r="C1023" s="2">
        <v>335</v>
      </c>
    </row>
    <row r="1024" spans="1:3">
      <c r="A1024" s="2" t="s">
        <v>3928</v>
      </c>
      <c r="B1024" s="2" t="s">
        <v>36</v>
      </c>
      <c r="C1024" s="2">
        <v>333</v>
      </c>
    </row>
    <row r="1025" spans="1:3">
      <c r="A1025" s="2" t="s">
        <v>2076</v>
      </c>
      <c r="B1025" s="2" t="s">
        <v>36</v>
      </c>
      <c r="C1025" s="2">
        <v>332</v>
      </c>
    </row>
    <row r="1026" spans="1:3">
      <c r="A1026" s="2" t="s">
        <v>3997</v>
      </c>
      <c r="B1026" s="2" t="s">
        <v>36</v>
      </c>
      <c r="C1026" s="2">
        <v>332</v>
      </c>
    </row>
    <row r="1027" spans="1:3">
      <c r="A1027" s="2" t="s">
        <v>1630</v>
      </c>
      <c r="B1027" s="2" t="s">
        <v>36</v>
      </c>
      <c r="C1027" s="2">
        <v>332</v>
      </c>
    </row>
    <row r="1028" spans="1:3">
      <c r="A1028" s="2" t="s">
        <v>1988</v>
      </c>
      <c r="B1028" s="2" t="s">
        <v>36</v>
      </c>
      <c r="C1028" s="2">
        <v>331</v>
      </c>
    </row>
    <row r="1029" spans="1:3">
      <c r="A1029" s="2" t="s">
        <v>4611</v>
      </c>
      <c r="B1029" s="2" t="s">
        <v>36</v>
      </c>
      <c r="C1029" s="2">
        <v>331</v>
      </c>
    </row>
    <row r="1030" spans="1:3">
      <c r="A1030" s="2" t="s">
        <v>1123</v>
      </c>
      <c r="B1030" s="2" t="s">
        <v>36</v>
      </c>
      <c r="C1030" s="2">
        <v>330</v>
      </c>
    </row>
    <row r="1031" spans="1:3">
      <c r="A1031" s="2" t="s">
        <v>3543</v>
      </c>
      <c r="B1031" s="2" t="s">
        <v>36</v>
      </c>
      <c r="C1031" s="2">
        <v>324</v>
      </c>
    </row>
    <row r="1032" spans="1:3">
      <c r="A1032" s="2" t="s">
        <v>1981</v>
      </c>
      <c r="B1032" s="2" t="s">
        <v>36</v>
      </c>
      <c r="C1032" s="2">
        <v>324</v>
      </c>
    </row>
    <row r="1033" spans="1:3">
      <c r="A1033" s="2" t="s">
        <v>3966</v>
      </c>
      <c r="B1033" s="2" t="s">
        <v>36</v>
      </c>
      <c r="C1033" s="2">
        <v>324</v>
      </c>
    </row>
    <row r="1034" spans="1:3">
      <c r="A1034" s="2" t="s">
        <v>3566</v>
      </c>
      <c r="B1034" s="2" t="s">
        <v>36</v>
      </c>
      <c r="C1034" s="2">
        <v>322</v>
      </c>
    </row>
    <row r="1035" spans="1:3">
      <c r="A1035" s="2" t="s">
        <v>410</v>
      </c>
      <c r="B1035" s="2" t="s">
        <v>36</v>
      </c>
      <c r="C1035" s="2">
        <v>322</v>
      </c>
    </row>
    <row r="1036" spans="1:3">
      <c r="A1036" s="2" t="s">
        <v>1966</v>
      </c>
      <c r="B1036" s="2" t="s">
        <v>36</v>
      </c>
      <c r="C1036" s="2">
        <v>321</v>
      </c>
    </row>
    <row r="1037" spans="1:3">
      <c r="A1037" s="2" t="s">
        <v>4311</v>
      </c>
      <c r="B1037" s="2" t="s">
        <v>36</v>
      </c>
      <c r="C1037" s="2">
        <v>321</v>
      </c>
    </row>
    <row r="1038" spans="1:3">
      <c r="A1038" s="2" t="s">
        <v>3118</v>
      </c>
      <c r="B1038" s="2" t="s">
        <v>36</v>
      </c>
      <c r="C1038" s="2">
        <v>321</v>
      </c>
    </row>
    <row r="1039" spans="1:3">
      <c r="A1039" s="2" t="s">
        <v>4677</v>
      </c>
      <c r="B1039" s="2" t="s">
        <v>36</v>
      </c>
      <c r="C1039" s="2">
        <v>320</v>
      </c>
    </row>
    <row r="1040" spans="1:3">
      <c r="A1040" s="2" t="s">
        <v>4623</v>
      </c>
      <c r="B1040" s="2" t="s">
        <v>36</v>
      </c>
      <c r="C1040" s="2">
        <v>317</v>
      </c>
    </row>
    <row r="1041" spans="1:3">
      <c r="A1041" s="2" t="s">
        <v>4271</v>
      </c>
      <c r="B1041" s="2" t="s">
        <v>36</v>
      </c>
      <c r="C1041" s="2">
        <v>316</v>
      </c>
    </row>
    <row r="1042" spans="1:3">
      <c r="A1042" s="2" t="s">
        <v>1640</v>
      </c>
      <c r="B1042" s="2" t="s">
        <v>36</v>
      </c>
      <c r="C1042" s="2">
        <v>316</v>
      </c>
    </row>
    <row r="1043" spans="1:3">
      <c r="A1043" s="2" t="s">
        <v>4320</v>
      </c>
      <c r="B1043" s="2" t="s">
        <v>36</v>
      </c>
      <c r="C1043" s="2">
        <v>314</v>
      </c>
    </row>
    <row r="1044" spans="1:3">
      <c r="A1044" s="2" t="s">
        <v>3511</v>
      </c>
      <c r="B1044" s="2" t="s">
        <v>36</v>
      </c>
      <c r="C1044" s="2">
        <v>313</v>
      </c>
    </row>
    <row r="1045" spans="1:3">
      <c r="A1045" s="2" t="s">
        <v>3524</v>
      </c>
      <c r="B1045" s="2" t="s">
        <v>36</v>
      </c>
      <c r="C1045" s="2">
        <v>313</v>
      </c>
    </row>
    <row r="1046" spans="1:3">
      <c r="A1046" s="2" t="s">
        <v>3914</v>
      </c>
      <c r="B1046" s="2" t="s">
        <v>36</v>
      </c>
      <c r="C1046" s="2">
        <v>312</v>
      </c>
    </row>
    <row r="1047" spans="1:3">
      <c r="A1047" s="2" t="s">
        <v>1683</v>
      </c>
      <c r="B1047" s="2" t="s">
        <v>36</v>
      </c>
      <c r="C1047" s="2">
        <v>312</v>
      </c>
    </row>
    <row r="1048" spans="1:3">
      <c r="A1048" s="2" t="s">
        <v>1669</v>
      </c>
      <c r="B1048" s="2" t="s">
        <v>36</v>
      </c>
      <c r="C1048" s="2">
        <v>311</v>
      </c>
    </row>
    <row r="1049" spans="1:3">
      <c r="A1049" s="2" t="s">
        <v>1997</v>
      </c>
      <c r="B1049" s="2" t="s">
        <v>36</v>
      </c>
      <c r="C1049" s="2">
        <v>310</v>
      </c>
    </row>
    <row r="1050" spans="1:3">
      <c r="A1050" s="2" t="s">
        <v>3979</v>
      </c>
      <c r="B1050" s="2" t="s">
        <v>36</v>
      </c>
      <c r="C1050" s="2">
        <v>308</v>
      </c>
    </row>
    <row r="1051" spans="1:3">
      <c r="A1051" s="2" t="s">
        <v>4597</v>
      </c>
      <c r="B1051" s="2" t="s">
        <v>36</v>
      </c>
      <c r="C1051" s="2">
        <v>305</v>
      </c>
    </row>
    <row r="1052" spans="1:3">
      <c r="A1052" s="2" t="s">
        <v>3545</v>
      </c>
      <c r="B1052" s="2" t="s">
        <v>36</v>
      </c>
      <c r="C1052" s="2">
        <v>305</v>
      </c>
    </row>
    <row r="1053" spans="1:3">
      <c r="A1053" s="2" t="s">
        <v>2574</v>
      </c>
      <c r="B1053" s="2" t="s">
        <v>36</v>
      </c>
      <c r="C1053" s="2">
        <v>305</v>
      </c>
    </row>
    <row r="1054" spans="1:3">
      <c r="A1054" s="2" t="s">
        <v>1175</v>
      </c>
      <c r="B1054" s="2" t="s">
        <v>36</v>
      </c>
      <c r="C1054" s="2">
        <v>304</v>
      </c>
    </row>
    <row r="1055" spans="1:3">
      <c r="A1055" s="2" t="s">
        <v>2022</v>
      </c>
      <c r="B1055" s="2" t="s">
        <v>36</v>
      </c>
      <c r="C1055" s="2">
        <v>302</v>
      </c>
    </row>
    <row r="1056" spans="1:3">
      <c r="A1056" s="2" t="s">
        <v>3525</v>
      </c>
      <c r="B1056" s="2" t="s">
        <v>36</v>
      </c>
      <c r="C1056" s="2">
        <v>302</v>
      </c>
    </row>
    <row r="1057" spans="1:3">
      <c r="A1057" s="2" t="s">
        <v>4616</v>
      </c>
      <c r="B1057" s="2" t="s">
        <v>36</v>
      </c>
      <c r="C1057" s="2">
        <v>301</v>
      </c>
    </row>
    <row r="1058" spans="1:3">
      <c r="A1058" s="2" t="s">
        <v>2632</v>
      </c>
      <c r="B1058" s="2" t="s">
        <v>36</v>
      </c>
      <c r="C1058" s="2">
        <v>300</v>
      </c>
    </row>
    <row r="1059" spans="1:3">
      <c r="A1059" s="2" t="s">
        <v>355</v>
      </c>
      <c r="B1059" s="2" t="s">
        <v>36</v>
      </c>
      <c r="C1059" s="2">
        <v>300</v>
      </c>
    </row>
    <row r="1060" spans="1:3">
      <c r="A1060" s="2" t="s">
        <v>3580</v>
      </c>
      <c r="B1060" s="2" t="s">
        <v>36</v>
      </c>
      <c r="C1060" s="2">
        <v>300</v>
      </c>
    </row>
    <row r="1061" spans="1:3">
      <c r="A1061" s="2" t="s">
        <v>1628</v>
      </c>
      <c r="B1061" s="2" t="s">
        <v>36</v>
      </c>
      <c r="C1061" s="2">
        <v>299</v>
      </c>
    </row>
    <row r="1062" spans="1:3">
      <c r="A1062" s="2" t="s">
        <v>2002</v>
      </c>
      <c r="B1062" s="2" t="s">
        <v>36</v>
      </c>
      <c r="C1062" s="2">
        <v>299</v>
      </c>
    </row>
    <row r="1063" spans="1:3">
      <c r="A1063" s="2" t="s">
        <v>2634</v>
      </c>
      <c r="B1063" s="2" t="s">
        <v>36</v>
      </c>
      <c r="C1063" s="2">
        <v>297</v>
      </c>
    </row>
    <row r="1064" spans="1:3">
      <c r="A1064" s="2" t="s">
        <v>3535</v>
      </c>
      <c r="B1064" s="2" t="s">
        <v>36</v>
      </c>
      <c r="C1064" s="2">
        <v>296</v>
      </c>
    </row>
    <row r="1065" spans="1:3">
      <c r="A1065" s="2" t="s">
        <v>3532</v>
      </c>
      <c r="B1065" s="2" t="s">
        <v>36</v>
      </c>
      <c r="C1065" s="2">
        <v>296</v>
      </c>
    </row>
    <row r="1066" spans="1:3">
      <c r="A1066" s="2" t="s">
        <v>4659</v>
      </c>
      <c r="B1066" s="2" t="s">
        <v>36</v>
      </c>
      <c r="C1066" s="2">
        <v>295</v>
      </c>
    </row>
    <row r="1067" spans="1:3">
      <c r="A1067" s="2" t="s">
        <v>4702</v>
      </c>
      <c r="B1067" s="2" t="s">
        <v>36</v>
      </c>
      <c r="C1067" s="2">
        <v>290</v>
      </c>
    </row>
    <row r="1068" spans="1:3">
      <c r="A1068" s="2" t="s">
        <v>3935</v>
      </c>
      <c r="B1068" s="2" t="s">
        <v>36</v>
      </c>
      <c r="C1068" s="2">
        <v>290</v>
      </c>
    </row>
    <row r="1069" spans="1:3">
      <c r="A1069" s="2" t="s">
        <v>2059</v>
      </c>
      <c r="B1069" s="2" t="s">
        <v>36</v>
      </c>
      <c r="C1069" s="2">
        <v>290</v>
      </c>
    </row>
    <row r="1070" spans="1:3">
      <c r="A1070" s="2" t="s">
        <v>3046</v>
      </c>
      <c r="B1070" s="2" t="s">
        <v>36</v>
      </c>
      <c r="C1070" s="2">
        <v>289</v>
      </c>
    </row>
    <row r="1071" spans="1:3">
      <c r="A1071" s="2" t="s">
        <v>1682</v>
      </c>
      <c r="B1071" s="2" t="s">
        <v>36</v>
      </c>
      <c r="C1071" s="2">
        <v>288</v>
      </c>
    </row>
    <row r="1072" spans="1:3">
      <c r="A1072" s="2" t="s">
        <v>2025</v>
      </c>
      <c r="B1072" s="2" t="s">
        <v>36</v>
      </c>
      <c r="C1072" s="2">
        <v>285</v>
      </c>
    </row>
    <row r="1073" spans="1:3">
      <c r="A1073" s="2" t="s">
        <v>4649</v>
      </c>
      <c r="B1073" s="2" t="s">
        <v>36</v>
      </c>
      <c r="C1073" s="2">
        <v>285</v>
      </c>
    </row>
    <row r="1074" spans="1:3">
      <c r="A1074" s="2" t="s">
        <v>4636</v>
      </c>
      <c r="B1074" s="2" t="s">
        <v>36</v>
      </c>
      <c r="C1074" s="2">
        <v>284</v>
      </c>
    </row>
    <row r="1075" spans="1:3">
      <c r="A1075" s="2" t="s">
        <v>2532</v>
      </c>
      <c r="B1075" s="2" t="s">
        <v>36</v>
      </c>
      <c r="C1075" s="2">
        <v>284</v>
      </c>
    </row>
    <row r="1076" spans="1:3">
      <c r="A1076" s="2" t="s">
        <v>2539</v>
      </c>
      <c r="B1076" s="2" t="s">
        <v>36</v>
      </c>
      <c r="C1076" s="2">
        <v>283</v>
      </c>
    </row>
    <row r="1077" spans="1:3">
      <c r="A1077" s="2" t="s">
        <v>3123</v>
      </c>
      <c r="B1077" s="2" t="s">
        <v>36</v>
      </c>
      <c r="C1077" s="2">
        <v>283</v>
      </c>
    </row>
    <row r="1078" spans="1:3">
      <c r="A1078" s="2" t="s">
        <v>2008</v>
      </c>
      <c r="B1078" s="2" t="s">
        <v>36</v>
      </c>
      <c r="C1078" s="2">
        <v>282</v>
      </c>
    </row>
    <row r="1079" spans="1:3">
      <c r="A1079" s="2" t="s">
        <v>2013</v>
      </c>
      <c r="B1079" s="2" t="s">
        <v>36</v>
      </c>
      <c r="C1079" s="2">
        <v>282</v>
      </c>
    </row>
    <row r="1080" spans="1:3">
      <c r="A1080" s="2" t="s">
        <v>3905</v>
      </c>
      <c r="B1080" s="2" t="s">
        <v>36</v>
      </c>
      <c r="C1080" s="2">
        <v>282</v>
      </c>
    </row>
    <row r="1081" spans="1:3">
      <c r="A1081" s="2" t="s">
        <v>4704</v>
      </c>
      <c r="B1081" s="2" t="s">
        <v>36</v>
      </c>
      <c r="C1081" s="2">
        <v>279</v>
      </c>
    </row>
    <row r="1082" spans="1:3">
      <c r="A1082" s="2" t="s">
        <v>1167</v>
      </c>
      <c r="B1082" s="2" t="s">
        <v>36</v>
      </c>
      <c r="C1082" s="2">
        <v>278</v>
      </c>
    </row>
    <row r="1083" spans="1:3">
      <c r="A1083" s="2" t="s">
        <v>3063</v>
      </c>
      <c r="B1083" s="2" t="s">
        <v>36</v>
      </c>
      <c r="C1083" s="2">
        <v>278</v>
      </c>
    </row>
    <row r="1084" spans="1:3">
      <c r="A1084" s="2" t="s">
        <v>4296</v>
      </c>
      <c r="B1084" s="2" t="s">
        <v>36</v>
      </c>
      <c r="C1084" s="2">
        <v>278</v>
      </c>
    </row>
    <row r="1085" spans="1:3">
      <c r="A1085" s="2" t="s">
        <v>4342</v>
      </c>
      <c r="B1085" s="2" t="s">
        <v>36</v>
      </c>
      <c r="C1085" s="2">
        <v>277</v>
      </c>
    </row>
    <row r="1086" spans="1:3">
      <c r="A1086" s="2" t="s">
        <v>2072</v>
      </c>
      <c r="B1086" s="2" t="s">
        <v>36</v>
      </c>
      <c r="C1086" s="2">
        <v>277</v>
      </c>
    </row>
    <row r="1087" spans="1:3">
      <c r="A1087" s="2" t="s">
        <v>337</v>
      </c>
      <c r="B1087" s="2" t="s">
        <v>36</v>
      </c>
      <c r="C1087" s="2">
        <v>273</v>
      </c>
    </row>
    <row r="1088" spans="1:3">
      <c r="A1088" s="2" t="s">
        <v>4325</v>
      </c>
      <c r="B1088" s="2" t="s">
        <v>36</v>
      </c>
      <c r="C1088" s="2">
        <v>272</v>
      </c>
    </row>
    <row r="1089" spans="1:3">
      <c r="A1089" s="2" t="s">
        <v>2071</v>
      </c>
      <c r="B1089" s="2" t="s">
        <v>36</v>
      </c>
      <c r="C1089" s="2">
        <v>271</v>
      </c>
    </row>
    <row r="1090" spans="1:3">
      <c r="A1090" s="2" t="s">
        <v>3959</v>
      </c>
      <c r="B1090" s="2" t="s">
        <v>36</v>
      </c>
      <c r="C1090" s="2">
        <v>268</v>
      </c>
    </row>
    <row r="1091" spans="1:3">
      <c r="A1091" s="2" t="s">
        <v>1636</v>
      </c>
      <c r="B1091" s="2" t="s">
        <v>36</v>
      </c>
      <c r="C1091" s="2">
        <v>267</v>
      </c>
    </row>
    <row r="1092" spans="1:3">
      <c r="A1092" s="2" t="s">
        <v>2089</v>
      </c>
      <c r="B1092" s="2" t="s">
        <v>36</v>
      </c>
      <c r="C1092" s="2">
        <v>267</v>
      </c>
    </row>
    <row r="1093" spans="1:3">
      <c r="A1093" s="2" t="s">
        <v>4313</v>
      </c>
      <c r="B1093" s="2" t="s">
        <v>36</v>
      </c>
      <c r="C1093" s="2">
        <v>266</v>
      </c>
    </row>
    <row r="1094" spans="1:3">
      <c r="A1094" s="2" t="s">
        <v>4627</v>
      </c>
      <c r="B1094" s="2" t="s">
        <v>36</v>
      </c>
      <c r="C1094" s="2">
        <v>265</v>
      </c>
    </row>
    <row r="1095" spans="1:3">
      <c r="A1095" s="2" t="s">
        <v>2040</v>
      </c>
      <c r="B1095" s="2" t="s">
        <v>36</v>
      </c>
      <c r="C1095" s="2">
        <v>263</v>
      </c>
    </row>
    <row r="1096" spans="1:3">
      <c r="A1096" s="2" t="s">
        <v>3937</v>
      </c>
      <c r="B1096" s="2" t="s">
        <v>36</v>
      </c>
      <c r="C1096" s="2">
        <v>262</v>
      </c>
    </row>
    <row r="1097" spans="1:3">
      <c r="A1097" s="2" t="s">
        <v>4693</v>
      </c>
      <c r="B1097" s="2" t="s">
        <v>36</v>
      </c>
      <c r="C1097" s="2">
        <v>260</v>
      </c>
    </row>
    <row r="1098" spans="1:3">
      <c r="A1098" s="2" t="s">
        <v>2528</v>
      </c>
      <c r="B1098" s="2" t="s">
        <v>36</v>
      </c>
      <c r="C1098" s="2">
        <v>260</v>
      </c>
    </row>
    <row r="1099" spans="1:3">
      <c r="A1099" s="2" t="s">
        <v>3526</v>
      </c>
      <c r="B1099" s="2" t="s">
        <v>36</v>
      </c>
      <c r="C1099" s="2">
        <v>257</v>
      </c>
    </row>
    <row r="1100" spans="1:3">
      <c r="A1100" s="2" t="s">
        <v>4577</v>
      </c>
      <c r="B1100" s="2" t="s">
        <v>36</v>
      </c>
      <c r="C1100" s="2">
        <v>257</v>
      </c>
    </row>
    <row r="1101" spans="1:3">
      <c r="A1101" s="2" t="s">
        <v>4656</v>
      </c>
      <c r="B1101" s="2" t="s">
        <v>36</v>
      </c>
      <c r="C1101" s="2">
        <v>253</v>
      </c>
    </row>
    <row r="1102" spans="1:3">
      <c r="A1102" s="2" t="s">
        <v>341</v>
      </c>
      <c r="B1102" s="2" t="s">
        <v>36</v>
      </c>
      <c r="C1102" s="2">
        <v>251</v>
      </c>
    </row>
    <row r="1103" spans="1:3">
      <c r="A1103" s="2" t="s">
        <v>360</v>
      </c>
      <c r="B1103" s="2" t="s">
        <v>36</v>
      </c>
      <c r="C1103" s="2">
        <v>248</v>
      </c>
    </row>
    <row r="1104" spans="1:3">
      <c r="A1104" s="2" t="s">
        <v>4675</v>
      </c>
      <c r="B1104" s="2" t="s">
        <v>36</v>
      </c>
      <c r="C1104" s="2">
        <v>248</v>
      </c>
    </row>
    <row r="1105" spans="1:3">
      <c r="A1105" s="2" t="s">
        <v>4581</v>
      </c>
      <c r="B1105" s="2" t="s">
        <v>36</v>
      </c>
      <c r="C1105" s="2">
        <v>248</v>
      </c>
    </row>
    <row r="1106" spans="1:3">
      <c r="A1106" s="2" t="s">
        <v>2562</v>
      </c>
      <c r="B1106" s="2" t="s">
        <v>36</v>
      </c>
      <c r="C1106" s="2">
        <v>246</v>
      </c>
    </row>
    <row r="1107" spans="1:3">
      <c r="A1107" s="2" t="s">
        <v>4684</v>
      </c>
      <c r="B1107" s="2" t="s">
        <v>36</v>
      </c>
      <c r="C1107" s="2">
        <v>246</v>
      </c>
    </row>
    <row r="1108" spans="1:3">
      <c r="A1108" s="2" t="s">
        <v>2544</v>
      </c>
      <c r="B1108" s="2" t="s">
        <v>36</v>
      </c>
      <c r="C1108" s="2">
        <v>246</v>
      </c>
    </row>
    <row r="1109" spans="1:3">
      <c r="A1109" s="2" t="s">
        <v>4701</v>
      </c>
      <c r="B1109" s="2" t="s">
        <v>36</v>
      </c>
      <c r="C1109" s="2">
        <v>245</v>
      </c>
    </row>
    <row r="1110" spans="1:3">
      <c r="A1110" s="2" t="s">
        <v>4293</v>
      </c>
      <c r="B1110" s="2" t="s">
        <v>36</v>
      </c>
      <c r="C1110" s="2">
        <v>243</v>
      </c>
    </row>
    <row r="1111" spans="1:3">
      <c r="A1111" s="2" t="s">
        <v>4312</v>
      </c>
      <c r="B1111" s="2" t="s">
        <v>36</v>
      </c>
      <c r="C1111" s="2">
        <v>243</v>
      </c>
    </row>
    <row r="1112" spans="1:3">
      <c r="A1112" s="2" t="s">
        <v>375</v>
      </c>
      <c r="B1112" s="2" t="s">
        <v>36</v>
      </c>
      <c r="C1112" s="2">
        <v>243</v>
      </c>
    </row>
    <row r="1113" spans="1:3">
      <c r="A1113" s="2" t="s">
        <v>2530</v>
      </c>
      <c r="B1113" s="2" t="s">
        <v>36</v>
      </c>
      <c r="C1113" s="2">
        <v>241</v>
      </c>
    </row>
    <row r="1114" spans="1:3">
      <c r="A1114" s="2" t="s">
        <v>4648</v>
      </c>
      <c r="B1114" s="2" t="s">
        <v>36</v>
      </c>
      <c r="C1114" s="2">
        <v>235</v>
      </c>
    </row>
    <row r="1115" spans="1:3">
      <c r="A1115" s="2" t="s">
        <v>3944</v>
      </c>
      <c r="B1115" s="2" t="s">
        <v>36</v>
      </c>
      <c r="C1115" s="2">
        <v>235</v>
      </c>
    </row>
    <row r="1116" spans="1:3">
      <c r="A1116" s="2" t="s">
        <v>4298</v>
      </c>
      <c r="B1116" s="2" t="s">
        <v>36</v>
      </c>
      <c r="C1116" s="2">
        <v>235</v>
      </c>
    </row>
    <row r="1117" spans="1:3">
      <c r="A1117" s="2" t="s">
        <v>3939</v>
      </c>
      <c r="B1117" s="2" t="s">
        <v>36</v>
      </c>
      <c r="C1117" s="2">
        <v>234</v>
      </c>
    </row>
    <row r="1118" spans="1:3">
      <c r="A1118" s="2" t="s">
        <v>2017</v>
      </c>
      <c r="B1118" s="2" t="s">
        <v>36</v>
      </c>
      <c r="C1118" s="2">
        <v>233</v>
      </c>
    </row>
    <row r="1119" spans="1:3">
      <c r="A1119" s="2" t="s">
        <v>305</v>
      </c>
      <c r="B1119" s="2" t="s">
        <v>36</v>
      </c>
      <c r="C1119" s="2">
        <v>233</v>
      </c>
    </row>
    <row r="1120" spans="1:3">
      <c r="A1120" s="2" t="s">
        <v>4599</v>
      </c>
      <c r="B1120" s="2" t="s">
        <v>36</v>
      </c>
      <c r="C1120" s="2">
        <v>233</v>
      </c>
    </row>
    <row r="1121" spans="1:3">
      <c r="A1121" s="2" t="s">
        <v>1658</v>
      </c>
      <c r="B1121" s="2" t="s">
        <v>36</v>
      </c>
      <c r="C1121" s="2">
        <v>232</v>
      </c>
    </row>
    <row r="1122" spans="1:3">
      <c r="A1122" s="2" t="s">
        <v>331</v>
      </c>
      <c r="B1122" s="2" t="s">
        <v>36</v>
      </c>
      <c r="C1122" s="2">
        <v>232</v>
      </c>
    </row>
    <row r="1123" spans="1:3">
      <c r="A1123" s="2" t="s">
        <v>4579</v>
      </c>
      <c r="B1123" s="2" t="s">
        <v>36</v>
      </c>
      <c r="C1123" s="2">
        <v>228</v>
      </c>
    </row>
    <row r="1124" spans="1:3">
      <c r="A1124" s="2" t="s">
        <v>3530</v>
      </c>
      <c r="B1124" s="2" t="s">
        <v>36</v>
      </c>
      <c r="C1124" s="2">
        <v>227</v>
      </c>
    </row>
    <row r="1125" spans="1:3">
      <c r="A1125" s="2" t="s">
        <v>3920</v>
      </c>
      <c r="B1125" s="2" t="s">
        <v>36</v>
      </c>
      <c r="C1125" s="2">
        <v>226</v>
      </c>
    </row>
    <row r="1126" spans="1:3">
      <c r="A1126" s="2" t="s">
        <v>4629</v>
      </c>
      <c r="B1126" s="2" t="s">
        <v>36</v>
      </c>
      <c r="C1126" s="2">
        <v>226</v>
      </c>
    </row>
    <row r="1127" spans="1:3">
      <c r="A1127" s="2" t="s">
        <v>3930</v>
      </c>
      <c r="B1127" s="2" t="s">
        <v>36</v>
      </c>
      <c r="C1127" s="2">
        <v>224</v>
      </c>
    </row>
    <row r="1128" spans="1:3">
      <c r="A1128" s="2" t="s">
        <v>389</v>
      </c>
      <c r="B1128" s="2" t="s">
        <v>36</v>
      </c>
      <c r="C1128" s="2">
        <v>224</v>
      </c>
    </row>
    <row r="1129" spans="1:3">
      <c r="A1129" s="2" t="s">
        <v>1166</v>
      </c>
      <c r="B1129" s="2" t="s">
        <v>36</v>
      </c>
      <c r="C1129" s="2">
        <v>224</v>
      </c>
    </row>
    <row r="1130" spans="1:3">
      <c r="A1130" s="2" t="s">
        <v>2597</v>
      </c>
      <c r="B1130" s="2" t="s">
        <v>36</v>
      </c>
      <c r="C1130" s="2">
        <v>224</v>
      </c>
    </row>
    <row r="1131" spans="1:3">
      <c r="A1131" s="2" t="s">
        <v>4652</v>
      </c>
      <c r="B1131" s="2" t="s">
        <v>36</v>
      </c>
      <c r="C1131" s="2">
        <v>223</v>
      </c>
    </row>
    <row r="1132" spans="1:3">
      <c r="A1132" s="2" t="s">
        <v>3029</v>
      </c>
      <c r="B1132" s="2" t="s">
        <v>36</v>
      </c>
      <c r="C1132" s="2">
        <v>222</v>
      </c>
    </row>
    <row r="1133" spans="1:3">
      <c r="A1133" s="2" t="s">
        <v>4315</v>
      </c>
      <c r="B1133" s="2" t="s">
        <v>36</v>
      </c>
      <c r="C1133" s="2">
        <v>221</v>
      </c>
    </row>
    <row r="1134" spans="1:3">
      <c r="A1134" s="2" t="s">
        <v>2070</v>
      </c>
      <c r="B1134" s="2" t="s">
        <v>36</v>
      </c>
      <c r="C1134" s="2">
        <v>221</v>
      </c>
    </row>
    <row r="1135" spans="1:3">
      <c r="A1135" s="2" t="s">
        <v>3515</v>
      </c>
      <c r="B1135" s="2" t="s">
        <v>36</v>
      </c>
      <c r="C1135" s="2">
        <v>218</v>
      </c>
    </row>
    <row r="1136" spans="1:3">
      <c r="A1136" s="2" t="s">
        <v>2066</v>
      </c>
      <c r="B1136" s="2" t="s">
        <v>36</v>
      </c>
      <c r="C1136" s="2">
        <v>217</v>
      </c>
    </row>
    <row r="1137" spans="1:3">
      <c r="A1137" s="2" t="s">
        <v>2583</v>
      </c>
      <c r="B1137" s="2" t="s">
        <v>36</v>
      </c>
      <c r="C1137" s="2">
        <v>216</v>
      </c>
    </row>
    <row r="1138" spans="1:3">
      <c r="A1138" s="2" t="s">
        <v>339</v>
      </c>
      <c r="B1138" s="2" t="s">
        <v>36</v>
      </c>
      <c r="C1138" s="2">
        <v>214</v>
      </c>
    </row>
    <row r="1139" spans="1:3">
      <c r="A1139" s="2" t="s">
        <v>4593</v>
      </c>
      <c r="B1139" s="2" t="s">
        <v>36</v>
      </c>
      <c r="C1139" s="2">
        <v>214</v>
      </c>
    </row>
    <row r="1140" spans="1:3">
      <c r="A1140" s="2" t="s">
        <v>3583</v>
      </c>
      <c r="B1140" s="2" t="s">
        <v>36</v>
      </c>
      <c r="C1140" s="2">
        <v>212</v>
      </c>
    </row>
    <row r="1141" spans="1:3">
      <c r="A1141" s="2" t="s">
        <v>4654</v>
      </c>
      <c r="B1141" s="2" t="s">
        <v>36</v>
      </c>
      <c r="C1141" s="2">
        <v>212</v>
      </c>
    </row>
    <row r="1142" spans="1:3">
      <c r="A1142" s="2" t="s">
        <v>2028</v>
      </c>
      <c r="B1142" s="2" t="s">
        <v>36</v>
      </c>
      <c r="C1142" s="2">
        <v>211</v>
      </c>
    </row>
    <row r="1143" spans="1:3">
      <c r="A1143" s="2" t="s">
        <v>4327</v>
      </c>
      <c r="B1143" s="2" t="s">
        <v>36</v>
      </c>
      <c r="C1143" s="2">
        <v>210</v>
      </c>
    </row>
    <row r="1144" spans="1:3">
      <c r="A1144" s="2" t="s">
        <v>4587</v>
      </c>
      <c r="B1144" s="2" t="s">
        <v>36</v>
      </c>
      <c r="C1144" s="2">
        <v>210</v>
      </c>
    </row>
    <row r="1145" spans="1:3">
      <c r="A1145" s="2" t="s">
        <v>4601</v>
      </c>
      <c r="B1145" s="2" t="s">
        <v>36</v>
      </c>
      <c r="C1145" s="2">
        <v>209</v>
      </c>
    </row>
    <row r="1146" spans="1:3">
      <c r="A1146" s="2" t="s">
        <v>2082</v>
      </c>
      <c r="B1146" s="2" t="s">
        <v>36</v>
      </c>
      <c r="C1146" s="2">
        <v>208</v>
      </c>
    </row>
    <row r="1147" spans="1:3">
      <c r="A1147" s="2" t="s">
        <v>3084</v>
      </c>
      <c r="B1147" s="2" t="s">
        <v>36</v>
      </c>
      <c r="C1147" s="2">
        <v>207</v>
      </c>
    </row>
    <row r="1148" spans="1:3">
      <c r="A1148" s="2" t="s">
        <v>2032</v>
      </c>
      <c r="B1148" s="2" t="s">
        <v>36</v>
      </c>
      <c r="C1148" s="2">
        <v>205</v>
      </c>
    </row>
    <row r="1149" spans="1:3">
      <c r="A1149" s="2" t="s">
        <v>2565</v>
      </c>
      <c r="B1149" s="2" t="s">
        <v>36</v>
      </c>
      <c r="C1149" s="2">
        <v>204</v>
      </c>
    </row>
    <row r="1150" spans="1:3">
      <c r="A1150" s="2" t="s">
        <v>1632</v>
      </c>
      <c r="B1150" s="2" t="s">
        <v>36</v>
      </c>
      <c r="C1150" s="2">
        <v>203</v>
      </c>
    </row>
    <row r="1151" spans="1:3">
      <c r="A1151" s="2" t="s">
        <v>2041</v>
      </c>
      <c r="B1151" s="2" t="s">
        <v>36</v>
      </c>
      <c r="C1151" s="2">
        <v>203</v>
      </c>
    </row>
    <row r="1152" spans="1:3">
      <c r="A1152" s="2" t="s">
        <v>2599</v>
      </c>
      <c r="B1152" s="2" t="s">
        <v>36</v>
      </c>
      <c r="C1152" s="2">
        <v>202</v>
      </c>
    </row>
    <row r="1153" spans="1:3">
      <c r="A1153" s="2" t="s">
        <v>4660</v>
      </c>
      <c r="B1153" s="2" t="s">
        <v>36</v>
      </c>
      <c r="C1153" s="2">
        <v>202</v>
      </c>
    </row>
    <row r="1154" spans="1:3">
      <c r="A1154" s="2" t="s">
        <v>3025</v>
      </c>
      <c r="B1154" s="2" t="s">
        <v>36</v>
      </c>
      <c r="C1154" s="2">
        <v>202</v>
      </c>
    </row>
    <row r="1155" spans="1:3">
      <c r="A1155" s="2" t="s">
        <v>1177</v>
      </c>
      <c r="B1155" s="2" t="s">
        <v>36</v>
      </c>
      <c r="C1155" s="2">
        <v>202</v>
      </c>
    </row>
    <row r="1156" spans="1:3">
      <c r="A1156" s="2" t="s">
        <v>3036</v>
      </c>
      <c r="B1156" s="2" t="s">
        <v>36</v>
      </c>
      <c r="C1156" s="2">
        <v>202</v>
      </c>
    </row>
    <row r="1157" spans="1:3">
      <c r="A1157" s="2" t="s">
        <v>1152</v>
      </c>
      <c r="B1157" s="2" t="s">
        <v>36</v>
      </c>
      <c r="C1157" s="2">
        <v>201</v>
      </c>
    </row>
    <row r="1158" spans="1:3">
      <c r="A1158" s="2" t="s">
        <v>3964</v>
      </c>
      <c r="B1158" s="2" t="s">
        <v>36</v>
      </c>
      <c r="C1158" s="2">
        <v>200</v>
      </c>
    </row>
    <row r="1159" spans="1:3">
      <c r="A1159" s="2" t="s">
        <v>2067</v>
      </c>
      <c r="B1159" s="2" t="s">
        <v>36</v>
      </c>
      <c r="C1159" s="2">
        <v>200</v>
      </c>
    </row>
    <row r="1160" spans="1:3">
      <c r="A1160" s="2" t="s">
        <v>1179</v>
      </c>
      <c r="B1160" s="2" t="s">
        <v>36</v>
      </c>
      <c r="C1160" s="2">
        <v>199</v>
      </c>
    </row>
    <row r="1161" spans="1:3">
      <c r="A1161" s="2" t="s">
        <v>1127</v>
      </c>
      <c r="B1161" s="2" t="s">
        <v>36</v>
      </c>
      <c r="C1161" s="2">
        <v>199</v>
      </c>
    </row>
    <row r="1162" spans="1:3">
      <c r="A1162" s="2" t="s">
        <v>1119</v>
      </c>
      <c r="B1162" s="2" t="s">
        <v>36</v>
      </c>
      <c r="C1162" s="2">
        <v>198</v>
      </c>
    </row>
    <row r="1163" spans="1:3">
      <c r="A1163" s="2" t="s">
        <v>3037</v>
      </c>
      <c r="B1163" s="2" t="s">
        <v>36</v>
      </c>
      <c r="C1163" s="2">
        <v>197</v>
      </c>
    </row>
    <row r="1164" spans="1:3">
      <c r="A1164" s="2" t="s">
        <v>1643</v>
      </c>
      <c r="B1164" s="2" t="s">
        <v>36</v>
      </c>
      <c r="C1164" s="2">
        <v>196</v>
      </c>
    </row>
    <row r="1165" spans="1:3">
      <c r="A1165" s="2" t="s">
        <v>3563</v>
      </c>
      <c r="B1165" s="2" t="s">
        <v>36</v>
      </c>
      <c r="C1165" s="2">
        <v>195</v>
      </c>
    </row>
    <row r="1166" spans="1:3">
      <c r="A1166" s="2" t="s">
        <v>3529</v>
      </c>
      <c r="B1166" s="2" t="s">
        <v>36</v>
      </c>
      <c r="C1166" s="2">
        <v>194</v>
      </c>
    </row>
    <row r="1167" spans="1:3">
      <c r="A1167" s="2" t="s">
        <v>385</v>
      </c>
      <c r="B1167" s="2" t="s">
        <v>36</v>
      </c>
      <c r="C1167" s="2">
        <v>193</v>
      </c>
    </row>
    <row r="1168" spans="1:3">
      <c r="A1168" s="2" t="s">
        <v>4643</v>
      </c>
      <c r="B1168" s="2" t="s">
        <v>36</v>
      </c>
      <c r="C1168" s="2">
        <v>192</v>
      </c>
    </row>
    <row r="1169" spans="1:3">
      <c r="A1169" s="2" t="s">
        <v>3044</v>
      </c>
      <c r="B1169" s="2" t="s">
        <v>36</v>
      </c>
      <c r="C1169" s="2">
        <v>191</v>
      </c>
    </row>
    <row r="1170" spans="1:3">
      <c r="A1170" s="2" t="s">
        <v>3909</v>
      </c>
      <c r="B1170" s="2" t="s">
        <v>36</v>
      </c>
      <c r="C1170" s="2">
        <v>189</v>
      </c>
    </row>
    <row r="1171" spans="1:3">
      <c r="A1171" s="2" t="s">
        <v>4589</v>
      </c>
      <c r="B1171" s="2" t="s">
        <v>36</v>
      </c>
      <c r="C1171" s="2">
        <v>187</v>
      </c>
    </row>
    <row r="1172" spans="1:3">
      <c r="A1172" s="2" t="s">
        <v>415</v>
      </c>
      <c r="B1172" s="2" t="s">
        <v>36</v>
      </c>
      <c r="C1172" s="2">
        <v>187</v>
      </c>
    </row>
    <row r="1173" spans="1:3">
      <c r="A1173" s="2" t="s">
        <v>3985</v>
      </c>
      <c r="B1173" s="2" t="s">
        <v>36</v>
      </c>
      <c r="C1173" s="2">
        <v>186</v>
      </c>
    </row>
    <row r="1174" spans="1:3">
      <c r="A1174" s="2" t="s">
        <v>1204</v>
      </c>
      <c r="B1174" s="2" t="s">
        <v>36</v>
      </c>
      <c r="C1174" s="2">
        <v>185</v>
      </c>
    </row>
    <row r="1175" spans="1:3">
      <c r="A1175" s="2" t="s">
        <v>1171</v>
      </c>
      <c r="B1175" s="2" t="s">
        <v>36</v>
      </c>
      <c r="C1175" s="2">
        <v>183</v>
      </c>
    </row>
    <row r="1176" spans="1:3">
      <c r="A1176" s="2" t="s">
        <v>3078</v>
      </c>
      <c r="B1176" s="2" t="s">
        <v>36</v>
      </c>
      <c r="C1176" s="2">
        <v>183</v>
      </c>
    </row>
    <row r="1177" spans="1:3">
      <c r="A1177" s="2" t="s">
        <v>3570</v>
      </c>
      <c r="B1177" s="2" t="s">
        <v>36</v>
      </c>
      <c r="C1177" s="2">
        <v>182</v>
      </c>
    </row>
    <row r="1178" spans="1:3">
      <c r="A1178" s="2" t="s">
        <v>4595</v>
      </c>
      <c r="B1178" s="2" t="s">
        <v>36</v>
      </c>
      <c r="C1178" s="2">
        <v>182</v>
      </c>
    </row>
    <row r="1179" spans="1:3">
      <c r="A1179" s="2" t="s">
        <v>1674</v>
      </c>
      <c r="B1179" s="2" t="s">
        <v>36</v>
      </c>
      <c r="C1179" s="2">
        <v>181</v>
      </c>
    </row>
    <row r="1180" spans="1:3">
      <c r="A1180" s="2" t="s">
        <v>4340</v>
      </c>
      <c r="B1180" s="2" t="s">
        <v>36</v>
      </c>
      <c r="C1180" s="2">
        <v>181</v>
      </c>
    </row>
    <row r="1181" spans="1:3">
      <c r="A1181" s="2" t="s">
        <v>4657</v>
      </c>
      <c r="B1181" s="2" t="s">
        <v>36</v>
      </c>
      <c r="C1181" s="2">
        <v>180</v>
      </c>
    </row>
    <row r="1182" spans="1:3">
      <c r="A1182" s="2" t="s">
        <v>3926</v>
      </c>
      <c r="B1182" s="2" t="s">
        <v>36</v>
      </c>
      <c r="C1182" s="2">
        <v>177</v>
      </c>
    </row>
    <row r="1183" spans="1:3">
      <c r="A1183" s="2" t="s">
        <v>3497</v>
      </c>
      <c r="B1183" s="2" t="s">
        <v>36</v>
      </c>
      <c r="C1183" s="2">
        <v>177</v>
      </c>
    </row>
    <row r="1184" spans="1:3">
      <c r="A1184" s="2" t="s">
        <v>3538</v>
      </c>
      <c r="B1184" s="2" t="s">
        <v>36</v>
      </c>
      <c r="C1184" s="2">
        <v>177</v>
      </c>
    </row>
    <row r="1185" spans="1:3">
      <c r="A1185" s="2" t="s">
        <v>2060</v>
      </c>
      <c r="B1185" s="2" t="s">
        <v>36</v>
      </c>
      <c r="C1185" s="2">
        <v>176</v>
      </c>
    </row>
    <row r="1186" spans="1:3">
      <c r="A1186" s="2" t="s">
        <v>4680</v>
      </c>
      <c r="B1186" s="2" t="s">
        <v>36</v>
      </c>
      <c r="C1186" s="2">
        <v>176</v>
      </c>
    </row>
    <row r="1187" spans="1:3">
      <c r="A1187" s="2" t="s">
        <v>2558</v>
      </c>
      <c r="B1187" s="2" t="s">
        <v>36</v>
      </c>
      <c r="C1187" s="2">
        <v>175</v>
      </c>
    </row>
    <row r="1188" spans="1:3">
      <c r="A1188" s="2" t="s">
        <v>3485</v>
      </c>
      <c r="B1188" s="2" t="s">
        <v>36</v>
      </c>
      <c r="C1188" s="2">
        <v>174</v>
      </c>
    </row>
    <row r="1189" spans="1:3">
      <c r="A1189" s="2" t="s">
        <v>4274</v>
      </c>
      <c r="B1189" s="2" t="s">
        <v>36</v>
      </c>
      <c r="C1189" s="2">
        <v>172</v>
      </c>
    </row>
    <row r="1190" spans="1:3">
      <c r="A1190" s="2" t="s">
        <v>1197</v>
      </c>
      <c r="B1190" s="2" t="s">
        <v>36</v>
      </c>
      <c r="C1190" s="2">
        <v>172</v>
      </c>
    </row>
    <row r="1191" spans="1:3">
      <c r="A1191" s="2" t="s">
        <v>1158</v>
      </c>
      <c r="B1191" s="2" t="s">
        <v>36</v>
      </c>
      <c r="C1191" s="2">
        <v>170</v>
      </c>
    </row>
    <row r="1192" spans="1:3">
      <c r="A1192" s="2" t="s">
        <v>2541</v>
      </c>
      <c r="B1192" s="2" t="s">
        <v>36</v>
      </c>
      <c r="C1192" s="2">
        <v>169</v>
      </c>
    </row>
    <row r="1193" spans="1:3">
      <c r="A1193" s="2" t="s">
        <v>2607</v>
      </c>
      <c r="B1193" s="2" t="s">
        <v>36</v>
      </c>
      <c r="C1193" s="2">
        <v>169</v>
      </c>
    </row>
    <row r="1194" spans="1:3">
      <c r="A1194" s="2" t="s">
        <v>1639</v>
      </c>
      <c r="B1194" s="2" t="s">
        <v>36</v>
      </c>
      <c r="C1194" s="2">
        <v>167</v>
      </c>
    </row>
    <row r="1195" spans="1:3">
      <c r="A1195" s="2" t="s">
        <v>3488</v>
      </c>
      <c r="B1195" s="2" t="s">
        <v>36</v>
      </c>
      <c r="C1195" s="2">
        <v>166</v>
      </c>
    </row>
    <row r="1196" spans="1:3">
      <c r="A1196" s="2" t="s">
        <v>2020</v>
      </c>
      <c r="B1196" s="2" t="s">
        <v>36</v>
      </c>
      <c r="C1196" s="2">
        <v>166</v>
      </c>
    </row>
    <row r="1197" spans="1:3">
      <c r="A1197" s="2" t="s">
        <v>322</v>
      </c>
      <c r="B1197" s="2" t="s">
        <v>36</v>
      </c>
      <c r="C1197" s="2">
        <v>166</v>
      </c>
    </row>
    <row r="1198" spans="1:3">
      <c r="A1198" s="2" t="s">
        <v>2075</v>
      </c>
      <c r="B1198" s="2" t="s">
        <v>36</v>
      </c>
      <c r="C1198" s="2">
        <v>163</v>
      </c>
    </row>
    <row r="1199" spans="1:3">
      <c r="A1199" s="2" t="s">
        <v>2036</v>
      </c>
      <c r="B1199" s="2" t="s">
        <v>36</v>
      </c>
      <c r="C1199" s="2">
        <v>161</v>
      </c>
    </row>
    <row r="1200" spans="1:3">
      <c r="A1200" s="2" t="s">
        <v>4686</v>
      </c>
      <c r="B1200" s="2" t="s">
        <v>36</v>
      </c>
      <c r="C1200" s="2">
        <v>161</v>
      </c>
    </row>
    <row r="1201" spans="1:3">
      <c r="A1201" s="2" t="s">
        <v>3045</v>
      </c>
      <c r="B1201" s="2" t="s">
        <v>36</v>
      </c>
      <c r="C1201" s="2">
        <v>160</v>
      </c>
    </row>
    <row r="1202" spans="1:3">
      <c r="A1202" s="2" t="s">
        <v>2063</v>
      </c>
      <c r="B1202" s="2" t="s">
        <v>36</v>
      </c>
      <c r="C1202" s="2">
        <v>159</v>
      </c>
    </row>
    <row r="1203" spans="1:3">
      <c r="A1203" s="2" t="s">
        <v>2058</v>
      </c>
      <c r="B1203" s="2" t="s">
        <v>36</v>
      </c>
      <c r="C1203" s="2">
        <v>158</v>
      </c>
    </row>
    <row r="1204" spans="1:3">
      <c r="A1204" s="2" t="s">
        <v>3581</v>
      </c>
      <c r="B1204" s="2" t="s">
        <v>36</v>
      </c>
      <c r="C1204" s="2">
        <v>156</v>
      </c>
    </row>
    <row r="1205" spans="1:3">
      <c r="A1205" s="2" t="s">
        <v>1208</v>
      </c>
      <c r="B1205" s="2" t="s">
        <v>36</v>
      </c>
      <c r="C1205" s="2">
        <v>154</v>
      </c>
    </row>
    <row r="1206" spans="1:3">
      <c r="A1206" s="2" t="s">
        <v>3916</v>
      </c>
      <c r="B1206" s="2" t="s">
        <v>36</v>
      </c>
      <c r="C1206" s="2">
        <v>154</v>
      </c>
    </row>
    <row r="1207" spans="1:3">
      <c r="A1207" s="2" t="s">
        <v>2029</v>
      </c>
      <c r="B1207" s="2" t="s">
        <v>36</v>
      </c>
      <c r="C1207" s="2">
        <v>153</v>
      </c>
    </row>
    <row r="1208" spans="1:3">
      <c r="A1208" s="2" t="s">
        <v>2047</v>
      </c>
      <c r="B1208" s="2" t="s">
        <v>36</v>
      </c>
      <c r="C1208" s="2">
        <v>152</v>
      </c>
    </row>
    <row r="1209" spans="1:3">
      <c r="A1209" s="2" t="s">
        <v>4614</v>
      </c>
      <c r="B1209" s="2" t="s">
        <v>36</v>
      </c>
      <c r="C1209" s="2">
        <v>152</v>
      </c>
    </row>
    <row r="1210" spans="1:3">
      <c r="A1210" s="2" t="s">
        <v>2546</v>
      </c>
      <c r="B1210" s="2" t="s">
        <v>36</v>
      </c>
      <c r="C1210" s="2">
        <v>149</v>
      </c>
    </row>
    <row r="1211" spans="1:3">
      <c r="A1211" s="2" t="s">
        <v>1644</v>
      </c>
      <c r="B1211" s="2" t="s">
        <v>36</v>
      </c>
      <c r="C1211" s="2">
        <v>146</v>
      </c>
    </row>
    <row r="1212" spans="1:3">
      <c r="A1212" s="2" t="s">
        <v>3129</v>
      </c>
      <c r="B1212" s="2" t="s">
        <v>36</v>
      </c>
      <c r="C1212" s="2">
        <v>145</v>
      </c>
    </row>
    <row r="1213" spans="1:3">
      <c r="A1213" s="2" t="s">
        <v>3076</v>
      </c>
      <c r="B1213" s="2" t="s">
        <v>36</v>
      </c>
      <c r="C1213" s="2">
        <v>145</v>
      </c>
    </row>
    <row r="1214" spans="1:3">
      <c r="A1214" s="2" t="s">
        <v>4585</v>
      </c>
      <c r="B1214" s="2" t="s">
        <v>36</v>
      </c>
      <c r="C1214" s="2">
        <v>145</v>
      </c>
    </row>
    <row r="1215" spans="1:3">
      <c r="A1215" s="2" t="s">
        <v>3571</v>
      </c>
      <c r="B1215" s="2" t="s">
        <v>36</v>
      </c>
      <c r="C1215" s="2">
        <v>145</v>
      </c>
    </row>
    <row r="1216" spans="1:3">
      <c r="A1216" s="2" t="s">
        <v>2057</v>
      </c>
      <c r="B1216" s="2" t="s">
        <v>36</v>
      </c>
      <c r="C1216" s="2">
        <v>144</v>
      </c>
    </row>
    <row r="1217" spans="1:3">
      <c r="A1217" s="2" t="s">
        <v>4625</v>
      </c>
      <c r="B1217" s="2" t="s">
        <v>36</v>
      </c>
      <c r="C1217" s="2">
        <v>143</v>
      </c>
    </row>
    <row r="1218" spans="1:3">
      <c r="A1218" s="2" t="s">
        <v>1653</v>
      </c>
      <c r="B1218" s="2" t="s">
        <v>36</v>
      </c>
      <c r="C1218" s="2">
        <v>143</v>
      </c>
    </row>
    <row r="1219" spans="1:3">
      <c r="A1219" s="2" t="s">
        <v>2537</v>
      </c>
      <c r="B1219" s="2" t="s">
        <v>36</v>
      </c>
      <c r="C1219" s="2">
        <v>141</v>
      </c>
    </row>
    <row r="1220" spans="1:3">
      <c r="A1220" s="2" t="s">
        <v>2026</v>
      </c>
      <c r="B1220" s="2" t="s">
        <v>36</v>
      </c>
      <c r="C1220" s="2">
        <v>141</v>
      </c>
    </row>
    <row r="1221" spans="1:3">
      <c r="A1221" s="2" t="s">
        <v>4665</v>
      </c>
      <c r="B1221" s="2" t="s">
        <v>36</v>
      </c>
      <c r="C1221" s="2">
        <v>141</v>
      </c>
    </row>
    <row r="1222" spans="1:3">
      <c r="A1222" s="2" t="s">
        <v>2065</v>
      </c>
      <c r="B1222" s="2" t="s">
        <v>36</v>
      </c>
      <c r="C1222" s="2">
        <v>141</v>
      </c>
    </row>
    <row r="1223" spans="1:3">
      <c r="A1223" s="2" t="s">
        <v>3033</v>
      </c>
      <c r="B1223" s="2" t="s">
        <v>36</v>
      </c>
      <c r="C1223" s="2">
        <v>139</v>
      </c>
    </row>
    <row r="1224" spans="1:3">
      <c r="A1224" s="2" t="s">
        <v>2609</v>
      </c>
      <c r="B1224" s="2" t="s">
        <v>36</v>
      </c>
      <c r="C1224" s="2">
        <v>139</v>
      </c>
    </row>
    <row r="1225" spans="1:3">
      <c r="A1225" s="2" t="s">
        <v>1637</v>
      </c>
      <c r="B1225" s="2" t="s">
        <v>36</v>
      </c>
      <c r="C1225" s="2">
        <v>138</v>
      </c>
    </row>
    <row r="1226" spans="1:3">
      <c r="A1226" s="2" t="s">
        <v>3578</v>
      </c>
      <c r="B1226" s="2" t="s">
        <v>36</v>
      </c>
      <c r="C1226" s="2">
        <v>137</v>
      </c>
    </row>
    <row r="1227" spans="1:3">
      <c r="A1227" s="2" t="s">
        <v>4332</v>
      </c>
      <c r="B1227" s="2" t="s">
        <v>36</v>
      </c>
      <c r="C1227" s="2">
        <v>134</v>
      </c>
    </row>
    <row r="1228" spans="1:3">
      <c r="A1228" s="2" t="s">
        <v>430</v>
      </c>
      <c r="B1228" s="2" t="s">
        <v>36</v>
      </c>
      <c r="C1228" s="2">
        <v>133</v>
      </c>
    </row>
    <row r="1229" spans="1:3">
      <c r="A1229" s="2" t="s">
        <v>3971</v>
      </c>
      <c r="B1229" s="2" t="s">
        <v>36</v>
      </c>
      <c r="C1229" s="2">
        <v>132</v>
      </c>
    </row>
    <row r="1230" spans="1:3">
      <c r="A1230" s="2" t="s">
        <v>2073</v>
      </c>
      <c r="B1230" s="2" t="s">
        <v>36</v>
      </c>
      <c r="C1230" s="2">
        <v>131</v>
      </c>
    </row>
    <row r="1231" spans="1:3">
      <c r="A1231" s="2" t="s">
        <v>3096</v>
      </c>
      <c r="B1231" s="2" t="s">
        <v>36</v>
      </c>
      <c r="C1231" s="2">
        <v>131</v>
      </c>
    </row>
    <row r="1232" spans="1:3">
      <c r="A1232" s="2" t="s">
        <v>4620</v>
      </c>
      <c r="B1232" s="2" t="s">
        <v>36</v>
      </c>
      <c r="C1232" s="2">
        <v>131</v>
      </c>
    </row>
    <row r="1233" spans="1:3">
      <c r="A1233" s="10" t="s">
        <v>3501</v>
      </c>
      <c r="B1233" s="2" t="s">
        <v>36</v>
      </c>
      <c r="C1233" s="2">
        <v>129</v>
      </c>
    </row>
    <row r="1234" spans="1:3">
      <c r="A1234" s="2" t="s">
        <v>2550</v>
      </c>
      <c r="B1234" s="2" t="s">
        <v>36</v>
      </c>
      <c r="C1234" s="2">
        <v>128</v>
      </c>
    </row>
    <row r="1235" spans="1:3">
      <c r="A1235" s="2" t="s">
        <v>2031</v>
      </c>
      <c r="B1235" s="2" t="s">
        <v>36</v>
      </c>
      <c r="C1235" s="2">
        <v>128</v>
      </c>
    </row>
    <row r="1236" spans="1:3">
      <c r="A1236" s="2" t="s">
        <v>3041</v>
      </c>
      <c r="B1236" s="2" t="s">
        <v>36</v>
      </c>
      <c r="C1236" s="2">
        <v>128</v>
      </c>
    </row>
    <row r="1237" spans="1:3">
      <c r="A1237" s="2" t="s">
        <v>4591</v>
      </c>
      <c r="B1237" s="2" t="s">
        <v>36</v>
      </c>
      <c r="C1237" s="2">
        <v>127</v>
      </c>
    </row>
    <row r="1238" spans="1:3">
      <c r="A1238" s="2" t="s">
        <v>1633</v>
      </c>
      <c r="B1238" s="2" t="s">
        <v>36</v>
      </c>
      <c r="C1238" s="2">
        <v>127</v>
      </c>
    </row>
    <row r="1239" spans="1:3">
      <c r="A1239" s="2" t="s">
        <v>3541</v>
      </c>
      <c r="B1239" s="2" t="s">
        <v>36</v>
      </c>
      <c r="C1239" s="2">
        <v>127</v>
      </c>
    </row>
    <row r="1240" spans="1:3">
      <c r="A1240" s="2" t="s">
        <v>3477</v>
      </c>
      <c r="B1240" s="2" t="s">
        <v>36</v>
      </c>
      <c r="C1240" s="2">
        <v>124</v>
      </c>
    </row>
    <row r="1241" spans="1:3">
      <c r="A1241" s="2" t="s">
        <v>4689</v>
      </c>
      <c r="B1241" s="2" t="s">
        <v>36</v>
      </c>
      <c r="C1241" s="2">
        <v>124</v>
      </c>
    </row>
    <row r="1242" spans="1:3">
      <c r="A1242" s="2" t="s">
        <v>1183</v>
      </c>
      <c r="B1242" s="2" t="s">
        <v>36</v>
      </c>
      <c r="C1242" s="2">
        <v>123</v>
      </c>
    </row>
    <row r="1243" spans="1:3">
      <c r="A1243" s="2" t="s">
        <v>1660</v>
      </c>
      <c r="B1243" s="2" t="s">
        <v>36</v>
      </c>
      <c r="C1243" s="2">
        <v>123</v>
      </c>
    </row>
    <row r="1244" spans="1:3">
      <c r="A1244" s="2" t="s">
        <v>2035</v>
      </c>
      <c r="B1244" s="2" t="s">
        <v>36</v>
      </c>
      <c r="C1244" s="2">
        <v>122</v>
      </c>
    </row>
    <row r="1245" spans="1:3">
      <c r="A1245" s="2" t="s">
        <v>364</v>
      </c>
      <c r="B1245" s="2" t="s">
        <v>36</v>
      </c>
      <c r="C1245" s="2">
        <v>122</v>
      </c>
    </row>
    <row r="1246" spans="1:3">
      <c r="A1246" s="2" t="s">
        <v>3126</v>
      </c>
      <c r="B1246" s="2" t="s">
        <v>36</v>
      </c>
      <c r="C1246" s="2">
        <v>120</v>
      </c>
    </row>
    <row r="1247" spans="1:3">
      <c r="A1247" s="2" t="s">
        <v>1121</v>
      </c>
      <c r="B1247" s="2" t="s">
        <v>36</v>
      </c>
      <c r="C1247" s="2">
        <v>118</v>
      </c>
    </row>
    <row r="1248" spans="1:3">
      <c r="A1248" s="2" t="s">
        <v>2078</v>
      </c>
      <c r="B1248" s="2" t="s">
        <v>36</v>
      </c>
      <c r="C1248" s="2">
        <v>117</v>
      </c>
    </row>
    <row r="1249" spans="1:3">
      <c r="A1249" s="2" t="s">
        <v>317</v>
      </c>
      <c r="B1249" s="2" t="s">
        <v>36</v>
      </c>
      <c r="C1249" s="2">
        <v>117</v>
      </c>
    </row>
    <row r="1250" spans="1:3">
      <c r="A1250" s="2" t="s">
        <v>3987</v>
      </c>
      <c r="B1250" s="2" t="s">
        <v>36</v>
      </c>
      <c r="C1250" s="2">
        <v>117</v>
      </c>
    </row>
    <row r="1251" spans="1:3">
      <c r="A1251" s="2" t="s">
        <v>1641</v>
      </c>
      <c r="B1251" s="2" t="s">
        <v>36</v>
      </c>
      <c r="C1251" s="2">
        <v>116</v>
      </c>
    </row>
    <row r="1252" spans="1:3">
      <c r="A1252" s="2" t="s">
        <v>4333</v>
      </c>
      <c r="B1252" s="2" t="s">
        <v>36</v>
      </c>
      <c r="C1252" s="2">
        <v>116</v>
      </c>
    </row>
    <row r="1253" spans="1:3">
      <c r="A1253" s="2" t="s">
        <v>3481</v>
      </c>
      <c r="B1253" s="2" t="s">
        <v>36</v>
      </c>
      <c r="C1253" s="2">
        <v>115</v>
      </c>
    </row>
    <row r="1254" spans="1:3">
      <c r="A1254" s="2" t="s">
        <v>4700</v>
      </c>
      <c r="B1254" s="2" t="s">
        <v>36</v>
      </c>
      <c r="C1254" s="2">
        <v>115</v>
      </c>
    </row>
    <row r="1255" spans="1:3">
      <c r="A1255" s="2" t="s">
        <v>3093</v>
      </c>
      <c r="B1255" s="2" t="s">
        <v>36</v>
      </c>
      <c r="C1255" s="2">
        <v>114</v>
      </c>
    </row>
    <row r="1256" spans="1:3">
      <c r="A1256" s="2" t="s">
        <v>4005</v>
      </c>
      <c r="B1256" s="2" t="s">
        <v>36</v>
      </c>
      <c r="C1256" s="2">
        <v>113</v>
      </c>
    </row>
    <row r="1257" spans="1:3">
      <c r="A1257" s="2" t="s">
        <v>2012</v>
      </c>
      <c r="B1257" s="2" t="s">
        <v>36</v>
      </c>
      <c r="C1257" s="2">
        <v>113</v>
      </c>
    </row>
    <row r="1258" spans="1:3">
      <c r="A1258" s="2" t="s">
        <v>2620</v>
      </c>
      <c r="B1258" s="2" t="s">
        <v>36</v>
      </c>
      <c r="C1258" s="2">
        <v>112</v>
      </c>
    </row>
    <row r="1259" spans="1:3">
      <c r="A1259" s="2" t="s">
        <v>3503</v>
      </c>
      <c r="B1259" s="2" t="s">
        <v>36</v>
      </c>
      <c r="C1259" s="2">
        <v>112</v>
      </c>
    </row>
    <row r="1260" spans="1:3">
      <c r="A1260" s="2" t="s">
        <v>2605</v>
      </c>
      <c r="B1260" s="2" t="s">
        <v>36</v>
      </c>
      <c r="C1260" s="2">
        <v>108</v>
      </c>
    </row>
    <row r="1261" spans="1:3">
      <c r="A1261" s="2" t="s">
        <v>1155</v>
      </c>
      <c r="B1261" s="2" t="s">
        <v>36</v>
      </c>
      <c r="C1261" s="2">
        <v>103</v>
      </c>
    </row>
    <row r="1262" spans="1:3">
      <c r="A1262" s="2" t="s">
        <v>3989</v>
      </c>
      <c r="B1262" s="2" t="s">
        <v>36</v>
      </c>
      <c r="C1262" s="2">
        <v>103</v>
      </c>
    </row>
    <row r="1263" spans="1:3">
      <c r="A1263" s="2" t="s">
        <v>4662</v>
      </c>
      <c r="B1263" s="2" t="s">
        <v>36</v>
      </c>
      <c r="C1263" s="2">
        <v>103</v>
      </c>
    </row>
    <row r="1264" spans="1:3">
      <c r="A1264" s="2" t="s">
        <v>3083</v>
      </c>
      <c r="B1264" s="2" t="s">
        <v>36</v>
      </c>
      <c r="C1264" s="2">
        <v>101</v>
      </c>
    </row>
    <row r="1265" spans="1:3">
      <c r="A1265" s="2" t="s">
        <v>2589</v>
      </c>
      <c r="B1265" s="2" t="s">
        <v>36</v>
      </c>
      <c r="C1265" s="2">
        <v>101</v>
      </c>
    </row>
    <row r="1266" spans="1:3">
      <c r="A1266" s="2" t="s">
        <v>3564</v>
      </c>
      <c r="B1266" s="2" t="s">
        <v>36</v>
      </c>
      <c r="C1266" s="2">
        <v>99</v>
      </c>
    </row>
    <row r="1267" spans="1:3">
      <c r="A1267" s="2" t="s">
        <v>2563</v>
      </c>
      <c r="B1267" s="2" t="s">
        <v>36</v>
      </c>
      <c r="C1267" s="2">
        <v>98</v>
      </c>
    </row>
    <row r="1268" spans="1:3">
      <c r="A1268" s="2" t="s">
        <v>1659</v>
      </c>
      <c r="B1268" s="2" t="s">
        <v>36</v>
      </c>
      <c r="C1268" s="2">
        <v>98</v>
      </c>
    </row>
    <row r="1269" spans="1:3">
      <c r="A1269" s="2" t="s">
        <v>3950</v>
      </c>
      <c r="B1269" s="2" t="s">
        <v>36</v>
      </c>
      <c r="C1269" s="2">
        <v>97</v>
      </c>
    </row>
    <row r="1270" spans="1:3">
      <c r="A1270" s="2" t="s">
        <v>1125</v>
      </c>
      <c r="B1270" s="2" t="s">
        <v>36</v>
      </c>
      <c r="C1270" s="2">
        <v>96</v>
      </c>
    </row>
    <row r="1271" spans="1:3">
      <c r="A1271" s="2" t="s">
        <v>2595</v>
      </c>
      <c r="B1271" s="2" t="s">
        <v>36</v>
      </c>
      <c r="C1271" s="2">
        <v>93</v>
      </c>
    </row>
    <row r="1272" spans="1:3">
      <c r="A1272" s="2" t="s">
        <v>3039</v>
      </c>
      <c r="B1272" s="2" t="s">
        <v>36</v>
      </c>
      <c r="C1272" s="2">
        <v>92</v>
      </c>
    </row>
    <row r="1273" spans="1:3">
      <c r="A1273" s="2" t="s">
        <v>3069</v>
      </c>
      <c r="B1273" s="2" t="s">
        <v>36</v>
      </c>
      <c r="C1273" s="2">
        <v>92</v>
      </c>
    </row>
    <row r="1274" spans="1:3">
      <c r="A1274" s="2" t="s">
        <v>3095</v>
      </c>
      <c r="B1274" s="2" t="s">
        <v>36</v>
      </c>
      <c r="C1274" s="2">
        <v>90</v>
      </c>
    </row>
    <row r="1275" spans="1:3">
      <c r="A1275" s="2" t="s">
        <v>4674</v>
      </c>
      <c r="B1275" s="2" t="s">
        <v>36</v>
      </c>
      <c r="C1275" s="2">
        <v>90</v>
      </c>
    </row>
    <row r="1276" spans="1:3">
      <c r="A1276" s="2" t="s">
        <v>3091</v>
      </c>
      <c r="B1276" s="2" t="s">
        <v>36</v>
      </c>
      <c r="C1276" s="2">
        <v>89</v>
      </c>
    </row>
    <row r="1277" spans="1:3">
      <c r="A1277" s="2" t="s">
        <v>2590</v>
      </c>
      <c r="B1277" s="2" t="s">
        <v>36</v>
      </c>
      <c r="C1277" s="2">
        <v>86</v>
      </c>
    </row>
    <row r="1278" spans="1:3">
      <c r="A1278" s="2" t="s">
        <v>3969</v>
      </c>
      <c r="B1278" s="2" t="s">
        <v>36</v>
      </c>
      <c r="C1278" s="2">
        <v>85</v>
      </c>
    </row>
    <row r="1279" spans="1:3">
      <c r="A1279" s="2" t="s">
        <v>4667</v>
      </c>
      <c r="B1279" s="2" t="s">
        <v>36</v>
      </c>
      <c r="C1279" s="2">
        <v>84</v>
      </c>
    </row>
    <row r="1280" spans="1:3">
      <c r="A1280" s="2" t="s">
        <v>4688</v>
      </c>
      <c r="B1280" s="2" t="s">
        <v>36</v>
      </c>
      <c r="C1280" s="2">
        <v>80</v>
      </c>
    </row>
    <row r="1281" spans="1:3">
      <c r="A1281" s="2" t="s">
        <v>4687</v>
      </c>
      <c r="B1281" s="2" t="s">
        <v>36</v>
      </c>
      <c r="C1281" s="2">
        <v>78</v>
      </c>
    </row>
    <row r="1282" spans="1:3">
      <c r="A1282" s="2" t="s">
        <v>3054</v>
      </c>
      <c r="B1282" s="2" t="s">
        <v>36</v>
      </c>
      <c r="C1282" s="2">
        <v>77</v>
      </c>
    </row>
    <row r="1283" spans="1:3">
      <c r="A1283" s="2" t="s">
        <v>4283</v>
      </c>
      <c r="B1283" s="2" t="s">
        <v>36</v>
      </c>
      <c r="C1283" s="2">
        <v>77</v>
      </c>
    </row>
    <row r="1284" spans="1:3">
      <c r="A1284" s="2" t="s">
        <v>2570</v>
      </c>
      <c r="B1284" s="2" t="s">
        <v>36</v>
      </c>
      <c r="C1284" s="2">
        <v>76</v>
      </c>
    </row>
    <row r="1285" spans="1:3">
      <c r="A1285" s="2" t="s">
        <v>3951</v>
      </c>
      <c r="B1285" s="2" t="s">
        <v>36</v>
      </c>
      <c r="C1285" s="2">
        <v>75</v>
      </c>
    </row>
    <row r="1286" spans="1:3">
      <c r="A1286" s="2" t="s">
        <v>1137</v>
      </c>
      <c r="B1286" s="2" t="s">
        <v>36</v>
      </c>
      <c r="C1286" s="2">
        <v>72</v>
      </c>
    </row>
    <row r="1287" spans="1:3">
      <c r="A1287" s="2" t="s">
        <v>314</v>
      </c>
      <c r="B1287" s="2" t="s">
        <v>36</v>
      </c>
      <c r="C1287" s="2">
        <v>70</v>
      </c>
    </row>
    <row r="1288" spans="1:3">
      <c r="A1288" s="2" t="s">
        <v>3491</v>
      </c>
      <c r="B1288" s="2" t="s">
        <v>36</v>
      </c>
      <c r="C1288" s="2">
        <v>69</v>
      </c>
    </row>
    <row r="1289" spans="1:3">
      <c r="A1289" s="2" t="s">
        <v>2591</v>
      </c>
      <c r="B1289" s="2" t="s">
        <v>36</v>
      </c>
      <c r="C1289" s="2">
        <v>69</v>
      </c>
    </row>
    <row r="1290" spans="1:3">
      <c r="A1290" s="2" t="s">
        <v>3542</v>
      </c>
      <c r="B1290" s="2" t="s">
        <v>36</v>
      </c>
      <c r="C1290" s="2">
        <v>68</v>
      </c>
    </row>
    <row r="1291" spans="1:3">
      <c r="A1291" s="2" t="s">
        <v>3577</v>
      </c>
      <c r="B1291" s="2" t="s">
        <v>36</v>
      </c>
      <c r="C1291" s="2">
        <v>65</v>
      </c>
    </row>
    <row r="1292" spans="1:3">
      <c r="A1292" s="2" t="s">
        <v>4309</v>
      </c>
      <c r="B1292" s="2" t="s">
        <v>36</v>
      </c>
      <c r="C1292" s="2">
        <v>65</v>
      </c>
    </row>
    <row r="1293" spans="1:3">
      <c r="A1293" s="2" t="s">
        <v>1661</v>
      </c>
      <c r="B1293" s="2" t="s">
        <v>36</v>
      </c>
      <c r="C1293" s="2">
        <v>64</v>
      </c>
    </row>
    <row r="1294" spans="1:3">
      <c r="A1294" s="2" t="s">
        <v>3952</v>
      </c>
      <c r="B1294" s="2" t="s">
        <v>36</v>
      </c>
      <c r="C1294" s="2">
        <v>63</v>
      </c>
    </row>
    <row r="1295" spans="1:3">
      <c r="A1295" s="2" t="s">
        <v>2644</v>
      </c>
      <c r="B1295" s="2" t="s">
        <v>36</v>
      </c>
      <c r="C1295" s="2">
        <v>60</v>
      </c>
    </row>
    <row r="1296" spans="1:3">
      <c r="A1296" s="2" t="s">
        <v>2621</v>
      </c>
      <c r="B1296" s="2" t="s">
        <v>36</v>
      </c>
      <c r="C1296" s="2">
        <v>59</v>
      </c>
    </row>
    <row r="1297" spans="1:3">
      <c r="A1297" s="2" t="s">
        <v>2627</v>
      </c>
      <c r="B1297" s="2" t="s">
        <v>36</v>
      </c>
      <c r="C1297" s="2">
        <v>56</v>
      </c>
    </row>
    <row r="1298" spans="1:3">
      <c r="A1298" s="2" t="s">
        <v>324</v>
      </c>
      <c r="B1298" s="2" t="s">
        <v>36</v>
      </c>
      <c r="C1298" s="2">
        <v>56</v>
      </c>
    </row>
    <row r="1299" spans="1:3">
      <c r="A1299" s="2" t="s">
        <v>1144</v>
      </c>
      <c r="B1299" s="2" t="s">
        <v>36</v>
      </c>
      <c r="C1299" s="2">
        <v>55</v>
      </c>
    </row>
    <row r="1300" spans="1:3">
      <c r="A1300" s="2" t="s">
        <v>3527</v>
      </c>
      <c r="B1300" s="2" t="s">
        <v>36</v>
      </c>
      <c r="C1300" s="2">
        <v>55</v>
      </c>
    </row>
    <row r="1301" spans="1:3">
      <c r="A1301" s="2" t="s">
        <v>4294</v>
      </c>
      <c r="B1301" s="2" t="s">
        <v>36</v>
      </c>
      <c r="C1301" s="2">
        <v>54</v>
      </c>
    </row>
    <row r="1302" spans="1:3">
      <c r="A1302" s="2" t="s">
        <v>1143</v>
      </c>
      <c r="B1302" s="2" t="s">
        <v>36</v>
      </c>
      <c r="C1302" s="2">
        <v>54</v>
      </c>
    </row>
    <row r="1303" spans="1:3">
      <c r="A1303" s="2" t="s">
        <v>1186</v>
      </c>
      <c r="B1303" s="2" t="s">
        <v>36</v>
      </c>
      <c r="C1303" s="2">
        <v>53</v>
      </c>
    </row>
    <row r="1304" spans="1:3">
      <c r="A1304" s="2" t="s">
        <v>1156</v>
      </c>
      <c r="B1304" s="2" t="s">
        <v>36</v>
      </c>
      <c r="C1304" s="2">
        <v>53</v>
      </c>
    </row>
    <row r="1305" spans="1:3">
      <c r="A1305" s="2" t="s">
        <v>1142</v>
      </c>
      <c r="B1305" s="2" t="s">
        <v>36</v>
      </c>
      <c r="C1305" s="2">
        <v>53</v>
      </c>
    </row>
    <row r="1306" spans="1:3">
      <c r="A1306" s="10">
        <v>37135</v>
      </c>
      <c r="B1306" s="2" t="s">
        <v>36</v>
      </c>
      <c r="C1306" s="2">
        <v>52</v>
      </c>
    </row>
    <row r="1307" spans="1:3">
      <c r="A1307" s="2" t="s">
        <v>3544</v>
      </c>
      <c r="B1307" s="2" t="s">
        <v>36</v>
      </c>
      <c r="C1307" s="2">
        <v>52</v>
      </c>
    </row>
    <row r="1308" spans="1:3">
      <c r="A1308" s="2" t="s">
        <v>3101</v>
      </c>
      <c r="B1308" s="2" t="s">
        <v>36</v>
      </c>
      <c r="C1308" s="2">
        <v>51</v>
      </c>
    </row>
    <row r="1309" spans="1:3">
      <c r="A1309" s="2" t="s">
        <v>3976</v>
      </c>
      <c r="B1309" s="2" t="s">
        <v>36</v>
      </c>
      <c r="C1309" s="2">
        <v>49</v>
      </c>
    </row>
    <row r="1310" spans="1:3">
      <c r="A1310" s="2" t="s">
        <v>3104</v>
      </c>
      <c r="B1310" s="2" t="s">
        <v>36</v>
      </c>
      <c r="C1310" s="2">
        <v>48</v>
      </c>
    </row>
    <row r="1311" spans="1:3">
      <c r="A1311" s="2" t="s">
        <v>1132</v>
      </c>
      <c r="B1311" s="2" t="s">
        <v>36</v>
      </c>
      <c r="C1311" s="2">
        <v>47</v>
      </c>
    </row>
    <row r="1312" spans="1:3">
      <c r="A1312" s="2" t="s">
        <v>1187</v>
      </c>
      <c r="B1312" s="2" t="s">
        <v>36</v>
      </c>
      <c r="C1312" s="2">
        <v>46</v>
      </c>
    </row>
    <row r="1313" spans="1:3">
      <c r="A1313" s="2" t="s">
        <v>1655</v>
      </c>
      <c r="B1313" s="2" t="s">
        <v>36</v>
      </c>
      <c r="C1313" s="2">
        <v>42</v>
      </c>
    </row>
    <row r="1314" spans="1:3">
      <c r="A1314" s="2" t="s">
        <v>4299</v>
      </c>
      <c r="B1314" s="2" t="s">
        <v>36</v>
      </c>
      <c r="C1314" s="2">
        <v>38</v>
      </c>
    </row>
    <row r="1315" spans="1:3">
      <c r="A1315" s="2" t="s">
        <v>397</v>
      </c>
      <c r="B1315" s="2" t="s">
        <v>36</v>
      </c>
      <c r="C1315" s="2">
        <v>37</v>
      </c>
    </row>
    <row r="1316" spans="1:3">
      <c r="A1316" s="2" t="s">
        <v>2087</v>
      </c>
      <c r="B1316" s="2" t="s">
        <v>36</v>
      </c>
      <c r="C1316" s="2">
        <v>35</v>
      </c>
    </row>
    <row r="1317" spans="1:3">
      <c r="A1317" s="2" t="s">
        <v>3568</v>
      </c>
      <c r="B1317" s="2" t="s">
        <v>36</v>
      </c>
      <c r="C1317" s="2">
        <v>31</v>
      </c>
    </row>
    <row r="1318" spans="1:3">
      <c r="A1318" s="2" t="s">
        <v>1209</v>
      </c>
      <c r="B1318" s="2" t="s">
        <v>36</v>
      </c>
      <c r="C1318" s="2">
        <v>30</v>
      </c>
    </row>
    <row r="1319" spans="1:3">
      <c r="A1319" s="2" t="s">
        <v>1684</v>
      </c>
      <c r="B1319" s="2" t="s">
        <v>36</v>
      </c>
      <c r="C1319" s="2">
        <v>29</v>
      </c>
    </row>
    <row r="1320" spans="1:3">
      <c r="A1320" s="2" t="s">
        <v>1146</v>
      </c>
      <c r="B1320" s="2" t="s">
        <v>36</v>
      </c>
      <c r="C1320" s="2">
        <v>29</v>
      </c>
    </row>
    <row r="1321" spans="1:3">
      <c r="A1321" s="2" t="s">
        <v>1686</v>
      </c>
      <c r="B1321" s="2" t="s">
        <v>36</v>
      </c>
      <c r="C1321" s="2">
        <v>29</v>
      </c>
    </row>
    <row r="1322" spans="1:3">
      <c r="A1322" s="2" t="s">
        <v>4664</v>
      </c>
      <c r="B1322" s="2" t="s">
        <v>36</v>
      </c>
      <c r="C1322" s="2">
        <v>28</v>
      </c>
    </row>
    <row r="1323" spans="1:3">
      <c r="A1323" s="2" t="s">
        <v>1185</v>
      </c>
      <c r="B1323" s="2" t="s">
        <v>36</v>
      </c>
      <c r="C1323" s="2">
        <v>27</v>
      </c>
    </row>
    <row r="1324" spans="1:3">
      <c r="A1324" s="2" t="s">
        <v>3561</v>
      </c>
      <c r="B1324" s="2" t="s">
        <v>36</v>
      </c>
      <c r="C1324" s="2">
        <v>24</v>
      </c>
    </row>
    <row r="1325" spans="1:3">
      <c r="A1325" s="2" t="s">
        <v>3512</v>
      </c>
      <c r="B1325" s="2" t="s">
        <v>36</v>
      </c>
      <c r="C1325" s="2">
        <v>23</v>
      </c>
    </row>
    <row r="1326" spans="1:3">
      <c r="A1326" s="2" t="s">
        <v>3539</v>
      </c>
      <c r="B1326" s="2" t="s">
        <v>36</v>
      </c>
      <c r="C1326" s="2">
        <v>22</v>
      </c>
    </row>
    <row r="1327" spans="1:3">
      <c r="A1327" s="2" t="s">
        <v>3517</v>
      </c>
      <c r="B1327" s="2" t="s">
        <v>36</v>
      </c>
      <c r="C1327" s="2">
        <v>19</v>
      </c>
    </row>
    <row r="1328" spans="1:3">
      <c r="A1328" s="2" t="s">
        <v>3548</v>
      </c>
      <c r="B1328" s="2" t="s">
        <v>36</v>
      </c>
      <c r="C1328" s="2">
        <v>3</v>
      </c>
    </row>
    <row r="1329" spans="1:3">
      <c r="A1329" s="2" t="s">
        <v>618</v>
      </c>
      <c r="B1329" s="2" t="s">
        <v>38</v>
      </c>
      <c r="C1329" s="2">
        <v>2167</v>
      </c>
    </row>
    <row r="1330" spans="1:3">
      <c r="A1330" s="2" t="s">
        <v>615</v>
      </c>
      <c r="B1330" s="2" t="s">
        <v>38</v>
      </c>
      <c r="C1330" s="2">
        <v>2131</v>
      </c>
    </row>
    <row r="1331" spans="1:3">
      <c r="A1331" s="2" t="s">
        <v>518</v>
      </c>
      <c r="B1331" s="2" t="s">
        <v>38</v>
      </c>
      <c r="C1331" s="2">
        <v>2072</v>
      </c>
    </row>
    <row r="1332" spans="1:3">
      <c r="A1332" s="2" t="s">
        <v>641</v>
      </c>
      <c r="B1332" s="2" t="s">
        <v>38</v>
      </c>
      <c r="C1332" s="2">
        <v>2030</v>
      </c>
    </row>
    <row r="1333" spans="1:3">
      <c r="A1333" s="2" t="s">
        <v>644</v>
      </c>
      <c r="B1333" s="2" t="s">
        <v>38</v>
      </c>
      <c r="C1333" s="2">
        <v>2023</v>
      </c>
    </row>
    <row r="1334" spans="1:3">
      <c r="A1334" s="2" t="s">
        <v>1373</v>
      </c>
      <c r="B1334" s="2" t="s">
        <v>38</v>
      </c>
      <c r="C1334" s="2">
        <v>1930</v>
      </c>
    </row>
    <row r="1335" spans="1:3">
      <c r="A1335" s="2" t="s">
        <v>1432</v>
      </c>
      <c r="B1335" s="2" t="s">
        <v>38</v>
      </c>
      <c r="C1335" s="2">
        <v>1917</v>
      </c>
    </row>
    <row r="1336" spans="1:3">
      <c r="A1336" s="2" t="s">
        <v>471</v>
      </c>
      <c r="B1336" s="2" t="s">
        <v>38</v>
      </c>
      <c r="C1336" s="2">
        <v>1901</v>
      </c>
    </row>
    <row r="1337" spans="1:3">
      <c r="A1337" s="2" t="s">
        <v>567</v>
      </c>
      <c r="B1337" s="2" t="s">
        <v>38</v>
      </c>
      <c r="C1337" s="2">
        <v>1898</v>
      </c>
    </row>
    <row r="1338" spans="1:3">
      <c r="A1338" s="2" t="s">
        <v>658</v>
      </c>
      <c r="B1338" s="2" t="s">
        <v>38</v>
      </c>
      <c r="C1338" s="2">
        <v>1885</v>
      </c>
    </row>
    <row r="1339" spans="1:3">
      <c r="A1339" s="2" t="s">
        <v>1377</v>
      </c>
      <c r="B1339" s="2" t="s">
        <v>38</v>
      </c>
      <c r="C1339" s="2">
        <v>1884</v>
      </c>
    </row>
    <row r="1340" spans="1:3">
      <c r="A1340" s="2" t="s">
        <v>1416</v>
      </c>
      <c r="B1340" s="2" t="s">
        <v>38</v>
      </c>
      <c r="C1340" s="2">
        <v>1878</v>
      </c>
    </row>
    <row r="1341" spans="1:3">
      <c r="A1341" s="2" t="s">
        <v>1748</v>
      </c>
      <c r="B1341" s="2" t="s">
        <v>38</v>
      </c>
      <c r="C1341" s="2">
        <v>1864</v>
      </c>
    </row>
    <row r="1342" spans="1:3">
      <c r="A1342" s="2" t="s">
        <v>638</v>
      </c>
      <c r="B1342" s="2" t="s">
        <v>38</v>
      </c>
      <c r="C1342" s="2">
        <v>1857</v>
      </c>
    </row>
    <row r="1343" spans="1:3">
      <c r="A1343" s="2" t="s">
        <v>3668</v>
      </c>
      <c r="B1343" s="2" t="s">
        <v>38</v>
      </c>
      <c r="C1343" s="2">
        <v>1832</v>
      </c>
    </row>
    <row r="1344" spans="1:3">
      <c r="A1344" s="2" t="s">
        <v>465</v>
      </c>
      <c r="B1344" s="2" t="s">
        <v>38</v>
      </c>
      <c r="C1344" s="2">
        <v>1832</v>
      </c>
    </row>
    <row r="1345" spans="1:3">
      <c r="A1345" s="2" t="s">
        <v>655</v>
      </c>
      <c r="B1345" s="2" t="s">
        <v>38</v>
      </c>
      <c r="C1345" s="2">
        <v>1832</v>
      </c>
    </row>
    <row r="1346" spans="1:3">
      <c r="A1346" s="2" t="s">
        <v>695</v>
      </c>
      <c r="B1346" s="2" t="s">
        <v>38</v>
      </c>
      <c r="C1346" s="2">
        <v>1802</v>
      </c>
    </row>
    <row r="1347" spans="1:3">
      <c r="A1347" s="2" t="s">
        <v>621</v>
      </c>
      <c r="B1347" s="2" t="s">
        <v>38</v>
      </c>
      <c r="C1347" s="2">
        <v>1796</v>
      </c>
    </row>
    <row r="1348" spans="1:3">
      <c r="A1348" s="2" t="s">
        <v>1409</v>
      </c>
      <c r="B1348" s="2" t="s">
        <v>38</v>
      </c>
      <c r="C1348" s="2">
        <v>1794</v>
      </c>
    </row>
    <row r="1349" spans="1:3">
      <c r="A1349" s="2" t="s">
        <v>678</v>
      </c>
      <c r="B1349" s="2" t="s">
        <v>38</v>
      </c>
      <c r="C1349" s="2">
        <v>1790</v>
      </c>
    </row>
    <row r="1350" spans="1:3">
      <c r="A1350" s="2" t="s">
        <v>648</v>
      </c>
      <c r="B1350" s="2" t="s">
        <v>38</v>
      </c>
      <c r="C1350" s="2">
        <v>1775</v>
      </c>
    </row>
    <row r="1351" spans="1:3">
      <c r="A1351" s="2" t="s">
        <v>661</v>
      </c>
      <c r="B1351" s="2" t="s">
        <v>38</v>
      </c>
      <c r="C1351" s="2">
        <v>1742</v>
      </c>
    </row>
    <row r="1352" spans="1:3">
      <c r="A1352" s="2" t="s">
        <v>629</v>
      </c>
      <c r="B1352" s="2" t="s">
        <v>38</v>
      </c>
      <c r="C1352" s="2">
        <v>1732</v>
      </c>
    </row>
    <row r="1353" spans="1:3">
      <c r="A1353" s="2" t="s">
        <v>1414</v>
      </c>
      <c r="B1353" s="2" t="s">
        <v>38</v>
      </c>
      <c r="C1353" s="2">
        <v>1727</v>
      </c>
    </row>
    <row r="1354" spans="1:3">
      <c r="A1354" s="2" t="s">
        <v>1360</v>
      </c>
      <c r="B1354" s="2" t="s">
        <v>38</v>
      </c>
      <c r="C1354" s="2">
        <v>1725</v>
      </c>
    </row>
    <row r="1355" spans="1:3">
      <c r="A1355" s="2" t="s">
        <v>1752</v>
      </c>
      <c r="B1355" s="2" t="s">
        <v>38</v>
      </c>
      <c r="C1355" s="2">
        <v>1723</v>
      </c>
    </row>
    <row r="1356" spans="1:3">
      <c r="A1356" s="2" t="s">
        <v>4128</v>
      </c>
      <c r="B1356" s="2" t="s">
        <v>38</v>
      </c>
      <c r="C1356" s="2">
        <v>1720</v>
      </c>
    </row>
    <row r="1357" spans="1:3">
      <c r="A1357" s="2" t="s">
        <v>1732</v>
      </c>
      <c r="B1357" s="2" t="s">
        <v>38</v>
      </c>
      <c r="C1357" s="2">
        <v>1714</v>
      </c>
    </row>
    <row r="1358" spans="1:3">
      <c r="A1358" s="2" t="s">
        <v>632</v>
      </c>
      <c r="B1358" s="2" t="s">
        <v>38</v>
      </c>
      <c r="C1358" s="2">
        <v>1713</v>
      </c>
    </row>
    <row r="1359" spans="1:3">
      <c r="A1359" s="2" t="s">
        <v>697</v>
      </c>
      <c r="B1359" s="2" t="s">
        <v>38</v>
      </c>
      <c r="C1359" s="2">
        <v>1710</v>
      </c>
    </row>
    <row r="1360" spans="1:3">
      <c r="A1360" s="2" t="s">
        <v>4103</v>
      </c>
      <c r="B1360" s="2" t="s">
        <v>38</v>
      </c>
      <c r="C1360" s="2">
        <v>1706</v>
      </c>
    </row>
    <row r="1361" spans="1:3">
      <c r="A1361" s="2" t="s">
        <v>635</v>
      </c>
      <c r="B1361" s="2" t="s">
        <v>38</v>
      </c>
      <c r="C1361" s="2">
        <v>1688</v>
      </c>
    </row>
    <row r="1362" spans="1:3">
      <c r="A1362" s="2" t="s">
        <v>1708</v>
      </c>
      <c r="B1362" s="2" t="s">
        <v>38</v>
      </c>
      <c r="C1362" s="2">
        <v>1683</v>
      </c>
    </row>
    <row r="1363" spans="1:3">
      <c r="A1363" s="2" t="s">
        <v>693</v>
      </c>
      <c r="B1363" s="2" t="s">
        <v>38</v>
      </c>
      <c r="C1363" s="2">
        <v>1682</v>
      </c>
    </row>
    <row r="1364" spans="1:3">
      <c r="A1364" s="2" t="s">
        <v>1434</v>
      </c>
      <c r="B1364" s="2" t="s">
        <v>38</v>
      </c>
      <c r="C1364" s="2">
        <v>1672</v>
      </c>
    </row>
    <row r="1365" spans="1:3">
      <c r="A1365" s="2" t="s">
        <v>515</v>
      </c>
      <c r="B1365" s="2" t="s">
        <v>38</v>
      </c>
      <c r="C1365" s="2">
        <v>1664</v>
      </c>
    </row>
    <row r="1366" spans="1:3">
      <c r="A1366" s="2" t="s">
        <v>666</v>
      </c>
      <c r="B1366" s="2" t="s">
        <v>38</v>
      </c>
      <c r="C1366" s="2">
        <v>1661</v>
      </c>
    </row>
    <row r="1367" spans="1:3">
      <c r="A1367" s="2" t="s">
        <v>4430</v>
      </c>
      <c r="B1367" s="2" t="s">
        <v>38</v>
      </c>
      <c r="C1367" s="2">
        <v>1660</v>
      </c>
    </row>
    <row r="1368" spans="1:3">
      <c r="A1368" s="2" t="s">
        <v>690</v>
      </c>
      <c r="B1368" s="2" t="s">
        <v>38</v>
      </c>
      <c r="C1368" s="2">
        <v>1660</v>
      </c>
    </row>
    <row r="1369" spans="1:3">
      <c r="A1369" s="2" t="s">
        <v>653</v>
      </c>
      <c r="B1369" s="2" t="s">
        <v>38</v>
      </c>
      <c r="C1369" s="2">
        <v>1660</v>
      </c>
    </row>
    <row r="1370" spans="1:3">
      <c r="A1370" s="2" t="s">
        <v>1380</v>
      </c>
      <c r="B1370" s="2" t="s">
        <v>38</v>
      </c>
      <c r="C1370" s="2">
        <v>1658</v>
      </c>
    </row>
    <row r="1371" spans="1:3">
      <c r="A1371" s="2" t="s">
        <v>2710</v>
      </c>
      <c r="B1371" s="2" t="s">
        <v>38</v>
      </c>
      <c r="C1371" s="2">
        <v>1654</v>
      </c>
    </row>
    <row r="1372" spans="1:3">
      <c r="A1372" s="2" t="s">
        <v>4408</v>
      </c>
      <c r="B1372" s="2" t="s">
        <v>38</v>
      </c>
      <c r="C1372" s="2">
        <v>1653</v>
      </c>
    </row>
    <row r="1373" spans="1:3">
      <c r="A1373" s="2" t="s">
        <v>4077</v>
      </c>
      <c r="B1373" s="2" t="s">
        <v>38</v>
      </c>
      <c r="C1373" s="2">
        <v>1646</v>
      </c>
    </row>
    <row r="1374" spans="1:3">
      <c r="A1374" s="2" t="s">
        <v>4065</v>
      </c>
      <c r="B1374" s="2" t="s">
        <v>38</v>
      </c>
      <c r="C1374" s="2">
        <v>1635</v>
      </c>
    </row>
    <row r="1375" spans="1:3">
      <c r="A1375" s="2" t="s">
        <v>684</v>
      </c>
      <c r="B1375" s="2" t="s">
        <v>38</v>
      </c>
      <c r="C1375" s="2">
        <v>1625</v>
      </c>
    </row>
    <row r="1376" spans="1:3">
      <c r="A1376" s="2" t="s">
        <v>4813</v>
      </c>
      <c r="B1376" s="2" t="s">
        <v>38</v>
      </c>
      <c r="C1376" s="2">
        <v>1610</v>
      </c>
    </row>
    <row r="1377" spans="1:3">
      <c r="A1377" s="2" t="s">
        <v>1261</v>
      </c>
      <c r="B1377" s="2" t="s">
        <v>38</v>
      </c>
      <c r="C1377" s="2">
        <v>1609</v>
      </c>
    </row>
    <row r="1378" spans="1:3">
      <c r="A1378" s="2" t="s">
        <v>4095</v>
      </c>
      <c r="B1378" s="2" t="s">
        <v>38</v>
      </c>
      <c r="C1378" s="2">
        <v>1604</v>
      </c>
    </row>
    <row r="1379" spans="1:3">
      <c r="A1379" s="2" t="s">
        <v>2188</v>
      </c>
      <c r="B1379" s="2" t="s">
        <v>38</v>
      </c>
      <c r="C1379" s="2">
        <v>1604</v>
      </c>
    </row>
    <row r="1380" spans="1:3">
      <c r="A1380" s="2" t="s">
        <v>4386</v>
      </c>
      <c r="B1380" s="2" t="s">
        <v>38</v>
      </c>
      <c r="C1380" s="2">
        <v>1602</v>
      </c>
    </row>
    <row r="1381" spans="1:3">
      <c r="A1381" s="2" t="s">
        <v>1730</v>
      </c>
      <c r="B1381" s="2" t="s">
        <v>38</v>
      </c>
      <c r="C1381" s="2">
        <v>1602</v>
      </c>
    </row>
    <row r="1382" spans="1:3">
      <c r="A1382" s="2" t="s">
        <v>4081</v>
      </c>
      <c r="B1382" s="2" t="s">
        <v>38</v>
      </c>
      <c r="C1382" s="2">
        <v>1598</v>
      </c>
    </row>
    <row r="1383" spans="1:3">
      <c r="A1383" s="2" t="s">
        <v>651</v>
      </c>
      <c r="B1383" s="2" t="s">
        <v>38</v>
      </c>
      <c r="C1383" s="2">
        <v>1589</v>
      </c>
    </row>
    <row r="1384" spans="1:3">
      <c r="A1384" s="2" t="s">
        <v>2737</v>
      </c>
      <c r="B1384" s="2" t="s">
        <v>38</v>
      </c>
      <c r="C1384" s="2">
        <v>1588</v>
      </c>
    </row>
    <row r="1385" spans="1:3">
      <c r="A1385" s="2" t="s">
        <v>3701</v>
      </c>
      <c r="B1385" s="2" t="s">
        <v>38</v>
      </c>
      <c r="C1385" s="2">
        <v>1586</v>
      </c>
    </row>
    <row r="1386" spans="1:3">
      <c r="A1386" s="2" t="s">
        <v>688</v>
      </c>
      <c r="B1386" s="2" t="s">
        <v>38</v>
      </c>
      <c r="C1386" s="2">
        <v>1583</v>
      </c>
    </row>
    <row r="1387" spans="1:3">
      <c r="A1387" s="2" t="s">
        <v>1725</v>
      </c>
      <c r="B1387" s="2" t="s">
        <v>38</v>
      </c>
      <c r="C1387" s="2">
        <v>1578</v>
      </c>
    </row>
    <row r="1388" spans="1:3">
      <c r="A1388" s="2" t="s">
        <v>1425</v>
      </c>
      <c r="B1388" s="2" t="s">
        <v>38</v>
      </c>
      <c r="C1388" s="2">
        <v>1578</v>
      </c>
    </row>
    <row r="1389" spans="1:3">
      <c r="A1389" s="2" t="s">
        <v>3312</v>
      </c>
      <c r="B1389" s="2" t="s">
        <v>38</v>
      </c>
      <c r="C1389" s="2">
        <v>1577</v>
      </c>
    </row>
    <row r="1390" spans="1:3">
      <c r="A1390" s="2" t="s">
        <v>623</v>
      </c>
      <c r="B1390" s="2" t="s">
        <v>38</v>
      </c>
      <c r="C1390" s="2">
        <v>1563</v>
      </c>
    </row>
    <row r="1391" spans="1:3">
      <c r="A1391" s="2" t="s">
        <v>2191</v>
      </c>
      <c r="B1391" s="2" t="s">
        <v>38</v>
      </c>
      <c r="C1391" s="2">
        <v>1562</v>
      </c>
    </row>
    <row r="1392" spans="1:3">
      <c r="A1392" s="2" t="s">
        <v>4807</v>
      </c>
      <c r="B1392" s="2" t="s">
        <v>38</v>
      </c>
      <c r="C1392" s="2">
        <v>1562</v>
      </c>
    </row>
    <row r="1393" spans="1:3">
      <c r="A1393" s="2" t="s">
        <v>3695</v>
      </c>
      <c r="B1393" s="2" t="s">
        <v>38</v>
      </c>
      <c r="C1393" s="2">
        <v>1560</v>
      </c>
    </row>
    <row r="1394" spans="1:3">
      <c r="A1394" s="2" t="s">
        <v>2243</v>
      </c>
      <c r="B1394" s="2" t="s">
        <v>38</v>
      </c>
      <c r="C1394" s="2">
        <v>1541</v>
      </c>
    </row>
    <row r="1395" spans="1:3">
      <c r="A1395" s="2" t="s">
        <v>1453</v>
      </c>
      <c r="B1395" s="2" t="s">
        <v>38</v>
      </c>
      <c r="C1395" s="2">
        <v>1536</v>
      </c>
    </row>
    <row r="1396" spans="1:3">
      <c r="A1396" s="2" t="s">
        <v>1275</v>
      </c>
      <c r="B1396" s="2" t="s">
        <v>38</v>
      </c>
      <c r="C1396" s="2">
        <v>1532</v>
      </c>
    </row>
    <row r="1397" spans="1:3">
      <c r="A1397" s="2" t="s">
        <v>4833</v>
      </c>
      <c r="B1397" s="2" t="s">
        <v>38</v>
      </c>
      <c r="C1397" s="2">
        <v>1523</v>
      </c>
    </row>
    <row r="1398" spans="1:3">
      <c r="A1398" s="2" t="s">
        <v>1316</v>
      </c>
      <c r="B1398" s="2" t="s">
        <v>38</v>
      </c>
      <c r="C1398" s="2">
        <v>1522</v>
      </c>
    </row>
    <row r="1399" spans="1:3">
      <c r="A1399" s="2" t="s">
        <v>4399</v>
      </c>
      <c r="B1399" s="2" t="s">
        <v>38</v>
      </c>
      <c r="C1399" s="2">
        <v>1519</v>
      </c>
    </row>
    <row r="1400" spans="1:3">
      <c r="A1400" s="2" t="s">
        <v>672</v>
      </c>
      <c r="B1400" s="2" t="s">
        <v>38</v>
      </c>
      <c r="C1400" s="2">
        <v>1511</v>
      </c>
    </row>
    <row r="1401" spans="1:3">
      <c r="A1401" s="2" t="s">
        <v>702</v>
      </c>
      <c r="B1401" s="2" t="s">
        <v>38</v>
      </c>
      <c r="C1401" s="2">
        <v>1511</v>
      </c>
    </row>
    <row r="1402" spans="1:3">
      <c r="A1402" s="2" t="s">
        <v>4130</v>
      </c>
      <c r="B1402" s="2" t="s">
        <v>38</v>
      </c>
      <c r="C1402" s="2">
        <v>1507</v>
      </c>
    </row>
    <row r="1403" spans="1:3">
      <c r="A1403" s="2" t="s">
        <v>1320</v>
      </c>
      <c r="B1403" s="2" t="s">
        <v>38</v>
      </c>
      <c r="C1403" s="2">
        <v>1505</v>
      </c>
    </row>
    <row r="1404" spans="1:3">
      <c r="A1404" s="2" t="s">
        <v>4063</v>
      </c>
      <c r="B1404" s="2" t="s">
        <v>38</v>
      </c>
      <c r="C1404" s="2">
        <v>1500</v>
      </c>
    </row>
    <row r="1405" spans="1:3">
      <c r="A1405" s="2" t="s">
        <v>2742</v>
      </c>
      <c r="B1405" s="2" t="s">
        <v>38</v>
      </c>
      <c r="C1405" s="2">
        <v>1491</v>
      </c>
    </row>
    <row r="1406" spans="1:3">
      <c r="A1406" s="2" t="s">
        <v>4093</v>
      </c>
      <c r="B1406" s="2" t="s">
        <v>38</v>
      </c>
      <c r="C1406" s="2">
        <v>1490</v>
      </c>
    </row>
    <row r="1407" spans="1:3">
      <c r="A1407" s="2" t="s">
        <v>3188</v>
      </c>
      <c r="B1407" s="2" t="s">
        <v>38</v>
      </c>
      <c r="C1407" s="2">
        <v>1489</v>
      </c>
    </row>
    <row r="1408" spans="1:3">
      <c r="A1408" s="2" t="s">
        <v>4831</v>
      </c>
      <c r="B1408" s="2" t="s">
        <v>38</v>
      </c>
      <c r="C1408" s="2">
        <v>1470</v>
      </c>
    </row>
    <row r="1409" spans="1:3">
      <c r="A1409" s="2" t="s">
        <v>2172</v>
      </c>
      <c r="B1409" s="2" t="s">
        <v>38</v>
      </c>
      <c r="C1409" s="2">
        <v>1469</v>
      </c>
    </row>
    <row r="1410" spans="1:3">
      <c r="A1410" s="2" t="s">
        <v>2860</v>
      </c>
      <c r="B1410" s="2" t="s">
        <v>38</v>
      </c>
      <c r="C1410" s="2">
        <v>1468</v>
      </c>
    </row>
    <row r="1411" spans="1:3">
      <c r="A1411" s="2" t="s">
        <v>4132</v>
      </c>
      <c r="B1411" s="2" t="s">
        <v>38</v>
      </c>
      <c r="C1411" s="2">
        <v>1457</v>
      </c>
    </row>
    <row r="1412" spans="1:3">
      <c r="A1412" s="2" t="s">
        <v>669</v>
      </c>
      <c r="B1412" s="2" t="s">
        <v>38</v>
      </c>
      <c r="C1412" s="2">
        <v>1453</v>
      </c>
    </row>
    <row r="1413" spans="1:3">
      <c r="A1413" s="2" t="s">
        <v>2857</v>
      </c>
      <c r="B1413" s="2" t="s">
        <v>38</v>
      </c>
      <c r="C1413" s="2">
        <v>1452</v>
      </c>
    </row>
    <row r="1414" spans="1:3">
      <c r="A1414" s="2" t="s">
        <v>1226</v>
      </c>
      <c r="B1414" s="2" t="s">
        <v>38</v>
      </c>
      <c r="C1414" s="2">
        <v>1438</v>
      </c>
    </row>
    <row r="1415" spans="1:3">
      <c r="A1415" s="2" t="s">
        <v>2750</v>
      </c>
      <c r="B1415" s="2" t="s">
        <v>38</v>
      </c>
      <c r="C1415" s="2">
        <v>1436</v>
      </c>
    </row>
    <row r="1416" spans="1:3">
      <c r="A1416" s="2" t="s">
        <v>1366</v>
      </c>
      <c r="B1416" s="2" t="s">
        <v>38</v>
      </c>
      <c r="C1416" s="2">
        <v>1433</v>
      </c>
    </row>
    <row r="1417" spans="1:3">
      <c r="A1417" s="2" t="s">
        <v>1430</v>
      </c>
      <c r="B1417" s="2" t="s">
        <v>38</v>
      </c>
      <c r="C1417" s="2">
        <v>1427</v>
      </c>
    </row>
    <row r="1418" spans="1:3">
      <c r="A1418" s="2" t="s">
        <v>1711</v>
      </c>
      <c r="B1418" s="2" t="s">
        <v>38</v>
      </c>
      <c r="C1418" s="2">
        <v>1419</v>
      </c>
    </row>
    <row r="1419" spans="1:3">
      <c r="A1419" s="2" t="s">
        <v>1766</v>
      </c>
      <c r="B1419" s="2" t="s">
        <v>38</v>
      </c>
      <c r="C1419" s="2">
        <v>1417</v>
      </c>
    </row>
    <row r="1420" spans="1:3">
      <c r="A1420" s="2" t="s">
        <v>1791</v>
      </c>
      <c r="B1420" s="2" t="s">
        <v>38</v>
      </c>
      <c r="C1420" s="2">
        <v>1411</v>
      </c>
    </row>
    <row r="1421" spans="1:3">
      <c r="A1421" s="2" t="s">
        <v>1750</v>
      </c>
      <c r="B1421" s="2" t="s">
        <v>38</v>
      </c>
      <c r="C1421" s="2">
        <v>1407</v>
      </c>
    </row>
    <row r="1422" spans="1:3">
      <c r="A1422" s="2" t="s">
        <v>3266</v>
      </c>
      <c r="B1422" s="2" t="s">
        <v>38</v>
      </c>
      <c r="C1422" s="2">
        <v>1399</v>
      </c>
    </row>
    <row r="1423" spans="1:3">
      <c r="A1423" s="2" t="s">
        <v>699</v>
      </c>
      <c r="B1423" s="2" t="s">
        <v>38</v>
      </c>
      <c r="C1423" s="2">
        <v>1396</v>
      </c>
    </row>
    <row r="1424" spans="1:3">
      <c r="A1424" s="2" t="s">
        <v>1444</v>
      </c>
      <c r="B1424" s="2" t="s">
        <v>38</v>
      </c>
      <c r="C1424" s="2">
        <v>1394</v>
      </c>
    </row>
    <row r="1425" spans="1:3">
      <c r="A1425" s="2" t="s">
        <v>3678</v>
      </c>
      <c r="B1425" s="2" t="s">
        <v>38</v>
      </c>
      <c r="C1425" s="2">
        <v>1393</v>
      </c>
    </row>
    <row r="1426" spans="1:3">
      <c r="A1426" s="2" t="s">
        <v>1428</v>
      </c>
      <c r="B1426" s="2" t="s">
        <v>38</v>
      </c>
      <c r="C1426" s="2">
        <v>1389</v>
      </c>
    </row>
    <row r="1427" spans="1:3">
      <c r="A1427" s="2" t="s">
        <v>2764</v>
      </c>
      <c r="B1427" s="2" t="s">
        <v>38</v>
      </c>
      <c r="C1427" s="2">
        <v>1385</v>
      </c>
    </row>
    <row r="1428" spans="1:3">
      <c r="A1428" s="2" t="s">
        <v>4790</v>
      </c>
      <c r="B1428" s="2" t="s">
        <v>38</v>
      </c>
      <c r="C1428" s="2">
        <v>1382</v>
      </c>
    </row>
    <row r="1429" spans="1:3">
      <c r="A1429" s="2" t="s">
        <v>1449</v>
      </c>
      <c r="B1429" s="2" t="s">
        <v>38</v>
      </c>
      <c r="C1429" s="2">
        <v>1382</v>
      </c>
    </row>
    <row r="1430" spans="1:3">
      <c r="A1430" s="2" t="s">
        <v>4777</v>
      </c>
      <c r="B1430" s="2" t="s">
        <v>38</v>
      </c>
      <c r="C1430" s="2">
        <v>1372</v>
      </c>
    </row>
    <row r="1431" spans="1:3">
      <c r="A1431" s="2" t="s">
        <v>2186</v>
      </c>
      <c r="B1431" s="2" t="s">
        <v>38</v>
      </c>
      <c r="C1431" s="2">
        <v>1364</v>
      </c>
    </row>
    <row r="1432" spans="1:3">
      <c r="A1432" s="2" t="s">
        <v>1764</v>
      </c>
      <c r="B1432" s="2" t="s">
        <v>38</v>
      </c>
      <c r="C1432" s="2">
        <v>1362</v>
      </c>
    </row>
    <row r="1433" spans="1:3">
      <c r="A1433" s="2" t="s">
        <v>576</v>
      </c>
      <c r="B1433" s="2" t="s">
        <v>38</v>
      </c>
      <c r="C1433" s="2">
        <v>1361</v>
      </c>
    </row>
    <row r="1434" spans="1:3">
      <c r="A1434" s="2" t="s">
        <v>2707</v>
      </c>
      <c r="B1434" s="2" t="s">
        <v>38</v>
      </c>
      <c r="C1434" s="2">
        <v>1355</v>
      </c>
    </row>
    <row r="1435" spans="1:3">
      <c r="A1435" s="2" t="s">
        <v>1716</v>
      </c>
      <c r="B1435" s="2" t="s">
        <v>38</v>
      </c>
      <c r="C1435" s="2">
        <v>1343</v>
      </c>
    </row>
    <row r="1436" spans="1:3">
      <c r="A1436" s="2" t="s">
        <v>1369</v>
      </c>
      <c r="B1436" s="2" t="s">
        <v>38</v>
      </c>
      <c r="C1436" s="2">
        <v>1334</v>
      </c>
    </row>
    <row r="1437" spans="1:3">
      <c r="A1437" s="2" t="s">
        <v>3310</v>
      </c>
      <c r="B1437" s="2" t="s">
        <v>38</v>
      </c>
      <c r="C1437" s="2">
        <v>1332</v>
      </c>
    </row>
    <row r="1438" spans="1:3">
      <c r="A1438" s="2" t="s">
        <v>2113</v>
      </c>
      <c r="B1438" s="2" t="s">
        <v>38</v>
      </c>
      <c r="C1438" s="2">
        <v>1325</v>
      </c>
    </row>
    <row r="1439" spans="1:3">
      <c r="A1439" s="2" t="s">
        <v>4819</v>
      </c>
      <c r="B1439" s="2" t="s">
        <v>38</v>
      </c>
      <c r="C1439" s="2">
        <v>1323</v>
      </c>
    </row>
    <row r="1440" spans="1:3">
      <c r="A1440" s="2" t="s">
        <v>442</v>
      </c>
      <c r="B1440" s="2" t="s">
        <v>38</v>
      </c>
      <c r="C1440" s="2">
        <v>1320</v>
      </c>
    </row>
    <row r="1441" spans="1:3">
      <c r="A1441" s="2" t="s">
        <v>1349</v>
      </c>
      <c r="B1441" s="2" t="s">
        <v>38</v>
      </c>
      <c r="C1441" s="2">
        <v>1317</v>
      </c>
    </row>
    <row r="1442" spans="1:3">
      <c r="A1442" s="2" t="s">
        <v>2251</v>
      </c>
      <c r="B1442" s="2" t="s">
        <v>38</v>
      </c>
      <c r="C1442" s="2">
        <v>1316</v>
      </c>
    </row>
    <row r="1443" spans="1:3">
      <c r="A1443" s="2" t="s">
        <v>4821</v>
      </c>
      <c r="B1443" s="2" t="s">
        <v>38</v>
      </c>
      <c r="C1443" s="2">
        <v>1313</v>
      </c>
    </row>
    <row r="1444" spans="1:3">
      <c r="A1444" s="2" t="s">
        <v>4397</v>
      </c>
      <c r="B1444" s="2" t="s">
        <v>38</v>
      </c>
      <c r="C1444" s="2">
        <v>1308</v>
      </c>
    </row>
    <row r="1445" spans="1:3">
      <c r="A1445" s="2" t="s">
        <v>4414</v>
      </c>
      <c r="B1445" s="2" t="s">
        <v>38</v>
      </c>
      <c r="C1445" s="2">
        <v>1300</v>
      </c>
    </row>
    <row r="1446" spans="1:3">
      <c r="A1446" s="2" t="s">
        <v>4111</v>
      </c>
      <c r="B1446" s="2" t="s">
        <v>38</v>
      </c>
      <c r="C1446" s="2">
        <v>1291</v>
      </c>
    </row>
    <row r="1447" spans="1:3">
      <c r="A1447" s="2" t="s">
        <v>2732</v>
      </c>
      <c r="B1447" s="2" t="s">
        <v>38</v>
      </c>
      <c r="C1447" s="2">
        <v>1282</v>
      </c>
    </row>
    <row r="1448" spans="1:3">
      <c r="A1448" s="2" t="s">
        <v>4811</v>
      </c>
      <c r="B1448" s="2" t="s">
        <v>38</v>
      </c>
      <c r="C1448" s="2">
        <v>1282</v>
      </c>
    </row>
    <row r="1449" spans="1:3">
      <c r="A1449" s="2" t="s">
        <v>2247</v>
      </c>
      <c r="B1449" s="2" t="s">
        <v>38</v>
      </c>
      <c r="C1449" s="2">
        <v>1280</v>
      </c>
    </row>
    <row r="1450" spans="1:3">
      <c r="A1450" s="2" t="s">
        <v>4724</v>
      </c>
      <c r="B1450" s="2" t="s">
        <v>38</v>
      </c>
      <c r="C1450" s="2">
        <v>1278</v>
      </c>
    </row>
    <row r="1451" spans="1:3">
      <c r="A1451" s="2" t="s">
        <v>1351</v>
      </c>
      <c r="B1451" s="2" t="s">
        <v>38</v>
      </c>
      <c r="C1451" s="2">
        <v>1271</v>
      </c>
    </row>
    <row r="1452" spans="1:3">
      <c r="A1452" s="2" t="s">
        <v>436</v>
      </c>
      <c r="B1452" s="2" t="s">
        <v>38</v>
      </c>
      <c r="C1452" s="2">
        <v>1271</v>
      </c>
    </row>
    <row r="1453" spans="1:3">
      <c r="A1453" s="2" t="s">
        <v>1304</v>
      </c>
      <c r="B1453" s="2" t="s">
        <v>38</v>
      </c>
      <c r="C1453" s="2">
        <v>1270</v>
      </c>
    </row>
    <row r="1454" spans="1:3">
      <c r="A1454" s="2" t="s">
        <v>1760</v>
      </c>
      <c r="B1454" s="2" t="s">
        <v>38</v>
      </c>
      <c r="C1454" s="2">
        <v>1261</v>
      </c>
    </row>
    <row r="1455" spans="1:3">
      <c r="A1455" s="2" t="s">
        <v>3136</v>
      </c>
      <c r="B1455" s="2" t="s">
        <v>38</v>
      </c>
      <c r="C1455" s="2">
        <v>1250</v>
      </c>
    </row>
    <row r="1456" spans="1:3">
      <c r="A1456" s="2" t="s">
        <v>4389</v>
      </c>
      <c r="B1456" s="2" t="s">
        <v>38</v>
      </c>
      <c r="C1456" s="2">
        <v>1248</v>
      </c>
    </row>
    <row r="1457" spans="1:3">
      <c r="A1457" s="2" t="s">
        <v>2700</v>
      </c>
      <c r="B1457" s="2" t="s">
        <v>38</v>
      </c>
      <c r="C1457" s="2">
        <v>1244</v>
      </c>
    </row>
    <row r="1458" spans="1:3">
      <c r="A1458" s="2" t="s">
        <v>4758</v>
      </c>
      <c r="B1458" s="2" t="s">
        <v>38</v>
      </c>
      <c r="C1458" s="2">
        <v>1242</v>
      </c>
    </row>
    <row r="1459" spans="1:3">
      <c r="A1459" s="2" t="s">
        <v>2267</v>
      </c>
      <c r="B1459" s="2" t="s">
        <v>38</v>
      </c>
      <c r="C1459" s="2">
        <v>1241</v>
      </c>
    </row>
    <row r="1460" spans="1:3">
      <c r="A1460" s="2" t="s">
        <v>3171</v>
      </c>
      <c r="B1460" s="2" t="s">
        <v>38</v>
      </c>
      <c r="C1460" s="2">
        <v>1241</v>
      </c>
    </row>
    <row r="1461" spans="1:3">
      <c r="A1461" s="2" t="s">
        <v>1436</v>
      </c>
      <c r="B1461" s="2" t="s">
        <v>38</v>
      </c>
      <c r="C1461" s="2">
        <v>1238</v>
      </c>
    </row>
    <row r="1462" spans="1:3">
      <c r="A1462" s="2" t="s">
        <v>1407</v>
      </c>
      <c r="B1462" s="2" t="s">
        <v>38</v>
      </c>
      <c r="C1462" s="2">
        <v>1237</v>
      </c>
    </row>
    <row r="1463" spans="1:3">
      <c r="A1463" s="2" t="s">
        <v>1734</v>
      </c>
      <c r="B1463" s="2" t="s">
        <v>38</v>
      </c>
      <c r="C1463" s="2">
        <v>1236</v>
      </c>
    </row>
    <row r="1464" spans="1:3">
      <c r="A1464" s="2" t="s">
        <v>2117</v>
      </c>
      <c r="B1464" s="2" t="s">
        <v>38</v>
      </c>
      <c r="C1464" s="2">
        <v>1233</v>
      </c>
    </row>
    <row r="1465" spans="1:3">
      <c r="A1465" s="2" t="s">
        <v>2853</v>
      </c>
      <c r="B1465" s="2" t="s">
        <v>38</v>
      </c>
      <c r="C1465" s="2">
        <v>1228</v>
      </c>
    </row>
    <row r="1466" spans="1:3">
      <c r="A1466" s="2" t="s">
        <v>1404</v>
      </c>
      <c r="B1466" s="2" t="s">
        <v>38</v>
      </c>
      <c r="C1466" s="2">
        <v>1226</v>
      </c>
    </row>
    <row r="1467" spans="1:3">
      <c r="A1467" s="2" t="s">
        <v>4120</v>
      </c>
      <c r="B1467" s="2" t="s">
        <v>38</v>
      </c>
      <c r="C1467" s="2">
        <v>1216</v>
      </c>
    </row>
    <row r="1468" spans="1:3">
      <c r="A1468" s="2" t="s">
        <v>3703</v>
      </c>
      <c r="B1468" s="2" t="s">
        <v>38</v>
      </c>
      <c r="C1468" s="2">
        <v>1204</v>
      </c>
    </row>
    <row r="1469" spans="1:3">
      <c r="A1469" s="2" t="s">
        <v>1768</v>
      </c>
      <c r="B1469" s="2" t="s">
        <v>38</v>
      </c>
      <c r="C1469" s="2">
        <v>1202</v>
      </c>
    </row>
    <row r="1470" spans="1:3">
      <c r="A1470" s="2" t="s">
        <v>2663</v>
      </c>
      <c r="B1470" s="2" t="s">
        <v>38</v>
      </c>
      <c r="C1470" s="2">
        <v>1202</v>
      </c>
    </row>
    <row r="1471" spans="1:3">
      <c r="A1471" s="2" t="s">
        <v>2261</v>
      </c>
      <c r="B1471" s="2" t="s">
        <v>38</v>
      </c>
      <c r="C1471" s="2">
        <v>1200</v>
      </c>
    </row>
    <row r="1472" spans="1:3">
      <c r="A1472" s="2" t="s">
        <v>494</v>
      </c>
      <c r="B1472" s="2" t="s">
        <v>38</v>
      </c>
      <c r="C1472" s="2">
        <v>1200</v>
      </c>
    </row>
    <row r="1473" spans="1:3">
      <c r="A1473" s="2" t="s">
        <v>2256</v>
      </c>
      <c r="B1473" s="2" t="s">
        <v>38</v>
      </c>
      <c r="C1473" s="2">
        <v>1191</v>
      </c>
    </row>
    <row r="1474" spans="1:3">
      <c r="A1474" s="2" t="s">
        <v>2095</v>
      </c>
      <c r="B1474" s="2" t="s">
        <v>38</v>
      </c>
      <c r="C1474" s="2">
        <v>1187</v>
      </c>
    </row>
    <row r="1475" spans="1:3">
      <c r="A1475" s="2" t="s">
        <v>4087</v>
      </c>
      <c r="B1475" s="2" t="s">
        <v>38</v>
      </c>
      <c r="C1475" s="2">
        <v>1185</v>
      </c>
    </row>
    <row r="1476" spans="1:3">
      <c r="A1476" s="2" t="s">
        <v>4712</v>
      </c>
      <c r="B1476" s="2" t="s">
        <v>38</v>
      </c>
      <c r="C1476" s="2">
        <v>1179</v>
      </c>
    </row>
    <row r="1477" spans="1:3">
      <c r="A1477" s="2" t="s">
        <v>1721</v>
      </c>
      <c r="B1477" s="2" t="s">
        <v>38</v>
      </c>
      <c r="C1477" s="2">
        <v>1175</v>
      </c>
    </row>
    <row r="1478" spans="1:3">
      <c r="A1478" s="2" t="s">
        <v>3252</v>
      </c>
      <c r="B1478" s="2" t="s">
        <v>38</v>
      </c>
      <c r="C1478" s="2">
        <v>1170</v>
      </c>
    </row>
    <row r="1479" spans="1:3">
      <c r="A1479" s="2" t="s">
        <v>582</v>
      </c>
      <c r="B1479" s="2" t="s">
        <v>38</v>
      </c>
      <c r="C1479" s="2">
        <v>1166</v>
      </c>
    </row>
    <row r="1480" spans="1:3">
      <c r="A1480" s="2" t="s">
        <v>1728</v>
      </c>
      <c r="B1480" s="2" t="s">
        <v>38</v>
      </c>
      <c r="C1480" s="2">
        <v>1165</v>
      </c>
    </row>
    <row r="1481" spans="1:3">
      <c r="A1481" s="2" t="s">
        <v>1267</v>
      </c>
      <c r="B1481" s="2" t="s">
        <v>38</v>
      </c>
      <c r="C1481" s="2">
        <v>1158</v>
      </c>
    </row>
    <row r="1482" spans="1:3">
      <c r="A1482" s="2" t="s">
        <v>4122</v>
      </c>
      <c r="B1482" s="2" t="s">
        <v>38</v>
      </c>
      <c r="C1482" s="2">
        <v>1157</v>
      </c>
    </row>
    <row r="1483" spans="1:3">
      <c r="A1483" s="2" t="s">
        <v>1423</v>
      </c>
      <c r="B1483" s="2" t="s">
        <v>38</v>
      </c>
      <c r="C1483" s="2">
        <v>1148</v>
      </c>
    </row>
    <row r="1484" spans="1:3">
      <c r="A1484" s="2" t="s">
        <v>4099</v>
      </c>
      <c r="B1484" s="2" t="s">
        <v>38</v>
      </c>
      <c r="C1484" s="2">
        <v>1142</v>
      </c>
    </row>
    <row r="1485" spans="1:3">
      <c r="A1485" s="2" t="s">
        <v>1421</v>
      </c>
      <c r="B1485" s="2" t="s">
        <v>38</v>
      </c>
      <c r="C1485" s="2">
        <v>1135</v>
      </c>
    </row>
    <row r="1486" spans="1:3">
      <c r="A1486" s="2" t="s">
        <v>2730</v>
      </c>
      <c r="B1486" s="2" t="s">
        <v>38</v>
      </c>
      <c r="C1486" s="2">
        <v>1132</v>
      </c>
    </row>
    <row r="1487" spans="1:3">
      <c r="A1487" s="2" t="s">
        <v>570</v>
      </c>
      <c r="B1487" s="2" t="s">
        <v>38</v>
      </c>
      <c r="C1487" s="2">
        <v>1126</v>
      </c>
    </row>
    <row r="1488" spans="1:3">
      <c r="A1488" s="2" t="s">
        <v>1742</v>
      </c>
      <c r="B1488" s="2" t="s">
        <v>38</v>
      </c>
      <c r="C1488" s="2">
        <v>1124</v>
      </c>
    </row>
    <row r="1489" spans="1:3">
      <c r="A1489" s="2" t="s">
        <v>588</v>
      </c>
      <c r="B1489" s="2" t="s">
        <v>38</v>
      </c>
      <c r="C1489" s="2">
        <v>1121</v>
      </c>
    </row>
    <row r="1490" spans="1:3">
      <c r="A1490" s="2" t="s">
        <v>2110</v>
      </c>
      <c r="B1490" s="2" t="s">
        <v>38</v>
      </c>
      <c r="C1490" s="2">
        <v>1110</v>
      </c>
    </row>
    <row r="1491" spans="1:3">
      <c r="A1491" s="2" t="s">
        <v>1419</v>
      </c>
      <c r="B1491" s="2" t="s">
        <v>38</v>
      </c>
      <c r="C1491" s="2">
        <v>1109</v>
      </c>
    </row>
    <row r="1492" spans="1:3">
      <c r="A1492" s="2" t="s">
        <v>1795</v>
      </c>
      <c r="B1492" s="2" t="s">
        <v>38</v>
      </c>
      <c r="C1492" s="2">
        <v>1102</v>
      </c>
    </row>
    <row r="1493" spans="1:3">
      <c r="A1493" s="2" t="s">
        <v>4115</v>
      </c>
      <c r="B1493" s="2" t="s">
        <v>38</v>
      </c>
      <c r="C1493" s="2">
        <v>1098</v>
      </c>
    </row>
    <row r="1494" spans="1:3">
      <c r="A1494" s="2" t="s">
        <v>2773</v>
      </c>
      <c r="B1494" s="2" t="s">
        <v>38</v>
      </c>
      <c r="C1494" s="2">
        <v>1088</v>
      </c>
    </row>
    <row r="1495" spans="1:3">
      <c r="A1495" s="2" t="s">
        <v>1787</v>
      </c>
      <c r="B1495" s="2" t="s">
        <v>38</v>
      </c>
      <c r="C1495" s="2">
        <v>1083</v>
      </c>
    </row>
    <row r="1496" spans="1:3">
      <c r="A1496" s="2" t="s">
        <v>1325</v>
      </c>
      <c r="B1496" s="2" t="s">
        <v>38</v>
      </c>
      <c r="C1496" s="2">
        <v>1073</v>
      </c>
    </row>
    <row r="1497" spans="1:3">
      <c r="A1497" s="2" t="s">
        <v>445</v>
      </c>
      <c r="B1497" s="2" t="s">
        <v>38</v>
      </c>
      <c r="C1497" s="2">
        <v>1058</v>
      </c>
    </row>
    <row r="1498" spans="1:3">
      <c r="A1498" s="2" t="s">
        <v>2201</v>
      </c>
      <c r="B1498" s="2" t="s">
        <v>38</v>
      </c>
      <c r="C1498" s="2">
        <v>1055</v>
      </c>
    </row>
    <row r="1499" spans="1:3">
      <c r="A1499" s="2" t="s">
        <v>4392</v>
      </c>
      <c r="B1499" s="2" t="s">
        <v>38</v>
      </c>
      <c r="C1499" s="2">
        <v>1052</v>
      </c>
    </row>
    <row r="1500" spans="1:3">
      <c r="A1500" s="2" t="s">
        <v>3615</v>
      </c>
      <c r="B1500" s="2" t="s">
        <v>38</v>
      </c>
      <c r="C1500" s="2">
        <v>1050</v>
      </c>
    </row>
    <row r="1501" spans="1:3">
      <c r="A1501" s="2" t="s">
        <v>3697</v>
      </c>
      <c r="B1501" s="2" t="s">
        <v>38</v>
      </c>
      <c r="C1501" s="2">
        <v>1037</v>
      </c>
    </row>
    <row r="1502" spans="1:3">
      <c r="A1502" s="2" t="s">
        <v>3722</v>
      </c>
      <c r="B1502" s="2" t="s">
        <v>38</v>
      </c>
      <c r="C1502" s="2">
        <v>1036</v>
      </c>
    </row>
    <row r="1503" spans="1:3">
      <c r="A1503" s="2" t="s">
        <v>3181</v>
      </c>
      <c r="B1503" s="2" t="s">
        <v>38</v>
      </c>
      <c r="C1503" s="2">
        <v>1026</v>
      </c>
    </row>
    <row r="1504" spans="1:3">
      <c r="A1504" s="2" t="s">
        <v>1328</v>
      </c>
      <c r="B1504" s="2" t="s">
        <v>38</v>
      </c>
      <c r="C1504" s="2">
        <v>1025</v>
      </c>
    </row>
    <row r="1505" spans="1:3">
      <c r="A1505" s="2" t="s">
        <v>4751</v>
      </c>
      <c r="B1505" s="2" t="s">
        <v>38</v>
      </c>
      <c r="C1505" s="2">
        <v>1021</v>
      </c>
    </row>
    <row r="1506" spans="1:3">
      <c r="A1506" s="2" t="s">
        <v>3148</v>
      </c>
      <c r="B1506" s="2" t="s">
        <v>38</v>
      </c>
      <c r="C1506" s="2">
        <v>1017</v>
      </c>
    </row>
    <row r="1507" spans="1:3">
      <c r="A1507" s="2" t="s">
        <v>2253</v>
      </c>
      <c r="B1507" s="2" t="s">
        <v>38</v>
      </c>
      <c r="C1507" s="2">
        <v>1013</v>
      </c>
    </row>
    <row r="1508" spans="1:3">
      <c r="A1508" s="2" t="s">
        <v>1334</v>
      </c>
      <c r="B1508" s="2" t="s">
        <v>38</v>
      </c>
      <c r="C1508" s="2">
        <v>1013</v>
      </c>
    </row>
    <row r="1509" spans="1:3">
      <c r="A1509" s="2" t="s">
        <v>4381</v>
      </c>
      <c r="B1509" s="2" t="s">
        <v>38</v>
      </c>
      <c r="C1509" s="2">
        <v>1009</v>
      </c>
    </row>
    <row r="1510" spans="1:3">
      <c r="A1510" s="2" t="s">
        <v>2240</v>
      </c>
      <c r="B1510" s="2" t="s">
        <v>38</v>
      </c>
      <c r="C1510" s="2">
        <v>1006</v>
      </c>
    </row>
    <row r="1511" spans="1:3">
      <c r="A1511" s="2" t="s">
        <v>4825</v>
      </c>
      <c r="B1511" s="2" t="s">
        <v>38</v>
      </c>
      <c r="C1511" s="2">
        <v>1005</v>
      </c>
    </row>
    <row r="1512" spans="1:3">
      <c r="A1512" s="2" t="s">
        <v>3263</v>
      </c>
      <c r="B1512" s="2" t="s">
        <v>38</v>
      </c>
      <c r="C1512" s="2">
        <v>1001</v>
      </c>
    </row>
    <row r="1513" spans="1:3">
      <c r="A1513" s="2" t="s">
        <v>2866</v>
      </c>
      <c r="B1513" s="2" t="s">
        <v>38</v>
      </c>
      <c r="C1513" s="2">
        <v>1001</v>
      </c>
    </row>
    <row r="1514" spans="1:3">
      <c r="A1514" s="2" t="s">
        <v>3255</v>
      </c>
      <c r="B1514" s="2" t="s">
        <v>38</v>
      </c>
      <c r="C1514" s="2">
        <v>1001</v>
      </c>
    </row>
    <row r="1515" spans="1:3">
      <c r="A1515" s="2" t="s">
        <v>4384</v>
      </c>
      <c r="B1515" s="2" t="s">
        <v>38</v>
      </c>
      <c r="C1515" s="2">
        <v>995</v>
      </c>
    </row>
    <row r="1516" spans="1:3">
      <c r="A1516" s="2" t="s">
        <v>2843</v>
      </c>
      <c r="B1516" s="2" t="s">
        <v>38</v>
      </c>
      <c r="C1516" s="2">
        <v>981</v>
      </c>
    </row>
    <row r="1517" spans="1:3">
      <c r="A1517" s="2" t="s">
        <v>4403</v>
      </c>
      <c r="B1517" s="2" t="s">
        <v>38</v>
      </c>
      <c r="C1517" s="2">
        <v>978</v>
      </c>
    </row>
    <row r="1518" spans="1:3">
      <c r="A1518" s="2" t="s">
        <v>468</v>
      </c>
      <c r="B1518" s="2" t="s">
        <v>38</v>
      </c>
      <c r="C1518" s="2">
        <v>978</v>
      </c>
    </row>
    <row r="1519" spans="1:3">
      <c r="A1519" s="2" t="s">
        <v>4085</v>
      </c>
      <c r="B1519" s="2" t="s">
        <v>38</v>
      </c>
      <c r="C1519" s="2">
        <v>973</v>
      </c>
    </row>
    <row r="1520" spans="1:3">
      <c r="A1520" s="2" t="s">
        <v>3234</v>
      </c>
      <c r="B1520" s="2" t="s">
        <v>38</v>
      </c>
      <c r="C1520" s="2">
        <v>973</v>
      </c>
    </row>
    <row r="1521" spans="1:3">
      <c r="A1521" s="2" t="s">
        <v>3611</v>
      </c>
      <c r="B1521" s="2" t="s">
        <v>38</v>
      </c>
      <c r="C1521" s="2">
        <v>972</v>
      </c>
    </row>
    <row r="1522" spans="1:3">
      <c r="A1522" s="2" t="s">
        <v>1446</v>
      </c>
      <c r="B1522" s="2" t="s">
        <v>38</v>
      </c>
      <c r="C1522" s="2">
        <v>950</v>
      </c>
    </row>
    <row r="1523" spans="1:3">
      <c r="A1523" s="2" t="s">
        <v>1756</v>
      </c>
      <c r="B1523" s="2" t="s">
        <v>38</v>
      </c>
      <c r="C1523" s="2">
        <v>950</v>
      </c>
    </row>
    <row r="1524" spans="1:3">
      <c r="A1524" s="2" t="s">
        <v>480</v>
      </c>
      <c r="B1524" s="2" t="s">
        <v>38</v>
      </c>
      <c r="C1524" s="2">
        <v>939</v>
      </c>
    </row>
    <row r="1525" spans="1:3">
      <c r="A1525" s="2" t="s">
        <v>1354</v>
      </c>
      <c r="B1525" s="2" t="s">
        <v>38</v>
      </c>
      <c r="C1525" s="2">
        <v>938</v>
      </c>
    </row>
    <row r="1526" spans="1:3">
      <c r="A1526" s="2" t="s">
        <v>521</v>
      </c>
      <c r="B1526" s="2" t="s">
        <v>38</v>
      </c>
      <c r="C1526" s="2">
        <v>929</v>
      </c>
    </row>
    <row r="1527" spans="1:3">
      <c r="A1527" s="2" t="s">
        <v>1258</v>
      </c>
      <c r="B1527" s="2" t="s">
        <v>38</v>
      </c>
      <c r="C1527" s="2">
        <v>916</v>
      </c>
    </row>
    <row r="1528" spans="1:3">
      <c r="A1528" s="2" t="s">
        <v>2272</v>
      </c>
      <c r="B1528" s="2" t="s">
        <v>38</v>
      </c>
      <c r="C1528" s="2">
        <v>912</v>
      </c>
    </row>
    <row r="1529" spans="1:3">
      <c r="A1529" s="2" t="s">
        <v>4748</v>
      </c>
      <c r="B1529" s="2" t="s">
        <v>38</v>
      </c>
      <c r="C1529" s="2">
        <v>906</v>
      </c>
    </row>
    <row r="1530" spans="1:3">
      <c r="A1530" s="2" t="s">
        <v>4089</v>
      </c>
      <c r="B1530" s="2" t="s">
        <v>38</v>
      </c>
      <c r="C1530" s="2">
        <v>901</v>
      </c>
    </row>
    <row r="1531" spans="1:3">
      <c r="A1531" s="2" t="s">
        <v>3675</v>
      </c>
      <c r="B1531" s="2" t="s">
        <v>38</v>
      </c>
      <c r="C1531" s="2">
        <v>899</v>
      </c>
    </row>
    <row r="1532" spans="1:3">
      <c r="A1532" s="2" t="s">
        <v>3178</v>
      </c>
      <c r="B1532" s="2" t="s">
        <v>38</v>
      </c>
      <c r="C1532" s="2">
        <v>896</v>
      </c>
    </row>
    <row r="1533" spans="1:3">
      <c r="A1533" s="2" t="s">
        <v>1736</v>
      </c>
      <c r="B1533" s="2" t="s">
        <v>38</v>
      </c>
      <c r="C1533" s="2">
        <v>888</v>
      </c>
    </row>
    <row r="1534" spans="1:3">
      <c r="A1534" s="2" t="s">
        <v>1442</v>
      </c>
      <c r="B1534" s="2" t="s">
        <v>38</v>
      </c>
      <c r="C1534" s="2">
        <v>887</v>
      </c>
    </row>
    <row r="1535" spans="1:3">
      <c r="A1535" s="2" t="s">
        <v>579</v>
      </c>
      <c r="B1535" s="2" t="s">
        <v>38</v>
      </c>
      <c r="C1535" s="2">
        <v>887</v>
      </c>
    </row>
    <row r="1536" spans="1:3">
      <c r="A1536" s="2" t="s">
        <v>1310</v>
      </c>
      <c r="B1536" s="2" t="s">
        <v>38</v>
      </c>
      <c r="C1536" s="2">
        <v>884</v>
      </c>
    </row>
    <row r="1537" spans="1:3">
      <c r="A1537" s="2" t="s">
        <v>1307</v>
      </c>
      <c r="B1537" s="2" t="s">
        <v>38</v>
      </c>
      <c r="C1537" s="2">
        <v>882</v>
      </c>
    </row>
    <row r="1538" spans="1:3">
      <c r="A1538" s="2" t="s">
        <v>4041</v>
      </c>
      <c r="B1538" s="2" t="s">
        <v>38</v>
      </c>
      <c r="C1538" s="2">
        <v>878</v>
      </c>
    </row>
    <row r="1539" spans="1:3">
      <c r="A1539" s="2" t="s">
        <v>3712</v>
      </c>
      <c r="B1539" s="2" t="s">
        <v>38</v>
      </c>
      <c r="C1539" s="2">
        <v>876</v>
      </c>
    </row>
    <row r="1540" spans="1:3">
      <c r="A1540" s="2" t="s">
        <v>2762</v>
      </c>
      <c r="B1540" s="2" t="s">
        <v>38</v>
      </c>
      <c r="C1540" s="2">
        <v>871</v>
      </c>
    </row>
    <row r="1541" spans="1:3">
      <c r="A1541" s="2" t="s">
        <v>4760</v>
      </c>
      <c r="B1541" s="2" t="s">
        <v>38</v>
      </c>
      <c r="C1541" s="2">
        <v>869</v>
      </c>
    </row>
    <row r="1542" spans="1:3">
      <c r="A1542" s="2" t="s">
        <v>4072</v>
      </c>
      <c r="B1542" s="2" t="s">
        <v>38</v>
      </c>
      <c r="C1542" s="2">
        <v>869</v>
      </c>
    </row>
    <row r="1543" spans="1:3">
      <c r="A1543" s="2" t="s">
        <v>1313</v>
      </c>
      <c r="B1543" s="2" t="s">
        <v>38</v>
      </c>
      <c r="C1543" s="2">
        <v>860</v>
      </c>
    </row>
    <row r="1544" spans="1:3">
      <c r="A1544" s="2" t="s">
        <v>663</v>
      </c>
      <c r="B1544" s="2" t="s">
        <v>38</v>
      </c>
      <c r="C1544" s="2">
        <v>860</v>
      </c>
    </row>
    <row r="1545" spans="1:3">
      <c r="A1545" s="2" t="s">
        <v>3671</v>
      </c>
      <c r="B1545" s="2" t="s">
        <v>38</v>
      </c>
      <c r="C1545" s="2">
        <v>857</v>
      </c>
    </row>
    <row r="1546" spans="1:3">
      <c r="A1546" s="2" t="s">
        <v>3236</v>
      </c>
      <c r="B1546" s="2" t="s">
        <v>38</v>
      </c>
      <c r="C1546" s="2">
        <v>849</v>
      </c>
    </row>
    <row r="1547" spans="1:3">
      <c r="A1547" s="2" t="s">
        <v>573</v>
      </c>
      <c r="B1547" s="2" t="s">
        <v>38</v>
      </c>
      <c r="C1547" s="2">
        <v>846</v>
      </c>
    </row>
    <row r="1548" spans="1:3">
      <c r="A1548" s="2" t="s">
        <v>1740</v>
      </c>
      <c r="B1548" s="2" t="s">
        <v>38</v>
      </c>
      <c r="C1548" s="2">
        <v>845</v>
      </c>
    </row>
    <row r="1549" spans="1:3">
      <c r="A1549" s="2" t="s">
        <v>2133</v>
      </c>
      <c r="B1549" s="2" t="s">
        <v>38</v>
      </c>
      <c r="C1549" s="2">
        <v>839</v>
      </c>
    </row>
    <row r="1550" spans="1:3">
      <c r="A1550" s="2" t="s">
        <v>2785</v>
      </c>
      <c r="B1550" s="2" t="s">
        <v>38</v>
      </c>
      <c r="C1550" s="2">
        <v>839</v>
      </c>
    </row>
    <row r="1551" spans="1:3">
      <c r="A1551" s="2" t="s">
        <v>4038</v>
      </c>
      <c r="B1551" s="2" t="s">
        <v>38</v>
      </c>
      <c r="C1551" s="2">
        <v>833</v>
      </c>
    </row>
    <row r="1552" spans="1:3">
      <c r="A1552" s="2" t="s">
        <v>3644</v>
      </c>
      <c r="B1552" s="2" t="s">
        <v>38</v>
      </c>
      <c r="C1552" s="2">
        <v>826</v>
      </c>
    </row>
    <row r="1553" spans="1:3">
      <c r="A1553" s="2" t="s">
        <v>4394</v>
      </c>
      <c r="B1553" s="2" t="s">
        <v>38</v>
      </c>
      <c r="C1553" s="2">
        <v>821</v>
      </c>
    </row>
    <row r="1554" spans="1:3">
      <c r="A1554" s="2" t="s">
        <v>1451</v>
      </c>
      <c r="B1554" s="2" t="s">
        <v>38</v>
      </c>
      <c r="C1554" s="2">
        <v>818</v>
      </c>
    </row>
    <row r="1555" spans="1:3">
      <c r="A1555" s="2" t="s">
        <v>1339</v>
      </c>
      <c r="B1555" s="2" t="s">
        <v>38</v>
      </c>
      <c r="C1555" s="2">
        <v>818</v>
      </c>
    </row>
    <row r="1556" spans="1:3">
      <c r="A1556" s="2" t="s">
        <v>3298</v>
      </c>
      <c r="B1556" s="2" t="s">
        <v>38</v>
      </c>
      <c r="C1556" s="2">
        <v>818</v>
      </c>
    </row>
    <row r="1557" spans="1:3">
      <c r="A1557" s="2" t="s">
        <v>3289</v>
      </c>
      <c r="B1557" s="2" t="s">
        <v>38</v>
      </c>
      <c r="C1557" s="2">
        <v>801</v>
      </c>
    </row>
    <row r="1558" spans="1:3">
      <c r="A1558" s="2" t="s">
        <v>4792</v>
      </c>
      <c r="B1558" s="2" t="s">
        <v>38</v>
      </c>
      <c r="C1558" s="2">
        <v>798</v>
      </c>
    </row>
    <row r="1559" spans="1:3">
      <c r="A1559" s="2" t="s">
        <v>3707</v>
      </c>
      <c r="B1559" s="2" t="s">
        <v>38</v>
      </c>
      <c r="C1559" s="2">
        <v>794</v>
      </c>
    </row>
    <row r="1560" spans="1:3">
      <c r="A1560" s="2" t="s">
        <v>4841</v>
      </c>
      <c r="B1560" s="2" t="s">
        <v>38</v>
      </c>
      <c r="C1560" s="2">
        <v>792</v>
      </c>
    </row>
    <row r="1561" spans="1:3">
      <c r="A1561" s="2" t="s">
        <v>3249</v>
      </c>
      <c r="B1561" s="2" t="s">
        <v>38</v>
      </c>
      <c r="C1561" s="2">
        <v>791</v>
      </c>
    </row>
    <row r="1562" spans="1:3">
      <c r="A1562" s="2" t="s">
        <v>4031</v>
      </c>
      <c r="B1562" s="2" t="s">
        <v>38</v>
      </c>
      <c r="C1562" s="2">
        <v>791</v>
      </c>
    </row>
    <row r="1563" spans="1:3">
      <c r="A1563" s="2" t="s">
        <v>1744</v>
      </c>
      <c r="B1563" s="2" t="s">
        <v>38</v>
      </c>
      <c r="C1563" s="2">
        <v>788</v>
      </c>
    </row>
    <row r="1564" spans="1:3">
      <c r="A1564" s="2" t="s">
        <v>3162</v>
      </c>
      <c r="B1564" s="2" t="s">
        <v>38</v>
      </c>
      <c r="C1564" s="2">
        <v>787</v>
      </c>
    </row>
    <row r="1565" spans="1:3">
      <c r="A1565" s="2" t="s">
        <v>4728</v>
      </c>
      <c r="B1565" s="2" t="s">
        <v>38</v>
      </c>
      <c r="C1565" s="2">
        <v>783</v>
      </c>
    </row>
    <row r="1566" spans="1:3">
      <c r="A1566" s="2" t="s">
        <v>1332</v>
      </c>
      <c r="B1566" s="2" t="s">
        <v>38</v>
      </c>
      <c r="C1566" s="2">
        <v>776</v>
      </c>
    </row>
    <row r="1567" spans="1:3">
      <c r="A1567" s="2" t="s">
        <v>626</v>
      </c>
      <c r="B1567" s="2" t="s">
        <v>38</v>
      </c>
      <c r="C1567" s="2">
        <v>772</v>
      </c>
    </row>
    <row r="1568" spans="1:3">
      <c r="A1568" s="2" t="s">
        <v>2193</v>
      </c>
      <c r="B1568" s="2" t="s">
        <v>38</v>
      </c>
      <c r="C1568" s="2">
        <v>770</v>
      </c>
    </row>
    <row r="1569" spans="1:3">
      <c r="A1569" s="2" t="s">
        <v>1253</v>
      </c>
      <c r="B1569" s="2" t="s">
        <v>38</v>
      </c>
      <c r="C1569" s="2">
        <v>769</v>
      </c>
    </row>
    <row r="1570" spans="1:3">
      <c r="A1570" s="2" t="s">
        <v>4835</v>
      </c>
      <c r="B1570" s="2" t="s">
        <v>38</v>
      </c>
      <c r="C1570" s="2">
        <v>769</v>
      </c>
    </row>
    <row r="1571" spans="1:3">
      <c r="A1571" s="2" t="s">
        <v>474</v>
      </c>
      <c r="B1571" s="2" t="s">
        <v>38</v>
      </c>
      <c r="C1571" s="2">
        <v>768</v>
      </c>
    </row>
    <row r="1572" spans="1:3">
      <c r="A1572" s="2" t="s">
        <v>4412</v>
      </c>
      <c r="B1572" s="2" t="s">
        <v>38</v>
      </c>
      <c r="C1572" s="2">
        <v>762</v>
      </c>
    </row>
    <row r="1573" spans="1:3">
      <c r="A1573" s="2" t="s">
        <v>1778</v>
      </c>
      <c r="B1573" s="2" t="s">
        <v>38</v>
      </c>
      <c r="C1573" s="2">
        <v>762</v>
      </c>
    </row>
    <row r="1574" spans="1:3">
      <c r="A1574" s="2" t="s">
        <v>3664</v>
      </c>
      <c r="B1574" s="2" t="s">
        <v>38</v>
      </c>
      <c r="C1574" s="2">
        <v>761</v>
      </c>
    </row>
    <row r="1575" spans="1:3">
      <c r="A1575" s="2" t="s">
        <v>4784</v>
      </c>
      <c r="B1575" s="2" t="s">
        <v>38</v>
      </c>
      <c r="C1575" s="2">
        <v>756</v>
      </c>
    </row>
    <row r="1576" spans="1:3">
      <c r="A1576" s="2" t="s">
        <v>3684</v>
      </c>
      <c r="B1576" s="2" t="s">
        <v>38</v>
      </c>
      <c r="C1576" s="2">
        <v>753</v>
      </c>
    </row>
    <row r="1577" spans="1:3">
      <c r="A1577" s="2" t="s">
        <v>4141</v>
      </c>
      <c r="B1577" s="2" t="s">
        <v>38</v>
      </c>
      <c r="C1577" s="2">
        <v>749</v>
      </c>
    </row>
    <row r="1578" spans="1:3">
      <c r="A1578" s="2" t="s">
        <v>4126</v>
      </c>
      <c r="B1578" s="2" t="s">
        <v>38</v>
      </c>
      <c r="C1578" s="2">
        <v>746</v>
      </c>
    </row>
    <row r="1579" spans="1:3">
      <c r="A1579" s="2" t="s">
        <v>1383</v>
      </c>
      <c r="B1579" s="2" t="s">
        <v>38</v>
      </c>
      <c r="C1579" s="2">
        <v>742</v>
      </c>
    </row>
    <row r="1580" spans="1:3">
      <c r="A1580" s="2" t="s">
        <v>4097</v>
      </c>
      <c r="B1580" s="2" t="s">
        <v>38</v>
      </c>
      <c r="C1580" s="2">
        <v>734</v>
      </c>
    </row>
    <row r="1581" spans="1:3">
      <c r="A1581" s="2" t="s">
        <v>3716</v>
      </c>
      <c r="B1581" s="2" t="s">
        <v>38</v>
      </c>
      <c r="C1581" s="2">
        <v>733</v>
      </c>
    </row>
    <row r="1582" spans="1:3">
      <c r="A1582" s="2" t="s">
        <v>591</v>
      </c>
      <c r="B1582" s="2" t="s">
        <v>38</v>
      </c>
      <c r="C1582" s="2">
        <v>733</v>
      </c>
    </row>
    <row r="1583" spans="1:3">
      <c r="A1583" s="2" t="s">
        <v>2850</v>
      </c>
      <c r="B1583" s="2" t="s">
        <v>38</v>
      </c>
      <c r="C1583" s="2">
        <v>731</v>
      </c>
    </row>
    <row r="1584" spans="1:3">
      <c r="A1584" s="2" t="s">
        <v>530</v>
      </c>
      <c r="B1584" s="2" t="s">
        <v>38</v>
      </c>
      <c r="C1584" s="2">
        <v>723</v>
      </c>
    </row>
    <row r="1585" spans="1:3">
      <c r="A1585" s="2" t="s">
        <v>1746</v>
      </c>
      <c r="B1585" s="2" t="s">
        <v>38</v>
      </c>
      <c r="C1585" s="2">
        <v>723</v>
      </c>
    </row>
    <row r="1586" spans="1:3">
      <c r="A1586" s="2" t="s">
        <v>3132</v>
      </c>
      <c r="B1586" s="2" t="s">
        <v>38</v>
      </c>
      <c r="C1586" s="2">
        <v>719</v>
      </c>
    </row>
    <row r="1587" spans="1:3">
      <c r="A1587" s="2" t="s">
        <v>1298</v>
      </c>
      <c r="B1587" s="2" t="s">
        <v>38</v>
      </c>
      <c r="C1587" s="2">
        <v>717</v>
      </c>
    </row>
    <row r="1588" spans="1:3">
      <c r="A1588" s="2" t="s">
        <v>1250</v>
      </c>
      <c r="B1588" s="2" t="s">
        <v>38</v>
      </c>
      <c r="C1588" s="2">
        <v>716</v>
      </c>
    </row>
    <row r="1589" spans="1:3">
      <c r="A1589" s="2" t="s">
        <v>4012</v>
      </c>
      <c r="B1589" s="2" t="s">
        <v>38</v>
      </c>
      <c r="C1589" s="2">
        <v>712</v>
      </c>
    </row>
    <row r="1590" spans="1:3">
      <c r="A1590" s="2" t="s">
        <v>4756</v>
      </c>
      <c r="B1590" s="2" t="s">
        <v>38</v>
      </c>
      <c r="C1590" s="2">
        <v>711</v>
      </c>
    </row>
    <row r="1591" spans="1:3">
      <c r="A1591" s="2" t="s">
        <v>2211</v>
      </c>
      <c r="B1591" s="2" t="s">
        <v>38</v>
      </c>
      <c r="C1591" s="2">
        <v>710</v>
      </c>
    </row>
    <row r="1592" spans="1:3">
      <c r="A1592" s="2" t="s">
        <v>3618</v>
      </c>
      <c r="B1592" s="2" t="s">
        <v>38</v>
      </c>
      <c r="C1592" s="2">
        <v>707</v>
      </c>
    </row>
    <row r="1593" spans="1:3">
      <c r="A1593" s="2" t="s">
        <v>462</v>
      </c>
      <c r="B1593" s="2" t="s">
        <v>38</v>
      </c>
      <c r="C1593" s="2">
        <v>704</v>
      </c>
    </row>
    <row r="1594" spans="1:3">
      <c r="A1594" s="2" t="s">
        <v>3603</v>
      </c>
      <c r="B1594" s="2" t="s">
        <v>38</v>
      </c>
      <c r="C1594" s="2">
        <v>699</v>
      </c>
    </row>
    <row r="1595" spans="1:3">
      <c r="A1595" s="2" t="s">
        <v>4742</v>
      </c>
      <c r="B1595" s="2" t="s">
        <v>38</v>
      </c>
      <c r="C1595" s="2">
        <v>696</v>
      </c>
    </row>
    <row r="1596" spans="1:3">
      <c r="A1596" s="2" t="s">
        <v>1386</v>
      </c>
      <c r="B1596" s="2" t="s">
        <v>38</v>
      </c>
      <c r="C1596" s="2">
        <v>692</v>
      </c>
    </row>
    <row r="1597" spans="1:3">
      <c r="A1597" s="2" t="s">
        <v>2801</v>
      </c>
      <c r="B1597" s="2" t="s">
        <v>38</v>
      </c>
      <c r="C1597" s="2">
        <v>691</v>
      </c>
    </row>
    <row r="1598" spans="1:3">
      <c r="A1598" s="2" t="s">
        <v>2725</v>
      </c>
      <c r="B1598" s="2" t="s">
        <v>38</v>
      </c>
      <c r="C1598" s="2">
        <v>685</v>
      </c>
    </row>
    <row r="1599" spans="1:3">
      <c r="A1599" s="2" t="s">
        <v>3240</v>
      </c>
      <c r="B1599" s="2" t="s">
        <v>38</v>
      </c>
      <c r="C1599" s="2">
        <v>685</v>
      </c>
    </row>
    <row r="1600" spans="1:3">
      <c r="A1600" s="2" t="s">
        <v>2788</v>
      </c>
      <c r="B1600" s="2" t="s">
        <v>38</v>
      </c>
      <c r="C1600" s="2">
        <v>683</v>
      </c>
    </row>
    <row r="1601" spans="1:3">
      <c r="A1601" s="2" t="s">
        <v>1357</v>
      </c>
      <c r="B1601" s="2" t="s">
        <v>38</v>
      </c>
      <c r="C1601" s="2">
        <v>681</v>
      </c>
    </row>
    <row r="1602" spans="1:3">
      <c r="A1602" s="2" t="s">
        <v>2863</v>
      </c>
      <c r="B1602" s="2" t="s">
        <v>38</v>
      </c>
      <c r="C1602" s="2">
        <v>678</v>
      </c>
    </row>
    <row r="1603" spans="1:3">
      <c r="A1603" s="2" t="s">
        <v>1301</v>
      </c>
      <c r="B1603" s="2" t="s">
        <v>38</v>
      </c>
      <c r="C1603" s="2">
        <v>676</v>
      </c>
    </row>
    <row r="1604" spans="1:3">
      <c r="A1604" s="2" t="s">
        <v>1363</v>
      </c>
      <c r="B1604" s="2" t="s">
        <v>38</v>
      </c>
      <c r="C1604" s="2">
        <v>671</v>
      </c>
    </row>
    <row r="1605" spans="1:3">
      <c r="A1605" s="2" t="s">
        <v>2781</v>
      </c>
      <c r="B1605" s="2" t="s">
        <v>38</v>
      </c>
      <c r="C1605" s="2">
        <v>663</v>
      </c>
    </row>
    <row r="1606" spans="1:3">
      <c r="A1606" s="2" t="s">
        <v>2776</v>
      </c>
      <c r="B1606" s="2" t="s">
        <v>38</v>
      </c>
      <c r="C1606" s="2">
        <v>662</v>
      </c>
    </row>
    <row r="1607" spans="1:3">
      <c r="A1607" s="2" t="s">
        <v>439</v>
      </c>
      <c r="B1607" s="2" t="s">
        <v>38</v>
      </c>
      <c r="C1607" s="2">
        <v>661</v>
      </c>
    </row>
    <row r="1608" spans="1:3">
      <c r="A1608" s="2" t="s">
        <v>3211</v>
      </c>
      <c r="B1608" s="2" t="s">
        <v>38</v>
      </c>
      <c r="C1608" s="2">
        <v>660</v>
      </c>
    </row>
    <row r="1609" spans="1:3">
      <c r="A1609" s="2" t="s">
        <v>541</v>
      </c>
      <c r="B1609" s="2" t="s">
        <v>38</v>
      </c>
      <c r="C1609" s="2">
        <v>658</v>
      </c>
    </row>
    <row r="1610" spans="1:3">
      <c r="A1610" s="2" t="s">
        <v>585</v>
      </c>
      <c r="B1610" s="2" t="s">
        <v>38</v>
      </c>
      <c r="C1610" s="2">
        <v>658</v>
      </c>
    </row>
    <row r="1611" spans="1:3">
      <c r="A1611" s="2" t="s">
        <v>433</v>
      </c>
      <c r="B1611" s="2" t="s">
        <v>38</v>
      </c>
      <c r="C1611" s="2">
        <v>658</v>
      </c>
    </row>
    <row r="1612" spans="1:3">
      <c r="A1612" s="2" t="s">
        <v>2767</v>
      </c>
      <c r="B1612" s="2" t="s">
        <v>38</v>
      </c>
      <c r="C1612" s="2">
        <v>657</v>
      </c>
    </row>
    <row r="1613" spans="1:3">
      <c r="A1613" s="2" t="s">
        <v>3635</v>
      </c>
      <c r="B1613" s="2" t="s">
        <v>38</v>
      </c>
      <c r="C1613" s="2">
        <v>651</v>
      </c>
    </row>
    <row r="1614" spans="1:3">
      <c r="A1614" s="2" t="s">
        <v>4763</v>
      </c>
      <c r="B1614" s="2" t="s">
        <v>38</v>
      </c>
      <c r="C1614" s="2">
        <v>651</v>
      </c>
    </row>
    <row r="1615" spans="1:3">
      <c r="A1615" s="2" t="s">
        <v>4083</v>
      </c>
      <c r="B1615" s="2" t="s">
        <v>38</v>
      </c>
      <c r="C1615" s="2">
        <v>649</v>
      </c>
    </row>
    <row r="1616" spans="1:3">
      <c r="A1616" s="2" t="s">
        <v>3699</v>
      </c>
      <c r="B1616" s="2" t="s">
        <v>38</v>
      </c>
      <c r="C1616" s="2">
        <v>642</v>
      </c>
    </row>
    <row r="1617" spans="1:3">
      <c r="A1617" s="2" t="s">
        <v>1229</v>
      </c>
      <c r="B1617" s="2" t="s">
        <v>38</v>
      </c>
      <c r="C1617" s="2">
        <v>642</v>
      </c>
    </row>
    <row r="1618" spans="1:3">
      <c r="A1618" s="2" t="s">
        <v>1780</v>
      </c>
      <c r="B1618" s="2" t="s">
        <v>38</v>
      </c>
      <c r="C1618" s="2">
        <v>641</v>
      </c>
    </row>
    <row r="1619" spans="1:3">
      <c r="A1619" s="2" t="s">
        <v>3275</v>
      </c>
      <c r="B1619" s="2" t="s">
        <v>38</v>
      </c>
      <c r="C1619" s="2">
        <v>640</v>
      </c>
    </row>
    <row r="1620" spans="1:3">
      <c r="A1620" s="2" t="s">
        <v>4113</v>
      </c>
      <c r="B1620" s="2" t="s">
        <v>38</v>
      </c>
      <c r="C1620" s="2">
        <v>640</v>
      </c>
    </row>
    <row r="1621" spans="1:3">
      <c r="A1621" s="2" t="s">
        <v>1411</v>
      </c>
      <c r="B1621" s="2" t="s">
        <v>38</v>
      </c>
      <c r="C1621" s="2">
        <v>636</v>
      </c>
    </row>
    <row r="1622" spans="1:3">
      <c r="A1622" s="2" t="s">
        <v>4426</v>
      </c>
      <c r="B1622" s="2" t="s">
        <v>38</v>
      </c>
      <c r="C1622" s="2">
        <v>635</v>
      </c>
    </row>
    <row r="1623" spans="1:3">
      <c r="A1623" s="2" t="s">
        <v>1389</v>
      </c>
      <c r="B1623" s="2" t="s">
        <v>38</v>
      </c>
      <c r="C1623" s="2">
        <v>632</v>
      </c>
    </row>
    <row r="1624" spans="1:3">
      <c r="A1624" s="2" t="s">
        <v>1718</v>
      </c>
      <c r="B1624" s="2" t="s">
        <v>38</v>
      </c>
      <c r="C1624" s="2">
        <v>626</v>
      </c>
    </row>
    <row r="1625" spans="1:3">
      <c r="A1625" s="2" t="s">
        <v>4379</v>
      </c>
      <c r="B1625" s="2" t="s">
        <v>38</v>
      </c>
      <c r="C1625" s="2">
        <v>619</v>
      </c>
    </row>
    <row r="1626" spans="1:3">
      <c r="A1626" s="2" t="s">
        <v>1256</v>
      </c>
      <c r="B1626" s="2" t="s">
        <v>38</v>
      </c>
      <c r="C1626" s="2">
        <v>617</v>
      </c>
    </row>
    <row r="1627" spans="1:3">
      <c r="A1627" s="2" t="s">
        <v>2666</v>
      </c>
      <c r="B1627" s="2" t="s">
        <v>38</v>
      </c>
      <c r="C1627" s="2">
        <v>617</v>
      </c>
    </row>
    <row r="1628" spans="1:3">
      <c r="A1628" s="2" t="s">
        <v>4028</v>
      </c>
      <c r="B1628" s="2" t="s">
        <v>38</v>
      </c>
      <c r="C1628" s="2">
        <v>615</v>
      </c>
    </row>
    <row r="1629" spans="1:3">
      <c r="A1629" s="2" t="s">
        <v>2697</v>
      </c>
      <c r="B1629" s="2" t="s">
        <v>38</v>
      </c>
      <c r="C1629" s="2">
        <v>611</v>
      </c>
    </row>
    <row r="1630" spans="1:3">
      <c r="A1630" s="2" t="s">
        <v>2125</v>
      </c>
      <c r="B1630" s="2" t="s">
        <v>38</v>
      </c>
      <c r="C1630" s="2">
        <v>608</v>
      </c>
    </row>
    <row r="1631" spans="1:3">
      <c r="A1631" s="2" t="s">
        <v>1723</v>
      </c>
      <c r="B1631" s="2" t="s">
        <v>38</v>
      </c>
      <c r="C1631" s="2">
        <v>604</v>
      </c>
    </row>
    <row r="1632" spans="1:3">
      <c r="A1632" s="2" t="s">
        <v>2740</v>
      </c>
      <c r="B1632" s="2" t="s">
        <v>38</v>
      </c>
      <c r="C1632" s="2">
        <v>601</v>
      </c>
    </row>
    <row r="1633" spans="1:3">
      <c r="A1633" s="2" t="s">
        <v>4418</v>
      </c>
      <c r="B1633" s="2" t="s">
        <v>38</v>
      </c>
      <c r="C1633" s="2">
        <v>593</v>
      </c>
    </row>
    <row r="1634" spans="1:3">
      <c r="A1634" s="2" t="s">
        <v>1323</v>
      </c>
      <c r="B1634" s="2" t="s">
        <v>38</v>
      </c>
      <c r="C1634" s="2">
        <v>589</v>
      </c>
    </row>
    <row r="1635" spans="1:3">
      <c r="A1635" s="2" t="s">
        <v>4794</v>
      </c>
      <c r="B1635" s="2" t="s">
        <v>38</v>
      </c>
      <c r="C1635" s="2">
        <v>586</v>
      </c>
    </row>
    <row r="1636" spans="1:3">
      <c r="A1636" s="2" t="s">
        <v>2837</v>
      </c>
      <c r="B1636" s="2" t="s">
        <v>38</v>
      </c>
      <c r="C1636" s="2">
        <v>586</v>
      </c>
    </row>
    <row r="1637" spans="1:3">
      <c r="A1637" s="2" t="s">
        <v>527</v>
      </c>
      <c r="B1637" s="2" t="s">
        <v>38</v>
      </c>
      <c r="C1637" s="2">
        <v>582</v>
      </c>
    </row>
    <row r="1638" spans="1:3">
      <c r="A1638" s="2" t="s">
        <v>607</v>
      </c>
      <c r="B1638" s="2" t="s">
        <v>38</v>
      </c>
      <c r="C1638" s="2">
        <v>581</v>
      </c>
    </row>
    <row r="1639" spans="1:3">
      <c r="A1639" s="2" t="s">
        <v>4138</v>
      </c>
      <c r="B1639" s="2" t="s">
        <v>38</v>
      </c>
      <c r="C1639" s="2">
        <v>577</v>
      </c>
    </row>
    <row r="1640" spans="1:3">
      <c r="A1640" s="2" t="s">
        <v>4827</v>
      </c>
      <c r="B1640" s="2" t="s">
        <v>38</v>
      </c>
      <c r="C1640" s="2">
        <v>576</v>
      </c>
    </row>
    <row r="1641" spans="1:3">
      <c r="A1641" s="2" t="s">
        <v>1797</v>
      </c>
      <c r="B1641" s="2" t="s">
        <v>38</v>
      </c>
      <c r="C1641" s="2">
        <v>575</v>
      </c>
    </row>
    <row r="1642" spans="1:3">
      <c r="A1642" s="2" t="s">
        <v>1772</v>
      </c>
      <c r="B1642" s="2" t="s">
        <v>38</v>
      </c>
      <c r="C1642" s="2">
        <v>574</v>
      </c>
    </row>
    <row r="1643" spans="1:3">
      <c r="A1643" s="2" t="s">
        <v>1272</v>
      </c>
      <c r="B1643" s="2" t="s">
        <v>38</v>
      </c>
      <c r="C1643" s="2">
        <v>570</v>
      </c>
    </row>
    <row r="1644" spans="1:3">
      <c r="A1644" s="2" t="s">
        <v>536</v>
      </c>
      <c r="B1644" s="2" t="s">
        <v>38</v>
      </c>
      <c r="C1644" s="2">
        <v>570</v>
      </c>
    </row>
    <row r="1645" spans="1:3">
      <c r="A1645" s="2" t="s">
        <v>1343</v>
      </c>
      <c r="B1645" s="2" t="s">
        <v>38</v>
      </c>
      <c r="C1645" s="2">
        <v>566</v>
      </c>
    </row>
    <row r="1646" spans="1:3">
      <c r="A1646" s="2" t="s">
        <v>2235</v>
      </c>
      <c r="B1646" s="2" t="s">
        <v>38</v>
      </c>
      <c r="C1646" s="2">
        <v>557</v>
      </c>
    </row>
    <row r="1647" spans="1:3">
      <c r="A1647" s="2" t="s">
        <v>1785</v>
      </c>
      <c r="B1647" s="2" t="s">
        <v>38</v>
      </c>
      <c r="C1647" s="2">
        <v>556</v>
      </c>
    </row>
    <row r="1648" spans="1:3">
      <c r="A1648" s="2" t="s">
        <v>1714</v>
      </c>
      <c r="B1648" s="2" t="s">
        <v>38</v>
      </c>
      <c r="C1648" s="2">
        <v>554</v>
      </c>
    </row>
    <row r="1649" spans="1:3">
      <c r="A1649" s="2" t="s">
        <v>675</v>
      </c>
      <c r="B1649" s="2" t="s">
        <v>38</v>
      </c>
      <c r="C1649" s="2">
        <v>550</v>
      </c>
    </row>
    <row r="1650" spans="1:3">
      <c r="A1650" s="2" t="s">
        <v>4046</v>
      </c>
      <c r="B1650" s="2" t="s">
        <v>38</v>
      </c>
      <c r="C1650" s="2">
        <v>547</v>
      </c>
    </row>
    <row r="1651" spans="1:3">
      <c r="A1651" s="2" t="s">
        <v>3244</v>
      </c>
      <c r="B1651" s="2" t="s">
        <v>38</v>
      </c>
      <c r="C1651" s="2">
        <v>542</v>
      </c>
    </row>
    <row r="1652" spans="1:3">
      <c r="A1652" s="2" t="s">
        <v>2753</v>
      </c>
      <c r="B1652" s="2" t="s">
        <v>38</v>
      </c>
      <c r="C1652" s="2">
        <v>528</v>
      </c>
    </row>
    <row r="1653" spans="1:3">
      <c r="A1653" s="2" t="s">
        <v>1700</v>
      </c>
      <c r="B1653" s="2" t="s">
        <v>38</v>
      </c>
      <c r="C1653" s="2">
        <v>528</v>
      </c>
    </row>
    <row r="1654" spans="1:3">
      <c r="A1654" s="2" t="s">
        <v>4744</v>
      </c>
      <c r="B1654" s="2" t="s">
        <v>38</v>
      </c>
      <c r="C1654" s="2">
        <v>524</v>
      </c>
    </row>
    <row r="1655" spans="1:3">
      <c r="A1655" s="2" t="s">
        <v>2258</v>
      </c>
      <c r="B1655" s="2" t="s">
        <v>38</v>
      </c>
      <c r="C1655" s="2">
        <v>523</v>
      </c>
    </row>
    <row r="1656" spans="1:3">
      <c r="A1656" s="2" t="s">
        <v>513</v>
      </c>
      <c r="B1656" s="2" t="s">
        <v>38</v>
      </c>
      <c r="C1656" s="2">
        <v>522</v>
      </c>
    </row>
    <row r="1657" spans="1:3">
      <c r="A1657" s="2" t="s">
        <v>533</v>
      </c>
      <c r="B1657" s="2" t="s">
        <v>38</v>
      </c>
      <c r="C1657" s="2">
        <v>522</v>
      </c>
    </row>
    <row r="1658" spans="1:3">
      <c r="A1658" s="2" t="s">
        <v>1439</v>
      </c>
      <c r="B1658" s="2" t="s">
        <v>38</v>
      </c>
      <c r="C1658" s="2">
        <v>522</v>
      </c>
    </row>
    <row r="1659" spans="1:3">
      <c r="A1659" s="2" t="s">
        <v>1391</v>
      </c>
      <c r="B1659" s="2" t="s">
        <v>38</v>
      </c>
      <c r="C1659" s="2">
        <v>520</v>
      </c>
    </row>
    <row r="1660" spans="1:3">
      <c r="A1660" s="2" t="s">
        <v>4020</v>
      </c>
      <c r="B1660" s="2" t="s">
        <v>38</v>
      </c>
      <c r="C1660" s="2">
        <v>519</v>
      </c>
    </row>
    <row r="1661" spans="1:3">
      <c r="A1661" s="2" t="s">
        <v>2748</v>
      </c>
      <c r="B1661" s="2" t="s">
        <v>38</v>
      </c>
      <c r="C1661" s="2">
        <v>511</v>
      </c>
    </row>
    <row r="1662" spans="1:3">
      <c r="A1662" s="2" t="s">
        <v>4779</v>
      </c>
      <c r="B1662" s="2" t="s">
        <v>38</v>
      </c>
      <c r="C1662" s="2">
        <v>509</v>
      </c>
    </row>
    <row r="1663" spans="1:3">
      <c r="A1663" s="2" t="s">
        <v>2703</v>
      </c>
      <c r="B1663" s="2" t="s">
        <v>38</v>
      </c>
      <c r="C1663" s="2">
        <v>509</v>
      </c>
    </row>
    <row r="1664" spans="1:3">
      <c r="A1664" s="2" t="s">
        <v>2204</v>
      </c>
      <c r="B1664" s="2" t="s">
        <v>38</v>
      </c>
      <c r="C1664" s="2">
        <v>507</v>
      </c>
    </row>
    <row r="1665" spans="1:3">
      <c r="A1665" s="2" t="s">
        <v>3207</v>
      </c>
      <c r="B1665" s="2" t="s">
        <v>38</v>
      </c>
      <c r="C1665" s="2">
        <v>506</v>
      </c>
    </row>
    <row r="1666" spans="1:3">
      <c r="A1666" s="2" t="s">
        <v>2805</v>
      </c>
      <c r="B1666" s="2" t="s">
        <v>38</v>
      </c>
      <c r="C1666" s="2">
        <v>506</v>
      </c>
    </row>
    <row r="1667" spans="1:3">
      <c r="A1667" s="2" t="s">
        <v>681</v>
      </c>
      <c r="B1667" s="2" t="s">
        <v>38</v>
      </c>
      <c r="C1667" s="2">
        <v>505</v>
      </c>
    </row>
    <row r="1668" spans="1:3">
      <c r="A1668" s="2" t="s">
        <v>3224</v>
      </c>
      <c r="B1668" s="2" t="s">
        <v>38</v>
      </c>
      <c r="C1668" s="2">
        <v>499</v>
      </c>
    </row>
    <row r="1669" spans="1:3">
      <c r="A1669" s="2" t="s">
        <v>2264</v>
      </c>
      <c r="B1669" s="2" t="s">
        <v>38</v>
      </c>
      <c r="C1669" s="2">
        <v>494</v>
      </c>
    </row>
    <row r="1670" spans="1:3">
      <c r="A1670" s="2" t="s">
        <v>597</v>
      </c>
      <c r="B1670" s="2" t="s">
        <v>38</v>
      </c>
      <c r="C1670" s="2">
        <v>494</v>
      </c>
    </row>
    <row r="1671" spans="1:3">
      <c r="A1671" s="2" t="s">
        <v>3726</v>
      </c>
      <c r="B1671" s="2" t="s">
        <v>38</v>
      </c>
      <c r="C1671" s="2">
        <v>487</v>
      </c>
    </row>
    <row r="1672" spans="1:3">
      <c r="A1672" s="2" t="s">
        <v>599</v>
      </c>
      <c r="B1672" s="2" t="s">
        <v>38</v>
      </c>
      <c r="C1672" s="2">
        <v>483</v>
      </c>
    </row>
    <row r="1673" spans="1:3">
      <c r="A1673" s="2" t="s">
        <v>2671</v>
      </c>
      <c r="B1673" s="2" t="s">
        <v>38</v>
      </c>
      <c r="C1673" s="2">
        <v>476</v>
      </c>
    </row>
    <row r="1674" spans="1:3">
      <c r="A1674" s="2" t="s">
        <v>4815</v>
      </c>
      <c r="B1674" s="2" t="s">
        <v>38</v>
      </c>
      <c r="C1674" s="2">
        <v>475</v>
      </c>
    </row>
    <row r="1675" spans="1:3">
      <c r="A1675" s="2" t="s">
        <v>3720</v>
      </c>
      <c r="B1675" s="2" t="s">
        <v>38</v>
      </c>
      <c r="C1675" s="2">
        <v>473</v>
      </c>
    </row>
    <row r="1676" spans="1:3">
      <c r="A1676" s="2" t="s">
        <v>4410</v>
      </c>
      <c r="B1676" s="2" t="s">
        <v>38</v>
      </c>
      <c r="C1676" s="2">
        <v>470</v>
      </c>
    </row>
    <row r="1677" spans="1:3">
      <c r="A1677" s="2" t="s">
        <v>3229</v>
      </c>
      <c r="B1677" s="2" t="s">
        <v>38</v>
      </c>
      <c r="C1677" s="2">
        <v>466</v>
      </c>
    </row>
    <row r="1678" spans="1:3">
      <c r="A1678" s="2" t="s">
        <v>2650</v>
      </c>
      <c r="B1678" s="2" t="s">
        <v>38</v>
      </c>
      <c r="C1678" s="2">
        <v>465</v>
      </c>
    </row>
    <row r="1679" spans="1:3">
      <c r="A1679" s="2" t="s">
        <v>1693</v>
      </c>
      <c r="B1679" s="2" t="s">
        <v>38</v>
      </c>
      <c r="C1679" s="2">
        <v>463</v>
      </c>
    </row>
    <row r="1680" spans="1:3">
      <c r="A1680" s="2" t="s">
        <v>2795</v>
      </c>
      <c r="B1680" s="2" t="s">
        <v>38</v>
      </c>
      <c r="C1680" s="2">
        <v>462</v>
      </c>
    </row>
    <row r="1681" spans="1:3">
      <c r="A1681" s="2" t="s">
        <v>2206</v>
      </c>
      <c r="B1681" s="2" t="s">
        <v>38</v>
      </c>
      <c r="C1681" s="2">
        <v>457</v>
      </c>
    </row>
    <row r="1682" spans="1:3">
      <c r="A1682" s="2" t="s">
        <v>2745</v>
      </c>
      <c r="B1682" s="2" t="s">
        <v>38</v>
      </c>
      <c r="C1682" s="2">
        <v>455</v>
      </c>
    </row>
    <row r="1683" spans="1:3">
      <c r="A1683" s="2" t="s">
        <v>2827</v>
      </c>
      <c r="B1683" s="2" t="s">
        <v>38</v>
      </c>
      <c r="C1683" s="2">
        <v>453</v>
      </c>
    </row>
    <row r="1684" spans="1:3">
      <c r="A1684" s="2" t="s">
        <v>2759</v>
      </c>
      <c r="B1684" s="2" t="s">
        <v>38</v>
      </c>
      <c r="C1684" s="2">
        <v>452</v>
      </c>
    </row>
    <row r="1685" spans="1:3">
      <c r="A1685" s="2" t="s">
        <v>2778</v>
      </c>
      <c r="B1685" s="2" t="s">
        <v>38</v>
      </c>
      <c r="C1685" s="2">
        <v>450</v>
      </c>
    </row>
    <row r="1686" spans="1:3">
      <c r="A1686" s="2" t="s">
        <v>509</v>
      </c>
      <c r="B1686" s="2" t="s">
        <v>38</v>
      </c>
      <c r="C1686" s="2">
        <v>449</v>
      </c>
    </row>
    <row r="1687" spans="1:3">
      <c r="A1687" s="2" t="s">
        <v>477</v>
      </c>
      <c r="B1687" s="2" t="s">
        <v>38</v>
      </c>
      <c r="C1687" s="2">
        <v>438</v>
      </c>
    </row>
    <row r="1688" spans="1:3">
      <c r="A1688" s="2" t="s">
        <v>1395</v>
      </c>
      <c r="B1688" s="2" t="s">
        <v>38</v>
      </c>
      <c r="C1688" s="2">
        <v>437</v>
      </c>
    </row>
    <row r="1689" spans="1:3">
      <c r="A1689" s="2" t="s">
        <v>1393</v>
      </c>
      <c r="B1689" s="2" t="s">
        <v>38</v>
      </c>
      <c r="C1689" s="2">
        <v>435</v>
      </c>
    </row>
    <row r="1690" spans="1:3">
      <c r="A1690" s="2" t="s">
        <v>4105</v>
      </c>
      <c r="B1690" s="2" t="s">
        <v>38</v>
      </c>
      <c r="C1690" s="2">
        <v>435</v>
      </c>
    </row>
    <row r="1691" spans="1:3">
      <c r="A1691" s="2" t="s">
        <v>4059</v>
      </c>
      <c r="B1691" s="2" t="s">
        <v>38</v>
      </c>
      <c r="C1691" s="2">
        <v>434</v>
      </c>
    </row>
    <row r="1692" spans="1:3">
      <c r="A1692" s="2" t="s">
        <v>3238</v>
      </c>
      <c r="B1692" s="2" t="s">
        <v>38</v>
      </c>
      <c r="C1692" s="2">
        <v>434</v>
      </c>
    </row>
    <row r="1693" spans="1:3">
      <c r="A1693" s="2" t="s">
        <v>3213</v>
      </c>
      <c r="B1693" s="2" t="s">
        <v>38</v>
      </c>
      <c r="C1693" s="2">
        <v>430</v>
      </c>
    </row>
    <row r="1694" spans="1:3">
      <c r="A1694" s="2" t="s">
        <v>4722</v>
      </c>
      <c r="B1694" s="2" t="s">
        <v>38</v>
      </c>
      <c r="C1694" s="2">
        <v>428</v>
      </c>
    </row>
    <row r="1695" spans="1:3">
      <c r="A1695" s="2" t="s">
        <v>4376</v>
      </c>
      <c r="B1695" s="2" t="s">
        <v>38</v>
      </c>
      <c r="C1695" s="2">
        <v>426</v>
      </c>
    </row>
    <row r="1696" spans="1:3">
      <c r="A1696" s="2" t="s">
        <v>2793</v>
      </c>
      <c r="B1696" s="2" t="s">
        <v>38</v>
      </c>
      <c r="C1696" s="2">
        <v>426</v>
      </c>
    </row>
    <row r="1697" spans="1:3">
      <c r="A1697" s="2" t="s">
        <v>485</v>
      </c>
      <c r="B1697" s="2" t="s">
        <v>38</v>
      </c>
      <c r="C1697" s="2">
        <v>424</v>
      </c>
    </row>
    <row r="1698" spans="1:3">
      <c r="A1698" s="2" t="s">
        <v>4124</v>
      </c>
      <c r="B1698" s="2" t="s">
        <v>38</v>
      </c>
      <c r="C1698" s="2">
        <v>423</v>
      </c>
    </row>
    <row r="1699" spans="1:3">
      <c r="A1699" s="2" t="s">
        <v>4134</v>
      </c>
      <c r="B1699" s="2" t="s">
        <v>38</v>
      </c>
      <c r="C1699" s="2">
        <v>422</v>
      </c>
    </row>
    <row r="1700" spans="1:3">
      <c r="A1700" s="2" t="s">
        <v>2233</v>
      </c>
      <c r="B1700" s="2" t="s">
        <v>38</v>
      </c>
      <c r="C1700" s="2">
        <v>417</v>
      </c>
    </row>
    <row r="1701" spans="1:3">
      <c r="A1701" s="2" t="s">
        <v>2229</v>
      </c>
      <c r="B1701" s="2" t="s">
        <v>38</v>
      </c>
      <c r="C1701" s="2">
        <v>416</v>
      </c>
    </row>
    <row r="1702" spans="1:3">
      <c r="A1702" s="2" t="s">
        <v>4354</v>
      </c>
      <c r="B1702" s="2" t="s">
        <v>38</v>
      </c>
      <c r="C1702" s="2">
        <v>415</v>
      </c>
    </row>
    <row r="1703" spans="1:3">
      <c r="A1703" s="2" t="s">
        <v>3209</v>
      </c>
      <c r="B1703" s="2" t="s">
        <v>38</v>
      </c>
      <c r="C1703" s="2">
        <v>413</v>
      </c>
    </row>
    <row r="1704" spans="1:3">
      <c r="A1704" s="2" t="s">
        <v>3649</v>
      </c>
      <c r="B1704" s="2" t="s">
        <v>38</v>
      </c>
      <c r="C1704" s="2">
        <v>405</v>
      </c>
    </row>
    <row r="1705" spans="1:3">
      <c r="A1705" s="2" t="s">
        <v>3681</v>
      </c>
      <c r="B1705" s="2" t="s">
        <v>38</v>
      </c>
      <c r="C1705" s="2">
        <v>396</v>
      </c>
    </row>
    <row r="1706" spans="1:3">
      <c r="A1706" s="2" t="s">
        <v>3293</v>
      </c>
      <c r="B1706" s="2" t="s">
        <v>38</v>
      </c>
      <c r="C1706" s="2">
        <v>396</v>
      </c>
    </row>
    <row r="1707" spans="1:3">
      <c r="A1707" s="2" t="s">
        <v>4406</v>
      </c>
      <c r="B1707" s="2" t="s">
        <v>38</v>
      </c>
      <c r="C1707" s="2">
        <v>392</v>
      </c>
    </row>
    <row r="1708" spans="1:3">
      <c r="A1708" s="2" t="s">
        <v>488</v>
      </c>
      <c r="B1708" s="2" t="s">
        <v>38</v>
      </c>
      <c r="C1708" s="2">
        <v>388</v>
      </c>
    </row>
    <row r="1709" spans="1:3">
      <c r="A1709" s="2" t="s">
        <v>4837</v>
      </c>
      <c r="B1709" s="2" t="s">
        <v>38</v>
      </c>
      <c r="C1709" s="2">
        <v>385</v>
      </c>
    </row>
    <row r="1710" spans="1:3">
      <c r="A1710" s="2" t="s">
        <v>2721</v>
      </c>
      <c r="B1710" s="2" t="s">
        <v>38</v>
      </c>
      <c r="C1710" s="2">
        <v>381</v>
      </c>
    </row>
    <row r="1711" spans="1:3">
      <c r="A1711" s="2" t="s">
        <v>1402</v>
      </c>
      <c r="B1711" s="2" t="s">
        <v>38</v>
      </c>
      <c r="C1711" s="2">
        <v>379</v>
      </c>
    </row>
    <row r="1712" spans="1:3">
      <c r="A1712" s="2" t="s">
        <v>4016</v>
      </c>
      <c r="B1712" s="2" t="s">
        <v>38</v>
      </c>
      <c r="C1712" s="2">
        <v>378</v>
      </c>
    </row>
    <row r="1713" spans="1:3">
      <c r="A1713" s="2" t="s">
        <v>3219</v>
      </c>
      <c r="B1713" s="2" t="s">
        <v>38</v>
      </c>
      <c r="C1713" s="2">
        <v>376</v>
      </c>
    </row>
    <row r="1714" spans="1:3">
      <c r="A1714" s="2" t="s">
        <v>4817</v>
      </c>
      <c r="B1714" s="2" t="s">
        <v>38</v>
      </c>
      <c r="C1714" s="2">
        <v>374</v>
      </c>
    </row>
    <row r="1715" spans="1:3">
      <c r="A1715" s="2" t="s">
        <v>546</v>
      </c>
      <c r="B1715" s="2" t="s">
        <v>38</v>
      </c>
      <c r="C1715" s="2">
        <v>369</v>
      </c>
    </row>
    <row r="1716" spans="1:3">
      <c r="A1716" s="2" t="s">
        <v>2208</v>
      </c>
      <c r="B1716" s="2" t="s">
        <v>38</v>
      </c>
      <c r="C1716" s="2">
        <v>366</v>
      </c>
    </row>
    <row r="1717" spans="1:3">
      <c r="A1717" s="2" t="s">
        <v>4420</v>
      </c>
      <c r="B1717" s="2" t="s">
        <v>38</v>
      </c>
      <c r="C1717" s="2">
        <v>365</v>
      </c>
    </row>
    <row r="1718" spans="1:3">
      <c r="A1718" s="2" t="s">
        <v>1285</v>
      </c>
      <c r="B1718" s="2" t="s">
        <v>38</v>
      </c>
      <c r="C1718" s="2">
        <v>362</v>
      </c>
    </row>
    <row r="1719" spans="1:3">
      <c r="A1719" s="2" t="s">
        <v>3589</v>
      </c>
      <c r="B1719" s="2" t="s">
        <v>38</v>
      </c>
      <c r="C1719" s="2">
        <v>360</v>
      </c>
    </row>
    <row r="1720" spans="1:3">
      <c r="A1720" s="2" t="s">
        <v>1754</v>
      </c>
      <c r="B1720" s="2" t="s">
        <v>38</v>
      </c>
      <c r="C1720" s="2">
        <v>357</v>
      </c>
    </row>
    <row r="1721" spans="1:3">
      <c r="A1721" s="2" t="s">
        <v>3201</v>
      </c>
      <c r="B1721" s="2" t="s">
        <v>38</v>
      </c>
      <c r="C1721" s="2">
        <v>354</v>
      </c>
    </row>
    <row r="1722" spans="1:3">
      <c r="A1722" s="2" t="s">
        <v>2219</v>
      </c>
      <c r="B1722" s="2" t="s">
        <v>38</v>
      </c>
      <c r="C1722" s="2">
        <v>354</v>
      </c>
    </row>
    <row r="1723" spans="1:3">
      <c r="A1723" s="2" t="s">
        <v>4823</v>
      </c>
      <c r="B1723" s="2" t="s">
        <v>38</v>
      </c>
      <c r="C1723" s="2">
        <v>353</v>
      </c>
    </row>
    <row r="1724" spans="1:3">
      <c r="A1724" s="2" t="s">
        <v>2099</v>
      </c>
      <c r="B1724" s="2" t="s">
        <v>38</v>
      </c>
      <c r="C1724" s="2">
        <v>353</v>
      </c>
    </row>
    <row r="1725" spans="1:3">
      <c r="A1725" s="2" t="s">
        <v>2106</v>
      </c>
      <c r="B1725" s="2" t="s">
        <v>38</v>
      </c>
      <c r="C1725" s="2">
        <v>351</v>
      </c>
    </row>
    <row r="1726" spans="1:3">
      <c r="A1726" s="2" t="s">
        <v>3705</v>
      </c>
      <c r="B1726" s="2" t="s">
        <v>38</v>
      </c>
      <c r="C1726" s="2">
        <v>347</v>
      </c>
    </row>
    <row r="1727" spans="1:3">
      <c r="A1727" s="2" t="s">
        <v>2654</v>
      </c>
      <c r="B1727" s="2" t="s">
        <v>38</v>
      </c>
      <c r="C1727" s="2">
        <v>347</v>
      </c>
    </row>
    <row r="1728" spans="1:3">
      <c r="A1728" s="2" t="s">
        <v>2769</v>
      </c>
      <c r="B1728" s="2" t="s">
        <v>38</v>
      </c>
      <c r="C1728" s="2">
        <v>340</v>
      </c>
    </row>
    <row r="1729" spans="1:3">
      <c r="A1729" s="2" t="s">
        <v>502</v>
      </c>
      <c r="B1729" s="2" t="s">
        <v>38</v>
      </c>
      <c r="C1729" s="2">
        <v>340</v>
      </c>
    </row>
    <row r="1730" spans="1:3">
      <c r="A1730" s="2" t="s">
        <v>4726</v>
      </c>
      <c r="B1730" s="2" t="s">
        <v>38</v>
      </c>
      <c r="C1730" s="2">
        <v>334</v>
      </c>
    </row>
    <row r="1731" spans="1:3">
      <c r="A1731" s="2" t="s">
        <v>1774</v>
      </c>
      <c r="B1731" s="2" t="s">
        <v>38</v>
      </c>
      <c r="C1731" s="2">
        <v>331</v>
      </c>
    </row>
    <row r="1732" spans="1:3">
      <c r="A1732" s="2" t="s">
        <v>3272</v>
      </c>
      <c r="B1732" s="2" t="s">
        <v>38</v>
      </c>
      <c r="C1732" s="2">
        <v>331</v>
      </c>
    </row>
    <row r="1733" spans="1:3">
      <c r="A1733" s="2" t="s">
        <v>2681</v>
      </c>
      <c r="B1733" s="2" t="s">
        <v>38</v>
      </c>
      <c r="C1733" s="2">
        <v>325</v>
      </c>
    </row>
    <row r="1734" spans="1:3">
      <c r="A1734" s="2" t="s">
        <v>2790</v>
      </c>
      <c r="B1734" s="2" t="s">
        <v>38</v>
      </c>
      <c r="C1734" s="2">
        <v>321</v>
      </c>
    </row>
    <row r="1735" spans="1:3">
      <c r="A1735" s="2" t="s">
        <v>1347</v>
      </c>
      <c r="B1735" s="2" t="s">
        <v>38</v>
      </c>
      <c r="C1735" s="2">
        <v>319</v>
      </c>
    </row>
    <row r="1736" spans="1:3">
      <c r="A1736" s="2" t="s">
        <v>3205</v>
      </c>
      <c r="B1736" s="2" t="s">
        <v>38</v>
      </c>
      <c r="C1736" s="2">
        <v>318</v>
      </c>
    </row>
    <row r="1737" spans="1:3">
      <c r="A1737" s="2" t="s">
        <v>1341</v>
      </c>
      <c r="B1737" s="2" t="s">
        <v>38</v>
      </c>
      <c r="C1737" s="2">
        <v>317</v>
      </c>
    </row>
    <row r="1738" spans="1:3">
      <c r="A1738" s="2" t="s">
        <v>3710</v>
      </c>
      <c r="B1738" s="2" t="s">
        <v>38</v>
      </c>
      <c r="C1738" s="2">
        <v>313</v>
      </c>
    </row>
    <row r="1739" spans="1:3">
      <c r="A1739" s="2" t="s">
        <v>3261</v>
      </c>
      <c r="B1739" s="2" t="s">
        <v>38</v>
      </c>
      <c r="C1739" s="2">
        <v>312</v>
      </c>
    </row>
    <row r="1740" spans="1:3">
      <c r="A1740" s="2" t="s">
        <v>1738</v>
      </c>
      <c r="B1740" s="2" t="s">
        <v>38</v>
      </c>
      <c r="C1740" s="2">
        <v>312</v>
      </c>
    </row>
    <row r="1741" spans="1:3">
      <c r="A1741" s="2" t="s">
        <v>4740</v>
      </c>
      <c r="B1741" s="2" t="s">
        <v>38</v>
      </c>
      <c r="C1741" s="2">
        <v>310</v>
      </c>
    </row>
    <row r="1742" spans="1:3">
      <c r="A1742" s="2" t="s">
        <v>2756</v>
      </c>
      <c r="B1742" s="2" t="s">
        <v>38</v>
      </c>
      <c r="C1742" s="2">
        <v>304</v>
      </c>
    </row>
    <row r="1743" spans="1:3">
      <c r="A1743" s="2" t="s">
        <v>3600</v>
      </c>
      <c r="B1743" s="2" t="s">
        <v>38</v>
      </c>
      <c r="C1743" s="2">
        <v>304</v>
      </c>
    </row>
    <row r="1744" spans="1:3">
      <c r="A1744" s="2" t="s">
        <v>483</v>
      </c>
      <c r="B1744" s="2" t="s">
        <v>38</v>
      </c>
      <c r="C1744" s="2">
        <v>297</v>
      </c>
    </row>
    <row r="1745" spans="1:3">
      <c r="A1745" s="2" t="s">
        <v>448</v>
      </c>
      <c r="B1745" s="2" t="s">
        <v>38</v>
      </c>
      <c r="C1745" s="2">
        <v>293</v>
      </c>
    </row>
    <row r="1746" spans="1:3">
      <c r="A1746" s="2" t="s">
        <v>3194</v>
      </c>
      <c r="B1746" s="2" t="s">
        <v>38</v>
      </c>
      <c r="C1746" s="2">
        <v>291</v>
      </c>
    </row>
    <row r="1747" spans="1:3">
      <c r="A1747" s="2" t="s">
        <v>4422</v>
      </c>
      <c r="B1747" s="2" t="s">
        <v>38</v>
      </c>
      <c r="C1747" s="2">
        <v>286</v>
      </c>
    </row>
    <row r="1748" spans="1:3">
      <c r="A1748" s="2" t="s">
        <v>3156</v>
      </c>
      <c r="B1748" s="2" t="s">
        <v>38</v>
      </c>
      <c r="C1748" s="2">
        <v>285</v>
      </c>
    </row>
    <row r="1749" spans="1:3">
      <c r="A1749" s="2" t="s">
        <v>2181</v>
      </c>
      <c r="B1749" s="2" t="s">
        <v>38</v>
      </c>
      <c r="C1749" s="2">
        <v>283</v>
      </c>
    </row>
    <row r="1750" spans="1:3">
      <c r="A1750" s="2" t="s">
        <v>3196</v>
      </c>
      <c r="B1750" s="2" t="s">
        <v>38</v>
      </c>
      <c r="C1750" s="2">
        <v>281</v>
      </c>
    </row>
    <row r="1751" spans="1:3">
      <c r="A1751" s="2" t="s">
        <v>601</v>
      </c>
      <c r="B1751" s="2" t="s">
        <v>38</v>
      </c>
      <c r="C1751" s="2">
        <v>278</v>
      </c>
    </row>
    <row r="1752" spans="1:3">
      <c r="A1752" s="2" t="s">
        <v>3692</v>
      </c>
      <c r="B1752" s="2" t="s">
        <v>38</v>
      </c>
      <c r="C1752" s="2">
        <v>276</v>
      </c>
    </row>
    <row r="1753" spans="1:3">
      <c r="A1753" s="2" t="s">
        <v>3215</v>
      </c>
      <c r="B1753" s="2" t="s">
        <v>38</v>
      </c>
      <c r="C1753" s="2">
        <v>274</v>
      </c>
    </row>
    <row r="1754" spans="1:3">
      <c r="A1754" s="2" t="s">
        <v>1345</v>
      </c>
      <c r="B1754" s="2" t="s">
        <v>38</v>
      </c>
      <c r="C1754" s="2">
        <v>270</v>
      </c>
    </row>
    <row r="1755" spans="1:3">
      <c r="A1755" s="2" t="s">
        <v>2840</v>
      </c>
      <c r="B1755" s="2" t="s">
        <v>38</v>
      </c>
      <c r="C1755" s="2">
        <v>268</v>
      </c>
    </row>
    <row r="1756" spans="1:3">
      <c r="A1756" s="2" t="s">
        <v>1762</v>
      </c>
      <c r="B1756" s="2" t="s">
        <v>38</v>
      </c>
      <c r="C1756" s="2">
        <v>261</v>
      </c>
    </row>
    <row r="1757" spans="1:3">
      <c r="A1757" s="2" t="s">
        <v>551</v>
      </c>
      <c r="B1757" s="2" t="s">
        <v>38</v>
      </c>
      <c r="C1757" s="2">
        <v>260</v>
      </c>
    </row>
    <row r="1758" spans="1:3">
      <c r="A1758" s="2" t="s">
        <v>3629</v>
      </c>
      <c r="B1758" s="2" t="s">
        <v>38</v>
      </c>
      <c r="C1758" s="2">
        <v>256</v>
      </c>
    </row>
    <row r="1759" spans="1:3">
      <c r="A1759" s="2" t="s">
        <v>611</v>
      </c>
      <c r="B1759" s="2" t="s">
        <v>38</v>
      </c>
      <c r="C1759" s="2">
        <v>255</v>
      </c>
    </row>
    <row r="1760" spans="1:3">
      <c r="A1760" s="2" t="s">
        <v>1223</v>
      </c>
      <c r="B1760" s="2" t="s">
        <v>38</v>
      </c>
      <c r="C1760" s="2">
        <v>254</v>
      </c>
    </row>
    <row r="1761" spans="1:3">
      <c r="A1761" s="2" t="s">
        <v>4117</v>
      </c>
      <c r="B1761" s="2" t="s">
        <v>38</v>
      </c>
      <c r="C1761" s="2">
        <v>252</v>
      </c>
    </row>
    <row r="1762" spans="1:3">
      <c r="A1762" s="2" t="s">
        <v>539</v>
      </c>
      <c r="B1762" s="2" t="s">
        <v>38</v>
      </c>
      <c r="C1762" s="2">
        <v>250</v>
      </c>
    </row>
    <row r="1763" spans="1:3">
      <c r="A1763" s="2" t="s">
        <v>3203</v>
      </c>
      <c r="B1763" s="2" t="s">
        <v>38</v>
      </c>
      <c r="C1763" s="2">
        <v>249</v>
      </c>
    </row>
    <row r="1764" spans="1:3">
      <c r="A1764" s="2" t="s">
        <v>3232</v>
      </c>
      <c r="B1764" s="2" t="s">
        <v>38</v>
      </c>
      <c r="C1764" s="2">
        <v>248</v>
      </c>
    </row>
    <row r="1765" spans="1:3">
      <c r="A1765" s="2" t="s">
        <v>496</v>
      </c>
      <c r="B1765" s="2" t="s">
        <v>38</v>
      </c>
      <c r="C1765" s="2">
        <v>244</v>
      </c>
    </row>
    <row r="1766" spans="1:3">
      <c r="A1766" s="2" t="s">
        <v>2166</v>
      </c>
      <c r="B1766" s="2" t="s">
        <v>38</v>
      </c>
      <c r="C1766" s="2">
        <v>242</v>
      </c>
    </row>
    <row r="1767" spans="1:3">
      <c r="A1767" s="2" t="s">
        <v>1770</v>
      </c>
      <c r="B1767" s="2" t="s">
        <v>38</v>
      </c>
      <c r="C1767" s="2">
        <v>242</v>
      </c>
    </row>
    <row r="1768" spans="1:3">
      <c r="A1768" s="2" t="s">
        <v>3165</v>
      </c>
      <c r="B1768" s="2" t="s">
        <v>38</v>
      </c>
      <c r="C1768" s="2">
        <v>241</v>
      </c>
    </row>
    <row r="1769" spans="1:3">
      <c r="A1769" s="2" t="s">
        <v>4101</v>
      </c>
      <c r="B1769" s="2" t="s">
        <v>38</v>
      </c>
      <c r="C1769" s="2">
        <v>239</v>
      </c>
    </row>
    <row r="1770" spans="1:3">
      <c r="A1770" s="2" t="s">
        <v>4401</v>
      </c>
      <c r="B1770" s="2" t="s">
        <v>38</v>
      </c>
      <c r="C1770" s="2">
        <v>238</v>
      </c>
    </row>
    <row r="1771" spans="1:3">
      <c r="A1771" s="2" t="s">
        <v>2276</v>
      </c>
      <c r="B1771" s="2" t="s">
        <v>38</v>
      </c>
      <c r="C1771" s="2">
        <v>234</v>
      </c>
    </row>
    <row r="1772" spans="1:3">
      <c r="A1772" s="2" t="s">
        <v>2128</v>
      </c>
      <c r="B1772" s="2" t="s">
        <v>38</v>
      </c>
      <c r="C1772" s="2">
        <v>231</v>
      </c>
    </row>
    <row r="1773" spans="1:3">
      <c r="A1773" s="2" t="s">
        <v>3686</v>
      </c>
      <c r="B1773" s="2" t="s">
        <v>38</v>
      </c>
      <c r="C1773" s="2">
        <v>228</v>
      </c>
    </row>
    <row r="1774" spans="1:3">
      <c r="A1774" s="2" t="s">
        <v>2675</v>
      </c>
      <c r="B1774" s="2" t="s">
        <v>38</v>
      </c>
      <c r="C1774" s="2">
        <v>227</v>
      </c>
    </row>
    <row r="1775" spans="1:3">
      <c r="A1775" s="2" t="s">
        <v>594</v>
      </c>
      <c r="B1775" s="2" t="s">
        <v>38</v>
      </c>
      <c r="C1775" s="2">
        <v>226</v>
      </c>
    </row>
    <row r="1776" spans="1:3">
      <c r="A1776" s="2" t="s">
        <v>2231</v>
      </c>
      <c r="B1776" s="2" t="s">
        <v>38</v>
      </c>
      <c r="C1776" s="2">
        <v>225</v>
      </c>
    </row>
    <row r="1777" spans="1:3">
      <c r="A1777" s="2" t="s">
        <v>4753</v>
      </c>
      <c r="B1777" s="2" t="s">
        <v>38</v>
      </c>
      <c r="C1777" s="2">
        <v>224</v>
      </c>
    </row>
    <row r="1778" spans="1:3">
      <c r="A1778" s="2" t="s">
        <v>3279</v>
      </c>
      <c r="B1778" s="2" t="s">
        <v>38</v>
      </c>
      <c r="C1778" s="2">
        <v>223</v>
      </c>
    </row>
    <row r="1779" spans="1:3">
      <c r="A1779" s="2" t="s">
        <v>4025</v>
      </c>
      <c r="B1779" s="2" t="s">
        <v>38</v>
      </c>
      <c r="C1779" s="2">
        <v>223</v>
      </c>
    </row>
    <row r="1780" spans="1:3">
      <c r="A1780" s="2" t="s">
        <v>4108</v>
      </c>
      <c r="B1780" s="2" t="s">
        <v>38</v>
      </c>
      <c r="C1780" s="2">
        <v>221</v>
      </c>
    </row>
    <row r="1781" spans="1:3">
      <c r="A1781" s="2" t="s">
        <v>3660</v>
      </c>
      <c r="B1781" s="2" t="s">
        <v>38</v>
      </c>
      <c r="C1781" s="2">
        <v>220</v>
      </c>
    </row>
    <row r="1782" spans="1:3">
      <c r="A1782" s="2" t="s">
        <v>1758</v>
      </c>
      <c r="B1782" s="2" t="s">
        <v>38</v>
      </c>
      <c r="C1782" s="2">
        <v>218</v>
      </c>
    </row>
    <row r="1783" spans="1:3">
      <c r="A1783" s="2" t="s">
        <v>4773</v>
      </c>
      <c r="B1783" s="2" t="s">
        <v>38</v>
      </c>
      <c r="C1783" s="2">
        <v>215</v>
      </c>
    </row>
    <row r="1784" spans="1:3">
      <c r="A1784" s="2" t="s">
        <v>1789</v>
      </c>
      <c r="B1784" s="2" t="s">
        <v>38</v>
      </c>
      <c r="C1784" s="2">
        <v>215</v>
      </c>
    </row>
    <row r="1785" spans="1:3">
      <c r="A1785" s="2" t="s">
        <v>4051</v>
      </c>
      <c r="B1785" s="2" t="s">
        <v>38</v>
      </c>
      <c r="C1785" s="2">
        <v>213</v>
      </c>
    </row>
    <row r="1786" spans="1:3">
      <c r="A1786" s="2" t="s">
        <v>3647</v>
      </c>
      <c r="B1786" s="2" t="s">
        <v>38</v>
      </c>
      <c r="C1786" s="2">
        <v>212</v>
      </c>
    </row>
    <row r="1787" spans="1:3">
      <c r="A1787" s="2" t="s">
        <v>2832</v>
      </c>
      <c r="B1787" s="2" t="s">
        <v>38</v>
      </c>
      <c r="C1787" s="2">
        <v>211</v>
      </c>
    </row>
    <row r="1788" spans="1:3">
      <c r="A1788" s="2" t="s">
        <v>2278</v>
      </c>
      <c r="B1788" s="2" t="s">
        <v>38</v>
      </c>
      <c r="C1788" s="2">
        <v>210</v>
      </c>
    </row>
    <row r="1789" spans="1:3">
      <c r="A1789" s="2" t="s">
        <v>2225</v>
      </c>
      <c r="B1789" s="2" t="s">
        <v>38</v>
      </c>
      <c r="C1789" s="2">
        <v>208</v>
      </c>
    </row>
    <row r="1790" spans="1:3">
      <c r="A1790" s="2" t="s">
        <v>3152</v>
      </c>
      <c r="B1790" s="2" t="s">
        <v>38</v>
      </c>
      <c r="C1790" s="2">
        <v>202</v>
      </c>
    </row>
    <row r="1791" spans="1:3">
      <c r="A1791" s="2" t="s">
        <v>1776</v>
      </c>
      <c r="B1791" s="2" t="s">
        <v>38</v>
      </c>
      <c r="C1791" s="2">
        <v>201</v>
      </c>
    </row>
    <row r="1792" spans="1:3">
      <c r="A1792" s="2" t="s">
        <v>1241</v>
      </c>
      <c r="B1792" s="2" t="s">
        <v>38</v>
      </c>
      <c r="C1792" s="2">
        <v>200</v>
      </c>
    </row>
    <row r="1793" spans="1:3">
      <c r="A1793" s="2" t="s">
        <v>2797</v>
      </c>
      <c r="B1793" s="2" t="s">
        <v>38</v>
      </c>
      <c r="C1793" s="2">
        <v>199</v>
      </c>
    </row>
    <row r="1794" spans="1:3">
      <c r="A1794" s="2" t="s">
        <v>3690</v>
      </c>
      <c r="B1794" s="2" t="s">
        <v>38</v>
      </c>
      <c r="C1794" s="2">
        <v>199</v>
      </c>
    </row>
    <row r="1795" spans="1:3">
      <c r="A1795" s="2" t="s">
        <v>4428</v>
      </c>
      <c r="B1795" s="2" t="s">
        <v>38</v>
      </c>
      <c r="C1795" s="2">
        <v>198</v>
      </c>
    </row>
    <row r="1796" spans="1:3">
      <c r="A1796" s="2" t="s">
        <v>3221</v>
      </c>
      <c r="B1796" s="2" t="s">
        <v>38</v>
      </c>
      <c r="C1796" s="2">
        <v>197</v>
      </c>
    </row>
    <row r="1797" spans="1:3">
      <c r="A1797" s="2" t="s">
        <v>3269</v>
      </c>
      <c r="B1797" s="2" t="s">
        <v>38</v>
      </c>
      <c r="C1797" s="2">
        <v>192</v>
      </c>
    </row>
    <row r="1798" spans="1:3">
      <c r="A1798" s="2" t="s">
        <v>609</v>
      </c>
      <c r="B1798" s="2" t="s">
        <v>38</v>
      </c>
      <c r="C1798" s="2">
        <v>188</v>
      </c>
    </row>
    <row r="1799" spans="1:3">
      <c r="A1799" s="2" t="s">
        <v>3724</v>
      </c>
      <c r="B1799" s="2" t="s">
        <v>38</v>
      </c>
      <c r="C1799" s="2">
        <v>188</v>
      </c>
    </row>
    <row r="1800" spans="1:3">
      <c r="A1800" s="2" t="s">
        <v>4843</v>
      </c>
      <c r="B1800" s="2" t="s">
        <v>38</v>
      </c>
      <c r="C1800" s="2">
        <v>183</v>
      </c>
    </row>
    <row r="1801" spans="1:3">
      <c r="A1801" s="2" t="s">
        <v>3291</v>
      </c>
      <c r="B1801" s="2" t="s">
        <v>38</v>
      </c>
      <c r="C1801" s="2">
        <v>182</v>
      </c>
    </row>
    <row r="1802" spans="1:3">
      <c r="A1802" s="2" t="s">
        <v>4736</v>
      </c>
      <c r="B1802" s="2" t="s">
        <v>38</v>
      </c>
      <c r="C1802" s="2">
        <v>182</v>
      </c>
    </row>
    <row r="1803" spans="1:3">
      <c r="A1803" s="2" t="s">
        <v>2153</v>
      </c>
      <c r="B1803" s="2" t="s">
        <v>38</v>
      </c>
      <c r="C1803" s="2">
        <v>179</v>
      </c>
    </row>
    <row r="1804" spans="1:3">
      <c r="A1804" s="2" t="s">
        <v>4804</v>
      </c>
      <c r="B1804" s="2" t="s">
        <v>38</v>
      </c>
      <c r="C1804" s="2">
        <v>177</v>
      </c>
    </row>
    <row r="1805" spans="1:3">
      <c r="A1805" s="2" t="s">
        <v>4733</v>
      </c>
      <c r="B1805" s="2" t="s">
        <v>38</v>
      </c>
      <c r="C1805" s="2">
        <v>177</v>
      </c>
    </row>
    <row r="1806" spans="1:3">
      <c r="A1806" s="2" t="s">
        <v>1270</v>
      </c>
      <c r="B1806" s="2" t="s">
        <v>38</v>
      </c>
      <c r="C1806" s="2">
        <v>175</v>
      </c>
    </row>
    <row r="1807" spans="1:3">
      <c r="A1807" s="2" t="s">
        <v>3217</v>
      </c>
      <c r="B1807" s="2" t="s">
        <v>38</v>
      </c>
      <c r="C1807" s="2">
        <v>174</v>
      </c>
    </row>
    <row r="1808" spans="1:3">
      <c r="A1808" s="2" t="s">
        <v>559</v>
      </c>
      <c r="B1808" s="2" t="s">
        <v>38</v>
      </c>
      <c r="C1808" s="2">
        <v>172</v>
      </c>
    </row>
    <row r="1809" spans="1:3">
      <c r="A1809" s="2" t="s">
        <v>3300</v>
      </c>
      <c r="B1809" s="2" t="s">
        <v>38</v>
      </c>
      <c r="C1809" s="2">
        <v>170</v>
      </c>
    </row>
    <row r="1810" spans="1:3">
      <c r="A1810" s="2" t="s">
        <v>3304</v>
      </c>
      <c r="B1810" s="2" t="s">
        <v>38</v>
      </c>
      <c r="C1810" s="2">
        <v>169</v>
      </c>
    </row>
    <row r="1811" spans="1:3">
      <c r="A1811" s="2" t="s">
        <v>3174</v>
      </c>
      <c r="B1811" s="2" t="s">
        <v>38</v>
      </c>
      <c r="C1811" s="2">
        <v>169</v>
      </c>
    </row>
    <row r="1812" spans="1:3">
      <c r="A1812" s="2" t="s">
        <v>563</v>
      </c>
      <c r="B1812" s="2" t="s">
        <v>38</v>
      </c>
      <c r="C1812" s="2">
        <v>168</v>
      </c>
    </row>
    <row r="1813" spans="1:3">
      <c r="A1813" s="2" t="s">
        <v>524</v>
      </c>
      <c r="B1813" s="2" t="s">
        <v>38</v>
      </c>
      <c r="C1813" s="2">
        <v>166</v>
      </c>
    </row>
    <row r="1814" spans="1:3">
      <c r="A1814" s="2" t="s">
        <v>3714</v>
      </c>
      <c r="B1814" s="2" t="s">
        <v>38</v>
      </c>
      <c r="C1814" s="2">
        <v>162</v>
      </c>
    </row>
    <row r="1815" spans="1:3">
      <c r="A1815" s="2" t="s">
        <v>2678</v>
      </c>
      <c r="B1815" s="2" t="s">
        <v>38</v>
      </c>
      <c r="C1815" s="2">
        <v>161</v>
      </c>
    </row>
    <row r="1816" spans="1:3">
      <c r="A1816" s="2" t="s">
        <v>4416</v>
      </c>
      <c r="B1816" s="2" t="s">
        <v>38</v>
      </c>
      <c r="C1816" s="2">
        <v>159</v>
      </c>
    </row>
    <row r="1817" spans="1:3">
      <c r="A1817" s="2" t="s">
        <v>3728</v>
      </c>
      <c r="B1817" s="2" t="s">
        <v>38</v>
      </c>
      <c r="C1817" s="2">
        <v>154</v>
      </c>
    </row>
    <row r="1818" spans="1:3">
      <c r="A1818" s="2" t="s">
        <v>565</v>
      </c>
      <c r="B1818" s="2" t="s">
        <v>38</v>
      </c>
      <c r="C1818" s="2">
        <v>149</v>
      </c>
    </row>
    <row r="1819" spans="1:3">
      <c r="A1819" s="2" t="s">
        <v>1291</v>
      </c>
      <c r="B1819" s="2" t="s">
        <v>38</v>
      </c>
      <c r="C1819" s="2">
        <v>146</v>
      </c>
    </row>
    <row r="1820" spans="1:3">
      <c r="A1820" s="2" t="s">
        <v>4839</v>
      </c>
      <c r="B1820" s="2" t="s">
        <v>38</v>
      </c>
      <c r="C1820" s="2">
        <v>145</v>
      </c>
    </row>
    <row r="1821" spans="1:3">
      <c r="A1821" s="2" t="s">
        <v>4765</v>
      </c>
      <c r="B1821" s="2" t="s">
        <v>38</v>
      </c>
      <c r="C1821" s="2">
        <v>140</v>
      </c>
    </row>
    <row r="1822" spans="1:3">
      <c r="A1822" s="2" t="s">
        <v>3192</v>
      </c>
      <c r="B1822" s="2" t="s">
        <v>38</v>
      </c>
      <c r="C1822" s="2">
        <v>140</v>
      </c>
    </row>
    <row r="1823" spans="1:3">
      <c r="A1823" s="2" t="s">
        <v>4738</v>
      </c>
      <c r="B1823" s="2" t="s">
        <v>38</v>
      </c>
      <c r="C1823" s="2">
        <v>139</v>
      </c>
    </row>
    <row r="1824" spans="1:3">
      <c r="A1824" s="2" t="s">
        <v>4362</v>
      </c>
      <c r="B1824" s="2" t="s">
        <v>38</v>
      </c>
      <c r="C1824" s="2">
        <v>138</v>
      </c>
    </row>
    <row r="1825" spans="1:3">
      <c r="A1825" s="2" t="s">
        <v>1278</v>
      </c>
      <c r="B1825" s="2" t="s">
        <v>38</v>
      </c>
      <c r="C1825" s="2">
        <v>137</v>
      </c>
    </row>
    <row r="1826" spans="1:3">
      <c r="A1826" s="2" t="s">
        <v>2694</v>
      </c>
      <c r="B1826" s="2" t="s">
        <v>38</v>
      </c>
      <c r="C1826" s="2">
        <v>137</v>
      </c>
    </row>
    <row r="1827" spans="1:3">
      <c r="A1827" s="2" t="s">
        <v>2783</v>
      </c>
      <c r="B1827" s="2" t="s">
        <v>38</v>
      </c>
      <c r="C1827" s="2">
        <v>134</v>
      </c>
    </row>
    <row r="1828" spans="1:3">
      <c r="A1828" s="2" t="s">
        <v>2223</v>
      </c>
      <c r="B1828" s="2" t="s">
        <v>38</v>
      </c>
      <c r="C1828" s="2">
        <v>134</v>
      </c>
    </row>
    <row r="1829" spans="1:3">
      <c r="A1829" s="2" t="s">
        <v>4424</v>
      </c>
      <c r="B1829" s="2" t="s">
        <v>38</v>
      </c>
      <c r="C1829" s="2">
        <v>131</v>
      </c>
    </row>
    <row r="1830" spans="1:3">
      <c r="A1830" s="2" t="s">
        <v>544</v>
      </c>
      <c r="B1830" s="2" t="s">
        <v>38</v>
      </c>
      <c r="C1830" s="2">
        <v>126</v>
      </c>
    </row>
    <row r="1831" spans="1:3">
      <c r="A1831" s="2" t="s">
        <v>3642</v>
      </c>
      <c r="B1831" s="2" t="s">
        <v>38</v>
      </c>
      <c r="C1831" s="2">
        <v>123</v>
      </c>
    </row>
    <row r="1832" spans="1:3">
      <c r="A1832" s="2" t="s">
        <v>1264</v>
      </c>
      <c r="B1832" s="2" t="s">
        <v>38</v>
      </c>
      <c r="C1832" s="2">
        <v>122</v>
      </c>
    </row>
    <row r="1833" spans="1:3">
      <c r="A1833" s="2" t="s">
        <v>2149</v>
      </c>
      <c r="B1833" s="2" t="s">
        <v>38</v>
      </c>
      <c r="C1833" s="2">
        <v>121</v>
      </c>
    </row>
    <row r="1834" spans="1:3">
      <c r="A1834" s="2" t="s">
        <v>451</v>
      </c>
      <c r="B1834" s="2" t="s">
        <v>38</v>
      </c>
      <c r="C1834" s="2">
        <v>119</v>
      </c>
    </row>
    <row r="1835" spans="1:3">
      <c r="A1835" s="2" t="s">
        <v>1793</v>
      </c>
      <c r="B1835" s="2" t="s">
        <v>38</v>
      </c>
      <c r="C1835" s="2">
        <v>112</v>
      </c>
    </row>
    <row r="1836" spans="1:3">
      <c r="A1836" s="2" t="s">
        <v>4136</v>
      </c>
      <c r="B1836" s="2" t="s">
        <v>38</v>
      </c>
      <c r="C1836" s="2">
        <v>108</v>
      </c>
    </row>
    <row r="1837" spans="1:3">
      <c r="A1837" s="2" t="s">
        <v>4775</v>
      </c>
      <c r="B1837" s="2" t="s">
        <v>38</v>
      </c>
      <c r="C1837" s="2">
        <v>108</v>
      </c>
    </row>
    <row r="1838" spans="1:3">
      <c r="A1838" s="2" t="s">
        <v>511</v>
      </c>
      <c r="B1838" s="2" t="s">
        <v>38</v>
      </c>
      <c r="C1838" s="2">
        <v>106</v>
      </c>
    </row>
    <row r="1839" spans="1:3">
      <c r="A1839" s="2" t="s">
        <v>1398</v>
      </c>
      <c r="B1839" s="2" t="s">
        <v>38</v>
      </c>
      <c r="C1839" s="2">
        <v>106</v>
      </c>
    </row>
    <row r="1840" spans="1:3">
      <c r="A1840" s="2" t="s">
        <v>549</v>
      </c>
      <c r="B1840" s="2" t="s">
        <v>38</v>
      </c>
      <c r="C1840" s="2">
        <v>102</v>
      </c>
    </row>
    <row r="1841" spans="1:3">
      <c r="A1841" s="2" t="s">
        <v>2221</v>
      </c>
      <c r="B1841" s="2" t="s">
        <v>38</v>
      </c>
      <c r="C1841" s="2">
        <v>101</v>
      </c>
    </row>
    <row r="1842" spans="1:3">
      <c r="A1842" s="2" t="s">
        <v>3718</v>
      </c>
      <c r="B1842" s="2" t="s">
        <v>38</v>
      </c>
      <c r="C1842" s="2">
        <v>100</v>
      </c>
    </row>
    <row r="1843" spans="1:3">
      <c r="A1843" s="2" t="s">
        <v>2164</v>
      </c>
      <c r="B1843" s="2" t="s">
        <v>38</v>
      </c>
      <c r="C1843" s="2">
        <v>98</v>
      </c>
    </row>
    <row r="1844" spans="1:3">
      <c r="A1844" s="2" t="s">
        <v>1337</v>
      </c>
      <c r="B1844" s="2" t="s">
        <v>38</v>
      </c>
      <c r="C1844" s="2">
        <v>97</v>
      </c>
    </row>
    <row r="1845" spans="1:3">
      <c r="A1845" s="2" t="s">
        <v>4719</v>
      </c>
      <c r="B1845" s="2" t="s">
        <v>38</v>
      </c>
      <c r="C1845" s="2">
        <v>95</v>
      </c>
    </row>
    <row r="1846" spans="1:3">
      <c r="A1846" s="2" t="s">
        <v>2829</v>
      </c>
      <c r="B1846" s="2" t="s">
        <v>38</v>
      </c>
      <c r="C1846" s="2">
        <v>93</v>
      </c>
    </row>
    <row r="1847" spans="1:3">
      <c r="A1847" s="2" t="s">
        <v>1295</v>
      </c>
      <c r="B1847" s="2" t="s">
        <v>38</v>
      </c>
      <c r="C1847" s="2">
        <v>93</v>
      </c>
    </row>
    <row r="1848" spans="1:3">
      <c r="A1848" s="2" t="s">
        <v>2718</v>
      </c>
      <c r="B1848" s="2" t="s">
        <v>38</v>
      </c>
      <c r="C1848" s="2">
        <v>90</v>
      </c>
    </row>
    <row r="1849" spans="1:3">
      <c r="A1849" s="2" t="s">
        <v>2799</v>
      </c>
      <c r="B1849" s="2" t="s">
        <v>38</v>
      </c>
      <c r="C1849" s="2">
        <v>86</v>
      </c>
    </row>
    <row r="1850" spans="1:3">
      <c r="A1850" s="2" t="s">
        <v>4797</v>
      </c>
      <c r="B1850" s="2" t="s">
        <v>38</v>
      </c>
      <c r="C1850" s="2">
        <v>86</v>
      </c>
    </row>
    <row r="1851" spans="1:3">
      <c r="A1851" s="2" t="s">
        <v>2196</v>
      </c>
      <c r="B1851" s="2" t="s">
        <v>38</v>
      </c>
      <c r="C1851" s="2">
        <v>85</v>
      </c>
    </row>
    <row r="1852" spans="1:3">
      <c r="A1852" s="2" t="s">
        <v>3168</v>
      </c>
      <c r="B1852" s="2" t="s">
        <v>38</v>
      </c>
      <c r="C1852" s="2">
        <v>78</v>
      </c>
    </row>
    <row r="1853" spans="1:3">
      <c r="A1853" s="2" t="s">
        <v>2136</v>
      </c>
      <c r="B1853" s="2" t="s">
        <v>38</v>
      </c>
      <c r="C1853" s="2">
        <v>77</v>
      </c>
    </row>
    <row r="1854" spans="1:3">
      <c r="A1854" s="2" t="s">
        <v>504</v>
      </c>
      <c r="B1854" s="2" t="s">
        <v>38</v>
      </c>
      <c r="C1854" s="2">
        <v>75</v>
      </c>
    </row>
    <row r="1855" spans="1:3">
      <c r="A1855" s="2" t="s">
        <v>2834</v>
      </c>
      <c r="B1855" s="2" t="s">
        <v>38</v>
      </c>
      <c r="C1855" s="2">
        <v>73</v>
      </c>
    </row>
    <row r="1856" spans="1:3">
      <c r="A1856" s="2" t="s">
        <v>4049</v>
      </c>
      <c r="B1856" s="2" t="s">
        <v>38</v>
      </c>
      <c r="C1856" s="2">
        <v>73</v>
      </c>
    </row>
    <row r="1857" spans="1:3">
      <c r="A1857" s="2" t="s">
        <v>2684</v>
      </c>
      <c r="B1857" s="2" t="s">
        <v>38</v>
      </c>
      <c r="C1857" s="2">
        <v>73</v>
      </c>
    </row>
    <row r="1858" spans="1:3">
      <c r="A1858" s="2" t="s">
        <v>2847</v>
      </c>
      <c r="B1858" s="2" t="s">
        <v>38</v>
      </c>
      <c r="C1858" s="2">
        <v>67</v>
      </c>
    </row>
    <row r="1859" spans="1:3">
      <c r="A1859" s="2" t="s">
        <v>2102</v>
      </c>
      <c r="B1859" s="2" t="s">
        <v>38</v>
      </c>
      <c r="C1859" s="2">
        <v>64</v>
      </c>
    </row>
    <row r="1860" spans="1:3">
      <c r="A1860" s="2" t="s">
        <v>4731</v>
      </c>
      <c r="B1860" s="2" t="s">
        <v>38</v>
      </c>
      <c r="C1860" s="2">
        <v>59</v>
      </c>
    </row>
    <row r="1861" spans="1:3">
      <c r="A1861" s="2" t="s">
        <v>4799</v>
      </c>
      <c r="B1861" s="2" t="s">
        <v>38</v>
      </c>
      <c r="C1861" s="2">
        <v>58</v>
      </c>
    </row>
    <row r="1862" spans="1:3">
      <c r="A1862" s="2" t="s">
        <v>4767</v>
      </c>
      <c r="B1862" s="2" t="s">
        <v>38</v>
      </c>
      <c r="C1862" s="2">
        <v>58</v>
      </c>
    </row>
    <row r="1863" spans="1:3">
      <c r="A1863" s="2" t="s">
        <v>4787</v>
      </c>
      <c r="B1863" s="2" t="s">
        <v>38</v>
      </c>
      <c r="C1863" s="2">
        <v>52</v>
      </c>
    </row>
    <row r="1864" spans="1:3">
      <c r="A1864" s="2" t="s">
        <v>4369</v>
      </c>
      <c r="B1864" s="2" t="s">
        <v>38</v>
      </c>
      <c r="C1864" s="2">
        <v>48</v>
      </c>
    </row>
    <row r="1865" spans="1:3">
      <c r="A1865" s="2" t="s">
        <v>4829</v>
      </c>
      <c r="B1865" s="2" t="s">
        <v>38</v>
      </c>
      <c r="C1865" s="2">
        <v>46</v>
      </c>
    </row>
    <row r="1866" spans="1:3">
      <c r="A1866" s="2" t="s">
        <v>1289</v>
      </c>
      <c r="B1866" s="2" t="s">
        <v>38</v>
      </c>
      <c r="C1866" s="2">
        <v>44</v>
      </c>
    </row>
    <row r="1867" spans="1:3">
      <c r="A1867" s="2" t="s">
        <v>491</v>
      </c>
      <c r="B1867" s="2" t="s">
        <v>38</v>
      </c>
      <c r="C1867" s="2">
        <v>43</v>
      </c>
    </row>
    <row r="1868" spans="1:3">
      <c r="A1868" s="2" t="s">
        <v>557</v>
      </c>
      <c r="B1868" s="2" t="s">
        <v>38</v>
      </c>
      <c r="C1868" s="2">
        <v>39</v>
      </c>
    </row>
    <row r="1869" spans="1:3">
      <c r="A1869" s="2" t="s">
        <v>2817</v>
      </c>
      <c r="B1869" s="2" t="s">
        <v>38</v>
      </c>
      <c r="C1869" s="2">
        <v>32</v>
      </c>
    </row>
    <row r="1870" spans="1:3">
      <c r="A1870" s="2" t="s">
        <v>3141</v>
      </c>
      <c r="B1870" s="2" t="s">
        <v>38</v>
      </c>
      <c r="C1870" s="2">
        <v>29</v>
      </c>
    </row>
    <row r="1871" spans="1:3">
      <c r="A1871" s="2" t="s">
        <v>2157</v>
      </c>
      <c r="B1871" s="2" t="s">
        <v>38</v>
      </c>
      <c r="C1871" s="2">
        <v>29</v>
      </c>
    </row>
    <row r="1872" spans="1:3">
      <c r="A1872" s="2" t="s">
        <v>2274</v>
      </c>
      <c r="B1872" s="2" t="s">
        <v>38</v>
      </c>
      <c r="C1872" s="2">
        <v>28</v>
      </c>
    </row>
    <row r="1873" spans="1:3">
      <c r="A1873" s="2" t="s">
        <v>3662</v>
      </c>
      <c r="B1873" s="2" t="s">
        <v>38</v>
      </c>
      <c r="C1873" s="2">
        <v>25</v>
      </c>
    </row>
    <row r="1874" spans="1:3">
      <c r="A1874" s="2" t="s">
        <v>561</v>
      </c>
      <c r="B1874" s="2" t="s">
        <v>38</v>
      </c>
      <c r="C1874" s="2">
        <v>23</v>
      </c>
    </row>
    <row r="1875" spans="1:3">
      <c r="A1875" s="2" t="s">
        <v>3595</v>
      </c>
      <c r="B1875" s="2" t="s">
        <v>38</v>
      </c>
      <c r="C1875" s="2">
        <v>22</v>
      </c>
    </row>
    <row r="1876" spans="1:3">
      <c r="A1876" s="2" t="s">
        <v>2227</v>
      </c>
      <c r="B1876" s="2" t="s">
        <v>38</v>
      </c>
      <c r="C1876" s="2">
        <v>22</v>
      </c>
    </row>
    <row r="1877" spans="1:3">
      <c r="A1877" s="2" t="s">
        <v>2819</v>
      </c>
      <c r="B1877" s="2" t="s">
        <v>38</v>
      </c>
      <c r="C1877" s="2">
        <v>22</v>
      </c>
    </row>
    <row r="1878" spans="1:3">
      <c r="A1878" s="2" t="s">
        <v>2213</v>
      </c>
      <c r="B1878" s="2" t="s">
        <v>38</v>
      </c>
      <c r="C1878" s="2">
        <v>19</v>
      </c>
    </row>
    <row r="1879" spans="1:3">
      <c r="A1879" s="2" t="s">
        <v>2139</v>
      </c>
      <c r="B1879" s="2" t="s">
        <v>38</v>
      </c>
      <c r="C1879" s="2">
        <v>17</v>
      </c>
    </row>
    <row r="1880" spans="1:3">
      <c r="A1880" s="2" t="s">
        <v>613</v>
      </c>
      <c r="B1880" s="2" t="s">
        <v>38</v>
      </c>
      <c r="C1880" s="2">
        <v>17</v>
      </c>
    </row>
    <row r="1881" spans="1:3">
      <c r="A1881" s="2" t="s">
        <v>3621</v>
      </c>
      <c r="B1881" s="2" t="s">
        <v>38</v>
      </c>
      <c r="C1881" s="2">
        <v>17</v>
      </c>
    </row>
    <row r="1882" spans="1:3">
      <c r="A1882" s="2" t="s">
        <v>1287</v>
      </c>
      <c r="B1882" s="2" t="s">
        <v>38</v>
      </c>
      <c r="C1882" s="2">
        <v>17</v>
      </c>
    </row>
    <row r="1883" spans="1:3">
      <c r="A1883" s="2" t="s">
        <v>3285</v>
      </c>
      <c r="B1883" s="2" t="s">
        <v>38</v>
      </c>
      <c r="C1883" s="2">
        <v>16</v>
      </c>
    </row>
    <row r="1884" spans="1:3">
      <c r="A1884" s="2" t="s">
        <v>3306</v>
      </c>
      <c r="B1884" s="2" t="s">
        <v>38</v>
      </c>
      <c r="C1884" s="2">
        <v>16</v>
      </c>
    </row>
    <row r="1885" spans="1:3">
      <c r="A1885" s="2" t="s">
        <v>3652</v>
      </c>
      <c r="B1885" s="2" t="s">
        <v>38</v>
      </c>
      <c r="C1885" s="2">
        <v>16</v>
      </c>
    </row>
    <row r="1886" spans="1:3">
      <c r="A1886" s="2" t="s">
        <v>2108</v>
      </c>
      <c r="B1886" s="2" t="s">
        <v>38</v>
      </c>
      <c r="C1886" s="2">
        <v>15</v>
      </c>
    </row>
    <row r="1887" spans="1:3">
      <c r="A1887" s="2" t="s">
        <v>3283</v>
      </c>
      <c r="B1887" s="2" t="s">
        <v>38</v>
      </c>
      <c r="C1887" s="2">
        <v>14</v>
      </c>
    </row>
    <row r="1888" spans="1:3">
      <c r="A1888" s="2" t="s">
        <v>2815</v>
      </c>
      <c r="B1888" s="2" t="s">
        <v>38</v>
      </c>
      <c r="C1888" s="2">
        <v>13</v>
      </c>
    </row>
    <row r="1889" spans="1:3">
      <c r="A1889" s="2" t="s">
        <v>2659</v>
      </c>
      <c r="B1889" s="2" t="s">
        <v>38</v>
      </c>
      <c r="C1889" s="2">
        <v>12</v>
      </c>
    </row>
    <row r="1890" spans="1:3">
      <c r="A1890" s="2" t="s">
        <v>2808</v>
      </c>
      <c r="B1890" s="2" t="s">
        <v>38</v>
      </c>
      <c r="C1890" s="2">
        <v>11</v>
      </c>
    </row>
    <row r="1891" spans="1:3">
      <c r="A1891" s="2" t="s">
        <v>3605</v>
      </c>
      <c r="B1891" s="2" t="s">
        <v>38</v>
      </c>
      <c r="C1891" s="2">
        <v>11</v>
      </c>
    </row>
    <row r="1892" spans="1:3">
      <c r="A1892" s="2" t="s">
        <v>2141</v>
      </c>
      <c r="B1892" s="2" t="s">
        <v>38</v>
      </c>
      <c r="C1892" s="2">
        <v>11</v>
      </c>
    </row>
    <row r="1893" spans="1:3">
      <c r="A1893" s="2" t="s">
        <v>2692</v>
      </c>
      <c r="B1893" s="2" t="s">
        <v>38</v>
      </c>
      <c r="C1893" s="2">
        <v>10</v>
      </c>
    </row>
    <row r="1894" spans="1:3">
      <c r="A1894" s="2" t="s">
        <v>1247</v>
      </c>
      <c r="B1894" s="2" t="s">
        <v>38</v>
      </c>
      <c r="C1894" s="2">
        <v>9</v>
      </c>
    </row>
    <row r="1895" spans="1:3">
      <c r="A1895" s="2" t="s">
        <v>3287</v>
      </c>
      <c r="B1895" s="2" t="s">
        <v>38</v>
      </c>
      <c r="C1895" s="2">
        <v>9</v>
      </c>
    </row>
    <row r="1896" spans="1:3">
      <c r="A1896" s="2" t="s">
        <v>2270</v>
      </c>
      <c r="B1896" s="2" t="s">
        <v>38</v>
      </c>
      <c r="C1896" s="2">
        <v>9</v>
      </c>
    </row>
    <row r="1897" spans="1:3">
      <c r="A1897" s="2" t="s">
        <v>454</v>
      </c>
      <c r="B1897" s="2" t="s">
        <v>38</v>
      </c>
      <c r="C1897" s="2">
        <v>8</v>
      </c>
    </row>
    <row r="1898" spans="1:3">
      <c r="A1898" s="2" t="s">
        <v>2215</v>
      </c>
      <c r="B1898" s="2" t="s">
        <v>38</v>
      </c>
      <c r="C1898" s="2">
        <v>8</v>
      </c>
    </row>
    <row r="1899" spans="1:3">
      <c r="A1899" s="2" t="s">
        <v>2160</v>
      </c>
      <c r="B1899" s="2" t="s">
        <v>38</v>
      </c>
      <c r="C1899" s="2">
        <v>8</v>
      </c>
    </row>
    <row r="1900" spans="1:3">
      <c r="A1900" s="2" t="s">
        <v>554</v>
      </c>
      <c r="B1900" s="2" t="s">
        <v>38</v>
      </c>
      <c r="C1900" s="2">
        <v>7</v>
      </c>
    </row>
    <row r="1901" spans="1:3">
      <c r="A1901" s="2" t="s">
        <v>1281</v>
      </c>
      <c r="B1901" s="2" t="s">
        <v>38</v>
      </c>
      <c r="C1901" s="2">
        <v>7</v>
      </c>
    </row>
    <row r="1902" spans="1:3">
      <c r="A1902" s="2" t="s">
        <v>1244</v>
      </c>
      <c r="B1902" s="2" t="s">
        <v>38</v>
      </c>
      <c r="C1902" s="2">
        <v>6</v>
      </c>
    </row>
    <row r="1903" spans="1:3">
      <c r="A1903" s="2" t="s">
        <v>2155</v>
      </c>
      <c r="B1903" s="2" t="s">
        <v>38</v>
      </c>
      <c r="C1903" s="2">
        <v>6</v>
      </c>
    </row>
    <row r="1904" spans="1:3">
      <c r="A1904" s="2" t="s">
        <v>2825</v>
      </c>
      <c r="B1904" s="2" t="s">
        <v>38</v>
      </c>
      <c r="C1904" s="2">
        <v>6</v>
      </c>
    </row>
    <row r="1905" spans="1:3">
      <c r="A1905" s="2" t="s">
        <v>3654</v>
      </c>
      <c r="B1905" s="2" t="s">
        <v>38</v>
      </c>
      <c r="C1905" s="2">
        <v>5</v>
      </c>
    </row>
    <row r="1906" spans="1:3">
      <c r="A1906" s="2" t="s">
        <v>3198</v>
      </c>
      <c r="B1906" s="2" t="s">
        <v>38</v>
      </c>
      <c r="C1906" s="2">
        <v>4</v>
      </c>
    </row>
    <row r="1907" spans="1:3">
      <c r="A1907" s="2" t="s">
        <v>3627</v>
      </c>
      <c r="B1907" s="2" t="s">
        <v>38</v>
      </c>
      <c r="C1907" s="2">
        <v>4</v>
      </c>
    </row>
    <row r="1908" spans="1:3">
      <c r="A1908" s="2" t="s">
        <v>2812</v>
      </c>
      <c r="B1908" s="2" t="s">
        <v>38</v>
      </c>
      <c r="C1908" s="2">
        <v>4</v>
      </c>
    </row>
    <row r="1909" spans="1:3">
      <c r="A1909" s="2" t="s">
        <v>3592</v>
      </c>
      <c r="B1909" s="2" t="s">
        <v>38</v>
      </c>
      <c r="C1909" s="2">
        <v>2</v>
      </c>
    </row>
    <row r="1910" spans="1:3">
      <c r="A1910" s="2" t="s">
        <v>3302</v>
      </c>
      <c r="B1910" s="2" t="s">
        <v>38</v>
      </c>
      <c r="C1910" s="2">
        <v>1</v>
      </c>
    </row>
    <row r="1911" spans="1:3">
      <c r="A1911" s="2" t="s">
        <v>3281</v>
      </c>
      <c r="B1911" s="2" t="s">
        <v>38</v>
      </c>
      <c r="C1911" s="2">
        <v>1</v>
      </c>
    </row>
    <row r="1912" spans="1:3">
      <c r="A1912" s="2" t="s">
        <v>1283</v>
      </c>
      <c r="B1912" s="2" t="s">
        <v>38</v>
      </c>
      <c r="C1912" s="2">
        <v>1</v>
      </c>
    </row>
    <row r="1913" spans="1:3">
      <c r="A1913" s="2" t="s">
        <v>2687</v>
      </c>
      <c r="B1913" s="2" t="s">
        <v>38</v>
      </c>
      <c r="C1913" s="2">
        <v>1</v>
      </c>
    </row>
    <row r="1914" spans="1:3">
      <c r="A1914" s="2" t="s">
        <v>2823</v>
      </c>
      <c r="B1914" s="2" t="s">
        <v>38</v>
      </c>
      <c r="C1914" s="2">
        <v>1</v>
      </c>
    </row>
    <row r="1915" spans="1:3">
      <c r="A1915" s="2" t="s">
        <v>3624</v>
      </c>
      <c r="B1915" s="2" t="s">
        <v>38</v>
      </c>
      <c r="C1915" s="2">
        <v>1</v>
      </c>
    </row>
    <row r="1916" spans="1:3">
      <c r="A1916" s="2" t="s">
        <v>457</v>
      </c>
      <c r="B1916" s="2" t="s">
        <v>38</v>
      </c>
      <c r="C1916" s="2">
        <v>1</v>
      </c>
    </row>
    <row r="1917" spans="1:3">
      <c r="A1917" s="2" t="s">
        <v>1238</v>
      </c>
      <c r="B1917" s="2" t="s">
        <v>38</v>
      </c>
      <c r="C1917" s="2">
        <v>1</v>
      </c>
    </row>
    <row r="1918" spans="1:3">
      <c r="A1918" s="2" t="s">
        <v>603</v>
      </c>
      <c r="B1918" s="2" t="s">
        <v>38</v>
      </c>
      <c r="C1918" s="2">
        <v>1</v>
      </c>
    </row>
    <row r="1919" spans="1:3">
      <c r="A1919" s="2" t="s">
        <v>2145</v>
      </c>
      <c r="B1919" s="2" t="s">
        <v>38</v>
      </c>
      <c r="C1919" s="2">
        <v>1</v>
      </c>
    </row>
    <row r="1920" spans="1:3">
      <c r="A1920" s="2" t="s">
        <v>2217</v>
      </c>
      <c r="B1920" s="2" t="s">
        <v>38</v>
      </c>
      <c r="C1920" s="2">
        <v>1</v>
      </c>
    </row>
    <row r="1921" spans="1:3">
      <c r="A1921" s="2" t="s">
        <v>1706</v>
      </c>
      <c r="B1921" s="2" t="s">
        <v>38</v>
      </c>
      <c r="C1921" s="2">
        <v>1</v>
      </c>
    </row>
    <row r="1922" spans="1:3">
      <c r="A1922" s="2" t="s">
        <v>1783</v>
      </c>
      <c r="B1922" s="2" t="s">
        <v>38</v>
      </c>
      <c r="C1922" s="2">
        <v>1</v>
      </c>
    </row>
    <row r="1923" spans="1:3">
      <c r="A1923" s="2" t="s">
        <v>3308</v>
      </c>
      <c r="B1923" s="2" t="s">
        <v>38</v>
      </c>
      <c r="C1923" s="2">
        <v>1</v>
      </c>
    </row>
    <row r="1924" spans="1:3">
      <c r="A1924" s="2" t="s">
        <v>2657</v>
      </c>
      <c r="B1924" s="2" t="s">
        <v>38</v>
      </c>
      <c r="C1924" s="2">
        <v>1</v>
      </c>
    </row>
    <row r="1925" spans="1:3">
      <c r="A1925" s="2" t="s">
        <v>2810</v>
      </c>
      <c r="B1925" s="2" t="s">
        <v>38</v>
      </c>
      <c r="C1925" s="2">
        <v>1</v>
      </c>
    </row>
    <row r="1926" spans="1:3">
      <c r="A1926" s="2" t="s">
        <v>2803</v>
      </c>
      <c r="B1926" s="2" t="s">
        <v>38</v>
      </c>
      <c r="C1926" s="2">
        <v>1</v>
      </c>
    </row>
    <row r="1927" spans="1:3">
      <c r="A1927" s="2" t="s">
        <v>3657</v>
      </c>
      <c r="B1927" s="2" t="s">
        <v>38</v>
      </c>
      <c r="C1927" s="2">
        <v>1</v>
      </c>
    </row>
    <row r="1928" spans="1:3">
      <c r="A1928" s="2" t="s">
        <v>506</v>
      </c>
      <c r="B1928" s="2" t="s">
        <v>38</v>
      </c>
      <c r="C1928" s="2">
        <v>1</v>
      </c>
    </row>
    <row r="1929" spans="1:3">
      <c r="A1929" s="2" t="s">
        <v>1236</v>
      </c>
      <c r="B1929" s="2" t="s">
        <v>38</v>
      </c>
      <c r="C1929" s="2">
        <v>1</v>
      </c>
    </row>
    <row r="1930" spans="1:3">
      <c r="A1930" s="2" t="s">
        <v>2147</v>
      </c>
      <c r="B1930" s="2" t="s">
        <v>38</v>
      </c>
      <c r="C1930" s="2">
        <v>1</v>
      </c>
    </row>
    <row r="1931" spans="1:3">
      <c r="A1931" s="2" t="s">
        <v>2143</v>
      </c>
      <c r="B1931" s="2" t="s">
        <v>38</v>
      </c>
      <c r="C1931" s="2">
        <v>1</v>
      </c>
    </row>
    <row r="1932" spans="1:3">
      <c r="A1932" s="2" t="s">
        <v>1702</v>
      </c>
      <c r="B1932" s="2" t="s">
        <v>38</v>
      </c>
      <c r="C1932" s="2">
        <v>1</v>
      </c>
    </row>
    <row r="1933" spans="1:3">
      <c r="A1933" s="2" t="s">
        <v>3146</v>
      </c>
      <c r="B1933" s="2" t="s">
        <v>38</v>
      </c>
      <c r="C1933" s="2">
        <v>1</v>
      </c>
    </row>
    <row r="1934" spans="1:3">
      <c r="A1934" s="2" t="s">
        <v>3277</v>
      </c>
      <c r="B1934" s="2" t="s">
        <v>38</v>
      </c>
      <c r="C1934" s="2">
        <v>1</v>
      </c>
    </row>
    <row r="1935" spans="1:3">
      <c r="A1935" s="2" t="s">
        <v>3296</v>
      </c>
      <c r="B1935" s="2" t="s">
        <v>38</v>
      </c>
      <c r="C1935" s="2">
        <v>1</v>
      </c>
    </row>
    <row r="1936" spans="1:3">
      <c r="A1936" s="2" t="s">
        <v>1293</v>
      </c>
      <c r="B1936" s="2" t="s">
        <v>38</v>
      </c>
      <c r="C1936" s="2">
        <v>1</v>
      </c>
    </row>
    <row r="1937" spans="1:3">
      <c r="A1937" s="2" t="s">
        <v>2689</v>
      </c>
      <c r="B1937" s="2" t="s">
        <v>38</v>
      </c>
      <c r="C1937" s="2">
        <v>1</v>
      </c>
    </row>
    <row r="1938" spans="1:3">
      <c r="A1938" s="2" t="s">
        <v>2821</v>
      </c>
      <c r="B1938" s="2" t="s">
        <v>38</v>
      </c>
      <c r="C1938" s="2">
        <v>1</v>
      </c>
    </row>
    <row r="1939" spans="1:3">
      <c r="A1939" s="2" t="s">
        <v>460</v>
      </c>
      <c r="B1939" s="2" t="s">
        <v>38</v>
      </c>
      <c r="C1939" s="2">
        <v>1</v>
      </c>
    </row>
    <row r="1940" spans="1:3">
      <c r="A1940" s="2" t="s">
        <v>498</v>
      </c>
      <c r="B1940" s="2" t="s">
        <v>38</v>
      </c>
      <c r="C1940" s="2">
        <v>1</v>
      </c>
    </row>
    <row r="1941" spans="1:3">
      <c r="A1941" s="2" t="s">
        <v>1232</v>
      </c>
      <c r="B1941" s="2" t="s">
        <v>38</v>
      </c>
      <c r="C1941" s="2">
        <v>1</v>
      </c>
    </row>
    <row r="1942" spans="1:3">
      <c r="A1942" s="2" t="s">
        <v>2162</v>
      </c>
      <c r="B1942" s="2" t="s">
        <v>38</v>
      </c>
      <c r="C1942" s="2">
        <v>1</v>
      </c>
    </row>
    <row r="1943" spans="1:3">
      <c r="A1943" s="2" t="s">
        <v>2151</v>
      </c>
      <c r="B1943" s="2" t="s">
        <v>38</v>
      </c>
      <c r="C1943" s="2">
        <v>1</v>
      </c>
    </row>
    <row r="1944" spans="1:3">
      <c r="A1944" s="2" t="s">
        <v>4770</v>
      </c>
      <c r="B1944" s="2" t="s">
        <v>38</v>
      </c>
      <c r="C1944" s="2">
        <v>1</v>
      </c>
    </row>
    <row r="1945" spans="1:3">
      <c r="A1945" s="2" t="s">
        <v>1704</v>
      </c>
      <c r="B1945" s="2" t="s">
        <v>38</v>
      </c>
      <c r="C1945" s="2">
        <v>1</v>
      </c>
    </row>
    <row r="1946" spans="1:3">
      <c r="A1946" s="2" t="s">
        <v>3144</v>
      </c>
      <c r="B1946" s="2" t="s">
        <v>38</v>
      </c>
      <c r="C1946" s="2">
        <v>1</v>
      </c>
    </row>
    <row r="1947" spans="1:3">
      <c r="A1947" s="2" t="s">
        <v>724</v>
      </c>
      <c r="B1947" s="2" t="s">
        <v>37</v>
      </c>
      <c r="C1947" s="2">
        <v>2080</v>
      </c>
    </row>
    <row r="1948" spans="1:3">
      <c r="A1948" s="2" t="s">
        <v>719</v>
      </c>
      <c r="B1948" s="2" t="s">
        <v>37</v>
      </c>
      <c r="C1948" s="2">
        <v>2076</v>
      </c>
    </row>
    <row r="1949" spans="1:3">
      <c r="A1949" s="2" t="s">
        <v>761</v>
      </c>
      <c r="B1949" s="2" t="s">
        <v>37</v>
      </c>
      <c r="C1949" s="2">
        <v>2070</v>
      </c>
    </row>
    <row r="1950" spans="1:3">
      <c r="A1950" s="2" t="s">
        <v>721</v>
      </c>
      <c r="B1950" s="2" t="s">
        <v>37</v>
      </c>
      <c r="C1950" s="2">
        <v>2043</v>
      </c>
    </row>
    <row r="1951" spans="1:3">
      <c r="A1951" s="2" t="s">
        <v>712</v>
      </c>
      <c r="B1951" s="2" t="s">
        <v>37</v>
      </c>
      <c r="C1951" s="2">
        <v>2027</v>
      </c>
    </row>
    <row r="1952" spans="1:3">
      <c r="A1952" s="2" t="s">
        <v>734</v>
      </c>
      <c r="B1952" s="2" t="s">
        <v>37</v>
      </c>
      <c r="C1952" s="2">
        <v>1956</v>
      </c>
    </row>
    <row r="1953" spans="1:3">
      <c r="A1953" s="2" t="s">
        <v>802</v>
      </c>
      <c r="B1953" s="2" t="s">
        <v>37</v>
      </c>
      <c r="C1953" s="2">
        <v>1956</v>
      </c>
    </row>
    <row r="1954" spans="1:3">
      <c r="A1954" s="2" t="s">
        <v>751</v>
      </c>
      <c r="B1954" s="2" t="s">
        <v>37</v>
      </c>
      <c r="C1954" s="2">
        <v>1931</v>
      </c>
    </row>
    <row r="1955" spans="1:3">
      <c r="A1955" s="2" t="s">
        <v>754</v>
      </c>
      <c r="B1955" s="2" t="s">
        <v>37</v>
      </c>
      <c r="C1955" s="2">
        <v>1930</v>
      </c>
    </row>
    <row r="1956" spans="1:3">
      <c r="A1956" s="2" t="s">
        <v>736</v>
      </c>
      <c r="B1956" s="2" t="s">
        <v>37</v>
      </c>
      <c r="C1956" s="2">
        <v>1913</v>
      </c>
    </row>
    <row r="1957" spans="1:3">
      <c r="A1957" s="2" t="s">
        <v>800</v>
      </c>
      <c r="B1957" s="2" t="s">
        <v>37</v>
      </c>
      <c r="C1957" s="2">
        <v>1880</v>
      </c>
    </row>
    <row r="1958" spans="1:3">
      <c r="A1958" s="2" t="s">
        <v>738</v>
      </c>
      <c r="B1958" s="2" t="s">
        <v>37</v>
      </c>
      <c r="C1958" s="2">
        <v>1875</v>
      </c>
    </row>
    <row r="1959" spans="1:3">
      <c r="A1959" s="2" t="s">
        <v>765</v>
      </c>
      <c r="B1959" s="2" t="s">
        <v>37</v>
      </c>
      <c r="C1959" s="2">
        <v>1841</v>
      </c>
    </row>
    <row r="1960" spans="1:3">
      <c r="A1960" s="2" t="s">
        <v>822</v>
      </c>
      <c r="B1960" s="2" t="s">
        <v>37</v>
      </c>
      <c r="C1960" s="2">
        <v>1823</v>
      </c>
    </row>
    <row r="1961" spans="1:3">
      <c r="A1961" s="2" t="s">
        <v>891</v>
      </c>
      <c r="B1961" s="2" t="s">
        <v>37</v>
      </c>
      <c r="C1961" s="2">
        <v>1809</v>
      </c>
    </row>
    <row r="1962" spans="1:3">
      <c r="A1962" s="2" t="s">
        <v>1455</v>
      </c>
      <c r="B1962" s="2" t="s">
        <v>37</v>
      </c>
      <c r="C1962" s="2">
        <v>1805</v>
      </c>
    </row>
    <row r="1963" spans="1:3">
      <c r="A1963" s="2" t="s">
        <v>909</v>
      </c>
      <c r="B1963" s="2" t="s">
        <v>37</v>
      </c>
      <c r="C1963" s="2">
        <v>1803</v>
      </c>
    </row>
    <row r="1964" spans="1:3">
      <c r="A1964" s="2" t="s">
        <v>831</v>
      </c>
      <c r="B1964" s="2" t="s">
        <v>37</v>
      </c>
      <c r="C1964" s="2">
        <v>1802</v>
      </c>
    </row>
    <row r="1965" spans="1:3">
      <c r="A1965" s="2" t="s">
        <v>769</v>
      </c>
      <c r="B1965" s="2" t="s">
        <v>37</v>
      </c>
      <c r="C1965" s="2">
        <v>1798</v>
      </c>
    </row>
    <row r="1966" spans="1:3">
      <c r="A1966" s="2" t="s">
        <v>814</v>
      </c>
      <c r="B1966" s="2" t="s">
        <v>37</v>
      </c>
      <c r="C1966" s="2">
        <v>1790</v>
      </c>
    </row>
    <row r="1967" spans="1:3">
      <c r="A1967" s="2" t="s">
        <v>804</v>
      </c>
      <c r="B1967" s="2" t="s">
        <v>37</v>
      </c>
      <c r="C1967" s="2">
        <v>1790</v>
      </c>
    </row>
    <row r="1968" spans="1:3">
      <c r="A1968" s="2" t="s">
        <v>828</v>
      </c>
      <c r="B1968" s="2" t="s">
        <v>37</v>
      </c>
      <c r="C1968" s="2">
        <v>1783</v>
      </c>
    </row>
    <row r="1969" spans="1:3">
      <c r="A1969" s="2" t="s">
        <v>826</v>
      </c>
      <c r="B1969" s="2" t="s">
        <v>37</v>
      </c>
      <c r="C1969" s="2">
        <v>1781</v>
      </c>
    </row>
    <row r="1970" spans="1:3">
      <c r="A1970" s="2" t="s">
        <v>778</v>
      </c>
      <c r="B1970" s="2" t="s">
        <v>37</v>
      </c>
      <c r="C1970" s="2">
        <v>1775</v>
      </c>
    </row>
    <row r="1971" spans="1:3">
      <c r="A1971" s="2" t="s">
        <v>837</v>
      </c>
      <c r="B1971" s="2" t="s">
        <v>37</v>
      </c>
      <c r="C1971" s="2">
        <v>1772</v>
      </c>
    </row>
    <row r="1972" spans="1:3">
      <c r="A1972" s="2" t="s">
        <v>727</v>
      </c>
      <c r="B1972" s="2" t="s">
        <v>37</v>
      </c>
      <c r="C1972" s="2">
        <v>1767</v>
      </c>
    </row>
    <row r="1973" spans="1:3">
      <c r="A1973" s="2" t="s">
        <v>709</v>
      </c>
      <c r="B1973" s="2" t="s">
        <v>37</v>
      </c>
      <c r="C1973" s="2">
        <v>1722</v>
      </c>
    </row>
    <row r="1974" spans="1:3">
      <c r="A1974" s="2" t="s">
        <v>840</v>
      </c>
      <c r="B1974" s="2" t="s">
        <v>37</v>
      </c>
      <c r="C1974" s="2">
        <v>1714</v>
      </c>
    </row>
    <row r="1975" spans="1:3">
      <c r="A1975" s="2" t="s">
        <v>824</v>
      </c>
      <c r="B1975" s="2" t="s">
        <v>37</v>
      </c>
      <c r="C1975" s="2">
        <v>1695</v>
      </c>
    </row>
    <row r="1976" spans="1:3">
      <c r="A1976" s="2" t="s">
        <v>1461</v>
      </c>
      <c r="B1976" s="2" t="s">
        <v>37</v>
      </c>
      <c r="C1976" s="2">
        <v>1684</v>
      </c>
    </row>
    <row r="1977" spans="1:3">
      <c r="A1977" s="2" t="s">
        <v>873</v>
      </c>
      <c r="B1977" s="2" t="s">
        <v>37</v>
      </c>
      <c r="C1977" s="2">
        <v>1675</v>
      </c>
    </row>
    <row r="1978" spans="1:3">
      <c r="A1978" s="2" t="s">
        <v>917</v>
      </c>
      <c r="B1978" s="2" t="s">
        <v>37</v>
      </c>
      <c r="C1978" s="2">
        <v>1674</v>
      </c>
    </row>
    <row r="1979" spans="1:3">
      <c r="A1979" s="2" t="s">
        <v>776</v>
      </c>
      <c r="B1979" s="2" t="s">
        <v>37</v>
      </c>
      <c r="C1979" s="2">
        <v>1671</v>
      </c>
    </row>
    <row r="1980" spans="1:3">
      <c r="A1980" s="2" t="s">
        <v>2353</v>
      </c>
      <c r="B1980" s="2" t="s">
        <v>37</v>
      </c>
      <c r="C1980" s="2">
        <v>1657</v>
      </c>
    </row>
    <row r="1981" spans="1:3">
      <c r="A1981" s="2" t="s">
        <v>740</v>
      </c>
      <c r="B1981" s="2" t="s">
        <v>37</v>
      </c>
      <c r="C1981" s="2">
        <v>1655</v>
      </c>
    </row>
    <row r="1982" spans="1:3">
      <c r="A1982" s="2" t="s">
        <v>820</v>
      </c>
      <c r="B1982" s="2" t="s">
        <v>37</v>
      </c>
      <c r="C1982" s="2">
        <v>1654</v>
      </c>
    </row>
    <row r="1983" spans="1:3">
      <c r="A1983" s="2" t="s">
        <v>756</v>
      </c>
      <c r="B1983" s="2" t="s">
        <v>37</v>
      </c>
      <c r="C1983" s="2">
        <v>1653</v>
      </c>
    </row>
    <row r="1984" spans="1:3">
      <c r="A1984" s="2" t="s">
        <v>784</v>
      </c>
      <c r="B1984" s="2" t="s">
        <v>37</v>
      </c>
      <c r="C1984" s="2">
        <v>1648</v>
      </c>
    </row>
    <row r="1985" spans="1:3">
      <c r="A1985" s="2" t="s">
        <v>816</v>
      </c>
      <c r="B1985" s="2" t="s">
        <v>37</v>
      </c>
      <c r="C1985" s="2">
        <v>1644</v>
      </c>
    </row>
    <row r="1986" spans="1:3">
      <c r="A1986" s="2" t="s">
        <v>2924</v>
      </c>
      <c r="B1986" s="2" t="s">
        <v>37</v>
      </c>
      <c r="C1986" s="2">
        <v>1635</v>
      </c>
    </row>
    <row r="1987" spans="1:3">
      <c r="A1987" s="2" t="s">
        <v>883</v>
      </c>
      <c r="B1987" s="2" t="s">
        <v>37</v>
      </c>
      <c r="C1987" s="2">
        <v>1625</v>
      </c>
    </row>
    <row r="1988" spans="1:3">
      <c r="A1988" s="2" t="s">
        <v>1521</v>
      </c>
      <c r="B1988" s="2" t="s">
        <v>37</v>
      </c>
      <c r="C1988" s="2">
        <v>1620</v>
      </c>
    </row>
    <row r="1989" spans="1:3">
      <c r="A1989" s="2" t="s">
        <v>1537</v>
      </c>
      <c r="B1989" s="2" t="s">
        <v>37</v>
      </c>
      <c r="C1989" s="2">
        <v>1586</v>
      </c>
    </row>
    <row r="1990" spans="1:3">
      <c r="A1990" s="2" t="s">
        <v>899</v>
      </c>
      <c r="B1990" s="2" t="s">
        <v>37</v>
      </c>
      <c r="C1990" s="2">
        <v>1585</v>
      </c>
    </row>
    <row r="1991" spans="1:3">
      <c r="A1991" s="2" t="s">
        <v>1503</v>
      </c>
      <c r="B1991" s="2" t="s">
        <v>37</v>
      </c>
      <c r="C1991" s="2">
        <v>1584</v>
      </c>
    </row>
    <row r="1992" spans="1:3">
      <c r="A1992" s="2" t="s">
        <v>790</v>
      </c>
      <c r="B1992" s="2" t="s">
        <v>37</v>
      </c>
      <c r="C1992" s="2">
        <v>1571</v>
      </c>
    </row>
    <row r="1993" spans="1:3">
      <c r="A1993" s="2" t="s">
        <v>746</v>
      </c>
      <c r="B1993" s="2" t="s">
        <v>37</v>
      </c>
      <c r="C1993" s="2">
        <v>1567</v>
      </c>
    </row>
    <row r="1994" spans="1:3">
      <c r="A1994" s="2" t="s">
        <v>780</v>
      </c>
      <c r="B1994" s="2" t="s">
        <v>37</v>
      </c>
      <c r="C1994" s="2">
        <v>1557</v>
      </c>
    </row>
    <row r="1995" spans="1:3">
      <c r="A1995" s="2" t="s">
        <v>808</v>
      </c>
      <c r="B1995" s="2" t="s">
        <v>37</v>
      </c>
      <c r="C1995" s="2">
        <v>1539</v>
      </c>
    </row>
    <row r="1996" spans="1:3">
      <c r="A1996" s="2" t="s">
        <v>1471</v>
      </c>
      <c r="B1996" s="2" t="s">
        <v>37</v>
      </c>
      <c r="C1996" s="2">
        <v>1531</v>
      </c>
    </row>
    <row r="1997" spans="1:3">
      <c r="A1997" s="2" t="s">
        <v>792</v>
      </c>
      <c r="B1997" s="2" t="s">
        <v>37</v>
      </c>
      <c r="C1997" s="2">
        <v>1531</v>
      </c>
    </row>
    <row r="1998" spans="1:3">
      <c r="A1998" s="2" t="s">
        <v>763</v>
      </c>
      <c r="B1998" s="2" t="s">
        <v>37</v>
      </c>
      <c r="C1998" s="2">
        <v>1529</v>
      </c>
    </row>
    <row r="1999" spans="1:3">
      <c r="A1999" s="2" t="s">
        <v>812</v>
      </c>
      <c r="B1999" s="2" t="s">
        <v>37</v>
      </c>
      <c r="C1999" s="2">
        <v>1525</v>
      </c>
    </row>
    <row r="2000" spans="1:3">
      <c r="A2000" s="2" t="s">
        <v>887</v>
      </c>
      <c r="B2000" s="2" t="s">
        <v>37</v>
      </c>
      <c r="C2000" s="2">
        <v>1522</v>
      </c>
    </row>
    <row r="2001" spans="1:3">
      <c r="A2001" s="2" t="s">
        <v>2877</v>
      </c>
      <c r="B2001" s="2" t="s">
        <v>37</v>
      </c>
      <c r="C2001" s="2">
        <v>1521</v>
      </c>
    </row>
    <row r="2002" spans="1:3">
      <c r="A2002" s="2" t="s">
        <v>1819</v>
      </c>
      <c r="B2002" s="2" t="s">
        <v>37</v>
      </c>
      <c r="C2002" s="2">
        <v>1521</v>
      </c>
    </row>
    <row r="2003" spans="1:3">
      <c r="A2003" s="2" t="s">
        <v>2936</v>
      </c>
      <c r="B2003" s="2" t="s">
        <v>37</v>
      </c>
      <c r="C2003" s="2">
        <v>1517</v>
      </c>
    </row>
    <row r="2004" spans="1:3">
      <c r="A2004" s="2" t="s">
        <v>1545</v>
      </c>
      <c r="B2004" s="2" t="s">
        <v>37</v>
      </c>
      <c r="C2004" s="2">
        <v>1509</v>
      </c>
    </row>
    <row r="2005" spans="1:3">
      <c r="A2005" s="2" t="s">
        <v>842</v>
      </c>
      <c r="B2005" s="2" t="s">
        <v>37</v>
      </c>
      <c r="C2005" s="2">
        <v>1509</v>
      </c>
    </row>
    <row r="2006" spans="1:3">
      <c r="A2006" s="2" t="s">
        <v>1517</v>
      </c>
      <c r="B2006" s="2" t="s">
        <v>37</v>
      </c>
      <c r="C2006" s="2">
        <v>1509</v>
      </c>
    </row>
    <row r="2007" spans="1:3">
      <c r="A2007" s="2" t="s">
        <v>796</v>
      </c>
      <c r="B2007" s="2" t="s">
        <v>37</v>
      </c>
      <c r="C2007" s="2">
        <v>1507</v>
      </c>
    </row>
    <row r="2008" spans="1:3">
      <c r="A2008" s="2" t="s">
        <v>1563</v>
      </c>
      <c r="B2008" s="2" t="s">
        <v>37</v>
      </c>
      <c r="C2008" s="2">
        <v>1502</v>
      </c>
    </row>
    <row r="2009" spans="1:3">
      <c r="A2009" s="2" t="s">
        <v>889</v>
      </c>
      <c r="B2009" s="2" t="s">
        <v>37</v>
      </c>
      <c r="C2009" s="2">
        <v>1495</v>
      </c>
    </row>
    <row r="2010" spans="1:3">
      <c r="A2010" s="2" t="s">
        <v>833</v>
      </c>
      <c r="B2010" s="2" t="s">
        <v>37</v>
      </c>
      <c r="C2010" s="2">
        <v>1494</v>
      </c>
    </row>
    <row r="2011" spans="1:3">
      <c r="A2011" s="2" t="s">
        <v>1511</v>
      </c>
      <c r="B2011" s="2" t="s">
        <v>37</v>
      </c>
      <c r="C2011" s="2">
        <v>1494</v>
      </c>
    </row>
    <row r="2012" spans="1:3">
      <c r="A2012" s="2" t="s">
        <v>2902</v>
      </c>
      <c r="B2012" s="2" t="s">
        <v>37</v>
      </c>
      <c r="C2012" s="2">
        <v>1492</v>
      </c>
    </row>
    <row r="2013" spans="1:3">
      <c r="A2013" s="2" t="s">
        <v>863</v>
      </c>
      <c r="B2013" s="2" t="s">
        <v>37</v>
      </c>
      <c r="C2013" s="2">
        <v>1491</v>
      </c>
    </row>
    <row r="2014" spans="1:3">
      <c r="A2014" s="2" t="s">
        <v>1535</v>
      </c>
      <c r="B2014" s="2" t="s">
        <v>37</v>
      </c>
      <c r="C2014" s="2">
        <v>1483</v>
      </c>
    </row>
    <row r="2015" spans="1:3">
      <c r="A2015" s="2" t="s">
        <v>732</v>
      </c>
      <c r="B2015" s="2" t="s">
        <v>37</v>
      </c>
      <c r="C2015" s="2">
        <v>1480</v>
      </c>
    </row>
    <row r="2016" spans="1:3">
      <c r="A2016" s="2" t="s">
        <v>2908</v>
      </c>
      <c r="B2016" s="2" t="s">
        <v>37</v>
      </c>
      <c r="C2016" s="2">
        <v>1475</v>
      </c>
    </row>
    <row r="2017" spans="1:3">
      <c r="A2017" s="2" t="s">
        <v>2315</v>
      </c>
      <c r="B2017" s="2" t="s">
        <v>37</v>
      </c>
      <c r="C2017" s="2">
        <v>1475</v>
      </c>
    </row>
    <row r="2018" spans="1:3">
      <c r="A2018" s="2" t="s">
        <v>2325</v>
      </c>
      <c r="B2018" s="2" t="s">
        <v>37</v>
      </c>
      <c r="C2018" s="2">
        <v>1466</v>
      </c>
    </row>
    <row r="2019" spans="1:3">
      <c r="A2019" s="2" t="s">
        <v>706</v>
      </c>
      <c r="B2019" s="2" t="s">
        <v>37</v>
      </c>
      <c r="C2019" s="2">
        <v>1466</v>
      </c>
    </row>
    <row r="2020" spans="1:3">
      <c r="A2020" s="2" t="s">
        <v>782</v>
      </c>
      <c r="B2020" s="2" t="s">
        <v>37</v>
      </c>
      <c r="C2020" s="2">
        <v>1460</v>
      </c>
    </row>
    <row r="2021" spans="1:3">
      <c r="A2021" s="2" t="s">
        <v>788</v>
      </c>
      <c r="B2021" s="2" t="s">
        <v>37</v>
      </c>
      <c r="C2021" s="2">
        <v>1454</v>
      </c>
    </row>
    <row r="2022" spans="1:3">
      <c r="A2022" s="2" t="s">
        <v>2361</v>
      </c>
      <c r="B2022" s="2" t="s">
        <v>37</v>
      </c>
      <c r="C2022" s="2">
        <v>1452</v>
      </c>
    </row>
    <row r="2023" spans="1:3">
      <c r="A2023" s="2" t="s">
        <v>2882</v>
      </c>
      <c r="B2023" s="2" t="s">
        <v>37</v>
      </c>
      <c r="C2023" s="2">
        <v>1440</v>
      </c>
    </row>
    <row r="2024" spans="1:3">
      <c r="A2024" s="2" t="s">
        <v>893</v>
      </c>
      <c r="B2024" s="2" t="s">
        <v>37</v>
      </c>
      <c r="C2024" s="2">
        <v>1439</v>
      </c>
    </row>
    <row r="2025" spans="1:3">
      <c r="A2025" s="2" t="s">
        <v>835</v>
      </c>
      <c r="B2025" s="2" t="s">
        <v>37</v>
      </c>
      <c r="C2025" s="2">
        <v>1438</v>
      </c>
    </row>
    <row r="2026" spans="1:3">
      <c r="A2026" s="2" t="s">
        <v>3356</v>
      </c>
      <c r="B2026" s="2" t="s">
        <v>37</v>
      </c>
      <c r="C2026" s="2">
        <v>1437</v>
      </c>
    </row>
    <row r="2027" spans="1:3">
      <c r="A2027" s="2" t="s">
        <v>767</v>
      </c>
      <c r="B2027" s="2" t="s">
        <v>37</v>
      </c>
      <c r="C2027" s="2">
        <v>1431</v>
      </c>
    </row>
    <row r="2028" spans="1:3">
      <c r="A2028" s="2" t="s">
        <v>3384</v>
      </c>
      <c r="B2028" s="2" t="s">
        <v>37</v>
      </c>
      <c r="C2028" s="2">
        <v>1412</v>
      </c>
    </row>
    <row r="2029" spans="1:3">
      <c r="A2029" s="2" t="s">
        <v>744</v>
      </c>
      <c r="B2029" s="2" t="s">
        <v>37</v>
      </c>
      <c r="C2029" s="2">
        <v>1410</v>
      </c>
    </row>
    <row r="2030" spans="1:3">
      <c r="A2030" s="2" t="s">
        <v>1492</v>
      </c>
      <c r="B2030" s="2" t="s">
        <v>37</v>
      </c>
      <c r="C2030" s="2">
        <v>1409</v>
      </c>
    </row>
    <row r="2031" spans="1:3">
      <c r="A2031" s="2" t="s">
        <v>2943</v>
      </c>
      <c r="B2031" s="2" t="s">
        <v>37</v>
      </c>
      <c r="C2031" s="2">
        <v>1408</v>
      </c>
    </row>
    <row r="2032" spans="1:3">
      <c r="A2032" s="2" t="s">
        <v>2359</v>
      </c>
      <c r="B2032" s="2" t="s">
        <v>37</v>
      </c>
      <c r="C2032" s="2">
        <v>1405</v>
      </c>
    </row>
    <row r="2033" spans="1:3">
      <c r="A2033" s="2" t="s">
        <v>4174</v>
      </c>
      <c r="B2033" s="2" t="s">
        <v>37</v>
      </c>
      <c r="C2033" s="2">
        <v>1403</v>
      </c>
    </row>
    <row r="2034" spans="1:3">
      <c r="A2034" s="2" t="s">
        <v>1807</v>
      </c>
      <c r="B2034" s="2" t="s">
        <v>37</v>
      </c>
      <c r="C2034" s="2">
        <v>1400</v>
      </c>
    </row>
    <row r="2035" spans="1:3">
      <c r="A2035" s="2" t="s">
        <v>859</v>
      </c>
      <c r="B2035" s="2" t="s">
        <v>37</v>
      </c>
      <c r="C2035" s="2">
        <v>1396</v>
      </c>
    </row>
    <row r="2036" spans="1:3">
      <c r="A2036" s="2" t="s">
        <v>1553</v>
      </c>
      <c r="B2036" s="2" t="s">
        <v>37</v>
      </c>
      <c r="C2036" s="2">
        <v>1388</v>
      </c>
    </row>
    <row r="2037" spans="1:3">
      <c r="A2037" s="2" t="s">
        <v>2940</v>
      </c>
      <c r="B2037" s="2" t="s">
        <v>37</v>
      </c>
      <c r="C2037" s="2">
        <v>1385</v>
      </c>
    </row>
    <row r="2038" spans="1:3">
      <c r="A2038" s="2" t="s">
        <v>2894</v>
      </c>
      <c r="B2038" s="2" t="s">
        <v>37</v>
      </c>
      <c r="C2038" s="2">
        <v>1383</v>
      </c>
    </row>
    <row r="2039" spans="1:3">
      <c r="A2039" s="2" t="s">
        <v>855</v>
      </c>
      <c r="B2039" s="2" t="s">
        <v>37</v>
      </c>
      <c r="C2039" s="2">
        <v>1379</v>
      </c>
    </row>
    <row r="2040" spans="1:3">
      <c r="A2040" s="2" t="s">
        <v>2906</v>
      </c>
      <c r="B2040" s="2" t="s">
        <v>37</v>
      </c>
      <c r="C2040" s="2">
        <v>1376</v>
      </c>
    </row>
    <row r="2041" spans="1:3">
      <c r="A2041" s="2" t="s">
        <v>806</v>
      </c>
      <c r="B2041" s="2" t="s">
        <v>37</v>
      </c>
      <c r="C2041" s="2">
        <v>1367</v>
      </c>
    </row>
    <row r="2042" spans="1:3">
      <c r="A2042" s="2" t="s">
        <v>2930</v>
      </c>
      <c r="B2042" s="2" t="s">
        <v>37</v>
      </c>
      <c r="C2042" s="2">
        <v>1354</v>
      </c>
    </row>
    <row r="2043" spans="1:3">
      <c r="A2043" s="2" t="s">
        <v>2373</v>
      </c>
      <c r="B2043" s="2" t="s">
        <v>37</v>
      </c>
      <c r="C2043" s="2">
        <v>1350</v>
      </c>
    </row>
    <row r="2044" spans="1:3">
      <c r="A2044" s="2" t="s">
        <v>1539</v>
      </c>
      <c r="B2044" s="2" t="s">
        <v>37</v>
      </c>
      <c r="C2044" s="2">
        <v>1347</v>
      </c>
    </row>
    <row r="2045" spans="1:3">
      <c r="A2045" s="2" t="s">
        <v>2333</v>
      </c>
      <c r="B2045" s="2" t="s">
        <v>37</v>
      </c>
      <c r="C2045" s="2">
        <v>1345</v>
      </c>
    </row>
    <row r="2046" spans="1:3">
      <c r="A2046" s="2" t="s">
        <v>2956</v>
      </c>
      <c r="B2046" s="2" t="s">
        <v>37</v>
      </c>
      <c r="C2046" s="2">
        <v>1344</v>
      </c>
    </row>
    <row r="2047" spans="1:3">
      <c r="A2047" s="2" t="s">
        <v>1473</v>
      </c>
      <c r="B2047" s="2" t="s">
        <v>37</v>
      </c>
      <c r="C2047" s="2">
        <v>1340</v>
      </c>
    </row>
    <row r="2048" spans="1:3">
      <c r="A2048" s="2" t="s">
        <v>2910</v>
      </c>
      <c r="B2048" s="2" t="s">
        <v>37</v>
      </c>
      <c r="C2048" s="2">
        <v>1337</v>
      </c>
    </row>
    <row r="2049" spans="1:3">
      <c r="A2049" s="2" t="s">
        <v>3772</v>
      </c>
      <c r="B2049" s="2" t="s">
        <v>37</v>
      </c>
      <c r="C2049" s="2">
        <v>1336</v>
      </c>
    </row>
    <row r="2050" spans="1:3">
      <c r="A2050" s="2" t="s">
        <v>869</v>
      </c>
      <c r="B2050" s="2" t="s">
        <v>37</v>
      </c>
      <c r="C2050" s="2">
        <v>1334</v>
      </c>
    </row>
    <row r="2051" spans="1:3">
      <c r="A2051" s="2" t="s">
        <v>905</v>
      </c>
      <c r="B2051" s="2" t="s">
        <v>37</v>
      </c>
      <c r="C2051" s="2">
        <v>1331</v>
      </c>
    </row>
    <row r="2052" spans="1:3">
      <c r="A2052" s="2" t="s">
        <v>1523</v>
      </c>
      <c r="B2052" s="2" t="s">
        <v>37</v>
      </c>
      <c r="C2052" s="2">
        <v>1319</v>
      </c>
    </row>
    <row r="2053" spans="1:3">
      <c r="A2053" s="2" t="s">
        <v>2926</v>
      </c>
      <c r="B2053" s="2" t="s">
        <v>37</v>
      </c>
      <c r="C2053" s="2">
        <v>1314</v>
      </c>
    </row>
    <row r="2054" spans="1:3">
      <c r="A2054" s="2" t="s">
        <v>2345</v>
      </c>
      <c r="B2054" s="2" t="s">
        <v>37</v>
      </c>
      <c r="C2054" s="2">
        <v>1302</v>
      </c>
    </row>
    <row r="2055" spans="1:3">
      <c r="A2055" s="2" t="s">
        <v>3396</v>
      </c>
      <c r="B2055" s="2" t="s">
        <v>37</v>
      </c>
      <c r="C2055" s="2">
        <v>1295</v>
      </c>
    </row>
    <row r="2056" spans="1:3">
      <c r="A2056" s="2" t="s">
        <v>3364</v>
      </c>
      <c r="B2056" s="2" t="s">
        <v>37</v>
      </c>
      <c r="C2056" s="2">
        <v>1288</v>
      </c>
    </row>
    <row r="2057" spans="1:3">
      <c r="A2057" s="2" t="s">
        <v>877</v>
      </c>
      <c r="B2057" s="2" t="s">
        <v>37</v>
      </c>
      <c r="C2057" s="2">
        <v>1288</v>
      </c>
    </row>
    <row r="2058" spans="1:3">
      <c r="A2058" s="2" t="s">
        <v>2914</v>
      </c>
      <c r="B2058" s="2" t="s">
        <v>37</v>
      </c>
      <c r="C2058" s="2">
        <v>1286</v>
      </c>
    </row>
    <row r="2059" spans="1:3">
      <c r="A2059" s="2" t="s">
        <v>875</v>
      </c>
      <c r="B2059" s="2" t="s">
        <v>37</v>
      </c>
      <c r="C2059" s="2">
        <v>1283</v>
      </c>
    </row>
    <row r="2060" spans="1:3">
      <c r="A2060" s="2" t="s">
        <v>2934</v>
      </c>
      <c r="B2060" s="2" t="s">
        <v>37</v>
      </c>
      <c r="C2060" s="2">
        <v>1283</v>
      </c>
    </row>
    <row r="2061" spans="1:3">
      <c r="A2061" s="2" t="s">
        <v>1557</v>
      </c>
      <c r="B2061" s="2" t="s">
        <v>37</v>
      </c>
      <c r="C2061" s="2">
        <v>1274</v>
      </c>
    </row>
    <row r="2062" spans="1:3">
      <c r="A2062" s="2" t="s">
        <v>2331</v>
      </c>
      <c r="B2062" s="2" t="s">
        <v>37</v>
      </c>
      <c r="C2062" s="2">
        <v>1271</v>
      </c>
    </row>
    <row r="2063" spans="1:3">
      <c r="A2063" s="2" t="s">
        <v>4872</v>
      </c>
      <c r="B2063" s="2" t="s">
        <v>37</v>
      </c>
      <c r="C2063" s="2">
        <v>1268</v>
      </c>
    </row>
    <row r="2064" spans="1:3">
      <c r="A2064" s="2" t="s">
        <v>1479</v>
      </c>
      <c r="B2064" s="2" t="s">
        <v>37</v>
      </c>
      <c r="C2064" s="2">
        <v>1264</v>
      </c>
    </row>
    <row r="2065" spans="1:3">
      <c r="A2065" s="2" t="s">
        <v>3318</v>
      </c>
      <c r="B2065" s="2" t="s">
        <v>37</v>
      </c>
      <c r="C2065" s="2">
        <v>1258</v>
      </c>
    </row>
    <row r="2066" spans="1:3">
      <c r="A2066" s="2" t="s">
        <v>4210</v>
      </c>
      <c r="B2066" s="2" t="s">
        <v>37</v>
      </c>
      <c r="C2066" s="2">
        <v>1256</v>
      </c>
    </row>
    <row r="2067" spans="1:3">
      <c r="A2067" s="2" t="s">
        <v>3320</v>
      </c>
      <c r="B2067" s="2" t="s">
        <v>37</v>
      </c>
      <c r="C2067" s="2">
        <v>1255</v>
      </c>
    </row>
    <row r="2068" spans="1:3">
      <c r="A2068" s="2" t="s">
        <v>919</v>
      </c>
      <c r="B2068" s="2" t="s">
        <v>37</v>
      </c>
      <c r="C2068" s="2">
        <v>1238</v>
      </c>
    </row>
    <row r="2069" spans="1:3">
      <c r="A2069" s="2" t="s">
        <v>2317</v>
      </c>
      <c r="B2069" s="2" t="s">
        <v>37</v>
      </c>
      <c r="C2069" s="2">
        <v>1234</v>
      </c>
    </row>
    <row r="2070" spans="1:3">
      <c r="A2070" s="2" t="s">
        <v>3402</v>
      </c>
      <c r="B2070" s="2" t="s">
        <v>37</v>
      </c>
      <c r="C2070" s="2">
        <v>1234</v>
      </c>
    </row>
    <row r="2071" spans="1:3">
      <c r="A2071" s="2" t="s">
        <v>3785</v>
      </c>
      <c r="B2071" s="2" t="s">
        <v>37</v>
      </c>
      <c r="C2071" s="2">
        <v>1230</v>
      </c>
    </row>
    <row r="2072" spans="1:3">
      <c r="A2072" s="2" t="s">
        <v>895</v>
      </c>
      <c r="B2072" s="2" t="s">
        <v>37</v>
      </c>
      <c r="C2072" s="2">
        <v>1229</v>
      </c>
    </row>
    <row r="2073" spans="1:3">
      <c r="A2073" s="2" t="s">
        <v>4150</v>
      </c>
      <c r="B2073" s="2" t="s">
        <v>37</v>
      </c>
      <c r="C2073" s="2">
        <v>1227</v>
      </c>
    </row>
    <row r="2074" spans="1:3">
      <c r="A2074" s="2" t="s">
        <v>4870</v>
      </c>
      <c r="B2074" s="2" t="s">
        <v>37</v>
      </c>
      <c r="C2074" s="2">
        <v>1226</v>
      </c>
    </row>
    <row r="2075" spans="1:3">
      <c r="A2075" s="2" t="s">
        <v>4207</v>
      </c>
      <c r="B2075" s="2" t="s">
        <v>37</v>
      </c>
      <c r="C2075" s="2">
        <v>1216</v>
      </c>
    </row>
    <row r="2076" spans="1:3">
      <c r="A2076" s="2" t="s">
        <v>1489</v>
      </c>
      <c r="B2076" s="2" t="s">
        <v>37</v>
      </c>
      <c r="C2076" s="2">
        <v>1216</v>
      </c>
    </row>
    <row r="2077" spans="1:3">
      <c r="A2077" s="2" t="s">
        <v>907</v>
      </c>
      <c r="B2077" s="2" t="s">
        <v>37</v>
      </c>
      <c r="C2077" s="2">
        <v>1216</v>
      </c>
    </row>
    <row r="2078" spans="1:3">
      <c r="A2078" s="2" t="s">
        <v>3342</v>
      </c>
      <c r="B2078" s="2" t="s">
        <v>37</v>
      </c>
      <c r="C2078" s="2">
        <v>1214</v>
      </c>
    </row>
    <row r="2079" spans="1:3">
      <c r="A2079" s="2" t="s">
        <v>810</v>
      </c>
      <c r="B2079" s="2" t="s">
        <v>37</v>
      </c>
      <c r="C2079" s="2">
        <v>1214</v>
      </c>
    </row>
    <row r="2080" spans="1:3">
      <c r="A2080" s="2" t="s">
        <v>4450</v>
      </c>
      <c r="B2080" s="2" t="s">
        <v>37</v>
      </c>
      <c r="C2080" s="2">
        <v>1213</v>
      </c>
    </row>
    <row r="2081" spans="1:3">
      <c r="A2081" s="2" t="s">
        <v>774</v>
      </c>
      <c r="B2081" s="2" t="s">
        <v>37</v>
      </c>
      <c r="C2081" s="2">
        <v>1212</v>
      </c>
    </row>
    <row r="2082" spans="1:3">
      <c r="A2082" s="2" t="s">
        <v>2954</v>
      </c>
      <c r="B2082" s="2" t="s">
        <v>37</v>
      </c>
      <c r="C2082" s="2">
        <v>1209</v>
      </c>
    </row>
    <row r="2083" spans="1:3">
      <c r="A2083" s="2" t="s">
        <v>2945</v>
      </c>
      <c r="B2083" s="2" t="s">
        <v>37</v>
      </c>
      <c r="C2083" s="2">
        <v>1199</v>
      </c>
    </row>
    <row r="2084" spans="1:3">
      <c r="A2084" s="2" t="s">
        <v>865</v>
      </c>
      <c r="B2084" s="2" t="s">
        <v>37</v>
      </c>
      <c r="C2084" s="2">
        <v>1198</v>
      </c>
    </row>
    <row r="2085" spans="1:3">
      <c r="A2085" s="2" t="s">
        <v>2290</v>
      </c>
      <c r="B2085" s="2" t="s">
        <v>37</v>
      </c>
      <c r="C2085" s="2">
        <v>1190</v>
      </c>
    </row>
    <row r="2086" spans="1:3">
      <c r="A2086" s="2" t="s">
        <v>2296</v>
      </c>
      <c r="B2086" s="2" t="s">
        <v>37</v>
      </c>
      <c r="C2086" s="2">
        <v>1186</v>
      </c>
    </row>
    <row r="2087" spans="1:3">
      <c r="A2087" s="2" t="s">
        <v>786</v>
      </c>
      <c r="B2087" s="2" t="s">
        <v>37</v>
      </c>
      <c r="C2087" s="2">
        <v>1185</v>
      </c>
    </row>
    <row r="2088" spans="1:3">
      <c r="A2088" s="2" t="s">
        <v>4155</v>
      </c>
      <c r="B2088" s="2" t="s">
        <v>37</v>
      </c>
      <c r="C2088" s="2">
        <v>1185</v>
      </c>
    </row>
    <row r="2089" spans="1:3">
      <c r="A2089" s="2" t="s">
        <v>4884</v>
      </c>
      <c r="B2089" s="2" t="s">
        <v>37</v>
      </c>
      <c r="C2089" s="2">
        <v>1180</v>
      </c>
    </row>
    <row r="2090" spans="1:3">
      <c r="A2090" s="2" t="s">
        <v>742</v>
      </c>
      <c r="B2090" s="2" t="s">
        <v>37</v>
      </c>
      <c r="C2090" s="2">
        <v>1167</v>
      </c>
    </row>
    <row r="2091" spans="1:3">
      <c r="A2091" s="2" t="s">
        <v>2329</v>
      </c>
      <c r="B2091" s="2" t="s">
        <v>37</v>
      </c>
      <c r="C2091" s="2">
        <v>1167</v>
      </c>
    </row>
    <row r="2092" spans="1:3">
      <c r="A2092" s="2" t="s">
        <v>2343</v>
      </c>
      <c r="B2092" s="2" t="s">
        <v>37</v>
      </c>
      <c r="C2092" s="2">
        <v>1166</v>
      </c>
    </row>
    <row r="2093" spans="1:3">
      <c r="A2093" s="2" t="s">
        <v>4191</v>
      </c>
      <c r="B2093" s="2" t="s">
        <v>37</v>
      </c>
      <c r="C2093" s="2">
        <v>1162</v>
      </c>
    </row>
    <row r="2094" spans="1:3">
      <c r="A2094" s="2" t="s">
        <v>2301</v>
      </c>
      <c r="B2094" s="2" t="s">
        <v>37</v>
      </c>
      <c r="C2094" s="2">
        <v>1160</v>
      </c>
    </row>
    <row r="2095" spans="1:3">
      <c r="A2095" s="2" t="s">
        <v>2339</v>
      </c>
      <c r="B2095" s="2" t="s">
        <v>37</v>
      </c>
      <c r="C2095" s="2">
        <v>1153</v>
      </c>
    </row>
    <row r="2096" spans="1:3">
      <c r="A2096" s="2" t="s">
        <v>2367</v>
      </c>
      <c r="B2096" s="2" t="s">
        <v>37</v>
      </c>
      <c r="C2096" s="2">
        <v>1151</v>
      </c>
    </row>
    <row r="2097" spans="1:3">
      <c r="A2097" s="2" t="s">
        <v>794</v>
      </c>
      <c r="B2097" s="2" t="s">
        <v>37</v>
      </c>
      <c r="C2097" s="2">
        <v>1143</v>
      </c>
    </row>
    <row r="2098" spans="1:3">
      <c r="A2098" s="2" t="s">
        <v>2898</v>
      </c>
      <c r="B2098" s="2" t="s">
        <v>37</v>
      </c>
      <c r="C2098" s="2">
        <v>1138</v>
      </c>
    </row>
    <row r="2099" spans="1:3">
      <c r="A2099" s="2" t="s">
        <v>2283</v>
      </c>
      <c r="B2099" s="2" t="s">
        <v>37</v>
      </c>
      <c r="C2099" s="2">
        <v>1116</v>
      </c>
    </row>
    <row r="2100" spans="1:3">
      <c r="A2100" s="2" t="s">
        <v>2892</v>
      </c>
      <c r="B2100" s="2" t="s">
        <v>37</v>
      </c>
      <c r="C2100" s="2">
        <v>1114</v>
      </c>
    </row>
    <row r="2101" spans="1:3">
      <c r="A2101" s="2" t="s">
        <v>4193</v>
      </c>
      <c r="B2101" s="2" t="s">
        <v>37</v>
      </c>
      <c r="C2101" s="2">
        <v>1114</v>
      </c>
    </row>
    <row r="2102" spans="1:3">
      <c r="A2102" s="2" t="s">
        <v>2351</v>
      </c>
      <c r="B2102" s="2" t="s">
        <v>37</v>
      </c>
      <c r="C2102" s="2">
        <v>1113</v>
      </c>
    </row>
    <row r="2103" spans="1:3">
      <c r="A2103" s="2" t="s">
        <v>4163</v>
      </c>
      <c r="B2103" s="2" t="s">
        <v>37</v>
      </c>
      <c r="C2103" s="2">
        <v>1109</v>
      </c>
    </row>
    <row r="2104" spans="1:3">
      <c r="A2104" s="2" t="s">
        <v>857</v>
      </c>
      <c r="B2104" s="2" t="s">
        <v>37</v>
      </c>
      <c r="C2104" s="2">
        <v>1102</v>
      </c>
    </row>
    <row r="2105" spans="1:3">
      <c r="A2105" s="2" t="s">
        <v>2958</v>
      </c>
      <c r="B2105" s="2" t="s">
        <v>37</v>
      </c>
      <c r="C2105" s="2">
        <v>1093</v>
      </c>
    </row>
    <row r="2106" spans="1:3">
      <c r="A2106" s="2" t="s">
        <v>3768</v>
      </c>
      <c r="B2106" s="2" t="s">
        <v>37</v>
      </c>
      <c r="C2106" s="2">
        <v>1090</v>
      </c>
    </row>
    <row r="2107" spans="1:3">
      <c r="A2107" s="2" t="s">
        <v>851</v>
      </c>
      <c r="B2107" s="2" t="s">
        <v>37</v>
      </c>
      <c r="C2107" s="2">
        <v>1085</v>
      </c>
    </row>
    <row r="2108" spans="1:3">
      <c r="A2108" s="2" t="s">
        <v>4880</v>
      </c>
      <c r="B2108" s="2" t="s">
        <v>37</v>
      </c>
      <c r="C2108" s="2">
        <v>1080</v>
      </c>
    </row>
    <row r="2109" spans="1:3">
      <c r="A2109" s="2" t="s">
        <v>2916</v>
      </c>
      <c r="B2109" s="2" t="s">
        <v>37</v>
      </c>
      <c r="C2109" s="2">
        <v>1079</v>
      </c>
    </row>
    <row r="2110" spans="1:3">
      <c r="A2110" s="2" t="s">
        <v>885</v>
      </c>
      <c r="B2110" s="2" t="s">
        <v>37</v>
      </c>
      <c r="C2110" s="2">
        <v>1062</v>
      </c>
    </row>
    <row r="2111" spans="1:3">
      <c r="A2111" s="2" t="s">
        <v>3398</v>
      </c>
      <c r="B2111" s="2" t="s">
        <v>37</v>
      </c>
      <c r="C2111" s="2">
        <v>1061</v>
      </c>
    </row>
    <row r="2112" spans="1:3">
      <c r="A2112" s="2" t="s">
        <v>853</v>
      </c>
      <c r="B2112" s="2" t="s">
        <v>37</v>
      </c>
      <c r="C2112" s="2">
        <v>1060</v>
      </c>
    </row>
    <row r="2113" spans="1:3">
      <c r="A2113" s="2" t="s">
        <v>3358</v>
      </c>
      <c r="B2113" s="2" t="s">
        <v>37</v>
      </c>
      <c r="C2113" s="2">
        <v>1048</v>
      </c>
    </row>
    <row r="2114" spans="1:3">
      <c r="A2114" s="2" t="s">
        <v>1529</v>
      </c>
      <c r="B2114" s="2" t="s">
        <v>37</v>
      </c>
      <c r="C2114" s="2">
        <v>1033</v>
      </c>
    </row>
    <row r="2115" spans="1:3">
      <c r="A2115" s="2" t="s">
        <v>3348</v>
      </c>
      <c r="B2115" s="2" t="s">
        <v>37</v>
      </c>
      <c r="C2115" s="2">
        <v>1027</v>
      </c>
    </row>
    <row r="2116" spans="1:3">
      <c r="A2116" s="2" t="s">
        <v>913</v>
      </c>
      <c r="B2116" s="2" t="s">
        <v>37</v>
      </c>
      <c r="C2116" s="2">
        <v>1015</v>
      </c>
    </row>
    <row r="2117" spans="1:3">
      <c r="A2117" s="2" t="s">
        <v>4170</v>
      </c>
      <c r="B2117" s="2" t="s">
        <v>37</v>
      </c>
      <c r="C2117" s="2">
        <v>1005</v>
      </c>
    </row>
    <row r="2118" spans="1:3">
      <c r="A2118" s="2" t="s">
        <v>849</v>
      </c>
      <c r="B2118" s="2" t="s">
        <v>37</v>
      </c>
      <c r="C2118" s="2">
        <v>1005</v>
      </c>
    </row>
    <row r="2119" spans="1:3">
      <c r="A2119" s="2" t="s">
        <v>2912</v>
      </c>
      <c r="B2119" s="2" t="s">
        <v>37</v>
      </c>
      <c r="C2119" s="2">
        <v>996</v>
      </c>
    </row>
    <row r="2120" spans="1:3">
      <c r="A2120" s="2" t="s">
        <v>798</v>
      </c>
      <c r="B2120" s="2" t="s">
        <v>37</v>
      </c>
      <c r="C2120" s="2">
        <v>996</v>
      </c>
    </row>
    <row r="2121" spans="1:3">
      <c r="A2121" s="2" t="s">
        <v>4182</v>
      </c>
      <c r="B2121" s="2" t="s">
        <v>37</v>
      </c>
      <c r="C2121" s="2">
        <v>995</v>
      </c>
    </row>
    <row r="2122" spans="1:3">
      <c r="A2122" s="2" t="s">
        <v>2298</v>
      </c>
      <c r="B2122" s="2" t="s">
        <v>37</v>
      </c>
      <c r="C2122" s="2">
        <v>993</v>
      </c>
    </row>
    <row r="2123" spans="1:3">
      <c r="A2123" s="2" t="s">
        <v>2307</v>
      </c>
      <c r="B2123" s="2" t="s">
        <v>37</v>
      </c>
      <c r="C2123" s="2">
        <v>990</v>
      </c>
    </row>
    <row r="2124" spans="1:3">
      <c r="A2124" s="2" t="s">
        <v>2313</v>
      </c>
      <c r="B2124" s="2" t="s">
        <v>37</v>
      </c>
      <c r="C2124" s="2">
        <v>985</v>
      </c>
    </row>
    <row r="2125" spans="1:3">
      <c r="A2125" s="2" t="s">
        <v>2960</v>
      </c>
      <c r="B2125" s="2" t="s">
        <v>37</v>
      </c>
      <c r="C2125" s="2">
        <v>981</v>
      </c>
    </row>
    <row r="2126" spans="1:3">
      <c r="A2126" s="2" t="s">
        <v>2311</v>
      </c>
      <c r="B2126" s="2" t="s">
        <v>37</v>
      </c>
      <c r="C2126" s="2">
        <v>979</v>
      </c>
    </row>
    <row r="2127" spans="1:3" ht="15.75" customHeight="1">
      <c r="A2127" t="s">
        <v>871</v>
      </c>
      <c r="B2127" t="s">
        <v>37</v>
      </c>
      <c r="C2127">
        <v>967</v>
      </c>
    </row>
    <row r="2128" spans="1:3" ht="15.75" customHeight="1">
      <c r="A2128" t="s">
        <v>4212</v>
      </c>
      <c r="B2128" t="s">
        <v>37</v>
      </c>
      <c r="C2128">
        <v>964</v>
      </c>
    </row>
    <row r="2129" spans="1:3" ht="15.75" customHeight="1">
      <c r="A2129" t="s">
        <v>2950</v>
      </c>
      <c r="B2129" t="s">
        <v>37</v>
      </c>
      <c r="C2129">
        <v>963</v>
      </c>
    </row>
    <row r="2130" spans="1:3" ht="15.75" customHeight="1">
      <c r="A2130" t="s">
        <v>1469</v>
      </c>
      <c r="B2130" t="s">
        <v>37</v>
      </c>
      <c r="C2130">
        <v>958</v>
      </c>
    </row>
    <row r="2131" spans="1:3" ht="15.75" customHeight="1">
      <c r="A2131" t="s">
        <v>4851</v>
      </c>
      <c r="B2131" t="s">
        <v>37</v>
      </c>
      <c r="C2131">
        <v>956</v>
      </c>
    </row>
    <row r="2132" spans="1:3" ht="15.75" customHeight="1">
      <c r="A2132" t="s">
        <v>1519</v>
      </c>
      <c r="B2132" t="s">
        <v>37</v>
      </c>
      <c r="C2132">
        <v>949</v>
      </c>
    </row>
    <row r="2133" spans="1:3" ht="15.75" customHeight="1">
      <c r="A2133" t="s">
        <v>748</v>
      </c>
      <c r="B2133" t="s">
        <v>37</v>
      </c>
      <c r="C2133">
        <v>948</v>
      </c>
    </row>
    <row r="2134" spans="1:3" ht="15.75" customHeight="1">
      <c r="A2134" t="s">
        <v>4892</v>
      </c>
      <c r="B2134" t="s">
        <v>37</v>
      </c>
      <c r="C2134">
        <v>943</v>
      </c>
    </row>
    <row r="2135" spans="1:3" ht="15.75" customHeight="1">
      <c r="A2135" t="s">
        <v>4896</v>
      </c>
      <c r="B2135" t="s">
        <v>37</v>
      </c>
      <c r="C2135">
        <v>942</v>
      </c>
    </row>
    <row r="2136" spans="1:3" ht="15.75" customHeight="1">
      <c r="A2136" t="s">
        <v>2880</v>
      </c>
      <c r="B2136" t="s">
        <v>37</v>
      </c>
      <c r="C2136">
        <v>939</v>
      </c>
    </row>
    <row r="2137" spans="1:3" ht="15.75" customHeight="1">
      <c r="A2137" t="s">
        <v>4159</v>
      </c>
      <c r="B2137" t="s">
        <v>37</v>
      </c>
      <c r="C2137">
        <v>925</v>
      </c>
    </row>
    <row r="2138" spans="1:3" ht="15.75" customHeight="1">
      <c r="A2138" t="s">
        <v>861</v>
      </c>
      <c r="B2138" t="s">
        <v>37</v>
      </c>
      <c r="C2138">
        <v>918</v>
      </c>
    </row>
    <row r="2139" spans="1:3" ht="15.75" customHeight="1">
      <c r="A2139" t="s">
        <v>759</v>
      </c>
      <c r="B2139" t="s">
        <v>37</v>
      </c>
      <c r="C2139">
        <v>914</v>
      </c>
    </row>
    <row r="2140" spans="1:3" ht="15.75" customHeight="1">
      <c r="A2140" t="s">
        <v>1475</v>
      </c>
      <c r="B2140" t="s">
        <v>37</v>
      </c>
      <c r="C2140">
        <v>913</v>
      </c>
    </row>
    <row r="2141" spans="1:3" ht="15.75" customHeight="1">
      <c r="A2141" t="s">
        <v>2918</v>
      </c>
      <c r="B2141" t="s">
        <v>37</v>
      </c>
      <c r="C2141">
        <v>906</v>
      </c>
    </row>
    <row r="2142" spans="1:3" ht="15.75" customHeight="1">
      <c r="A2142" t="s">
        <v>4189</v>
      </c>
      <c r="B2142" t="s">
        <v>37</v>
      </c>
      <c r="C2142">
        <v>904</v>
      </c>
    </row>
    <row r="2143" spans="1:3" ht="15.75" customHeight="1">
      <c r="A2143" t="s">
        <v>2323</v>
      </c>
      <c r="B2143" t="s">
        <v>37</v>
      </c>
      <c r="C2143">
        <v>888</v>
      </c>
    </row>
    <row r="2144" spans="1:3" ht="15.75" customHeight="1">
      <c r="A2144" t="s">
        <v>3350</v>
      </c>
      <c r="B2144" t="s">
        <v>37</v>
      </c>
      <c r="C2144">
        <v>885</v>
      </c>
    </row>
    <row r="2145" spans="1:3" ht="15.75" customHeight="1">
      <c r="A2145" t="s">
        <v>3366</v>
      </c>
      <c r="B2145" t="s">
        <v>37</v>
      </c>
      <c r="C2145">
        <v>883</v>
      </c>
    </row>
    <row r="2146" spans="1:3" ht="15.75" customHeight="1">
      <c r="A2146" t="s">
        <v>3330</v>
      </c>
      <c r="B2146" t="s">
        <v>37</v>
      </c>
      <c r="C2146">
        <v>876</v>
      </c>
    </row>
    <row r="2147" spans="1:3" ht="15.75" customHeight="1">
      <c r="A2147" t="s">
        <v>4195</v>
      </c>
      <c r="B2147" t="s">
        <v>37</v>
      </c>
      <c r="C2147">
        <v>867</v>
      </c>
    </row>
    <row r="2148" spans="1:3" ht="15.75" customHeight="1">
      <c r="A2148" t="s">
        <v>2896</v>
      </c>
      <c r="B2148" t="s">
        <v>37</v>
      </c>
      <c r="C2148">
        <v>865</v>
      </c>
    </row>
    <row r="2149" spans="1:3" ht="15.75" customHeight="1">
      <c r="A2149" t="s">
        <v>2920</v>
      </c>
      <c r="B2149" t="s">
        <v>37</v>
      </c>
      <c r="C2149">
        <v>863</v>
      </c>
    </row>
    <row r="2150" spans="1:3" ht="15.75" customHeight="1">
      <c r="A2150" t="s">
        <v>1555</v>
      </c>
      <c r="B2150" t="s">
        <v>37</v>
      </c>
      <c r="C2150">
        <v>862</v>
      </c>
    </row>
    <row r="2151" spans="1:3" ht="15.75" customHeight="1">
      <c r="A2151" t="s">
        <v>911</v>
      </c>
      <c r="B2151" t="s">
        <v>37</v>
      </c>
      <c r="C2151">
        <v>860</v>
      </c>
    </row>
    <row r="2152" spans="1:3" ht="15.75" customHeight="1">
      <c r="A2152" t="s">
        <v>2355</v>
      </c>
      <c r="B2152" t="s">
        <v>37</v>
      </c>
      <c r="C2152">
        <v>857</v>
      </c>
    </row>
    <row r="2153" spans="1:3" ht="15.75" customHeight="1">
      <c r="A2153" t="s">
        <v>4161</v>
      </c>
      <c r="B2153" t="s">
        <v>37</v>
      </c>
      <c r="C2153">
        <v>854</v>
      </c>
    </row>
    <row r="2154" spans="1:3" ht="15.75" customHeight="1">
      <c r="A2154" t="s">
        <v>3340</v>
      </c>
      <c r="B2154" t="s">
        <v>37</v>
      </c>
      <c r="C2154">
        <v>852</v>
      </c>
    </row>
    <row r="2155" spans="1:3" ht="15.75" customHeight="1">
      <c r="A2155" t="s">
        <v>915</v>
      </c>
      <c r="B2155" t="s">
        <v>37</v>
      </c>
      <c r="C2155">
        <v>840</v>
      </c>
    </row>
    <row r="2156" spans="1:3" ht="15.75" customHeight="1">
      <c r="A2156" t="s">
        <v>4172</v>
      </c>
      <c r="B2156" t="s">
        <v>37</v>
      </c>
      <c r="C2156">
        <v>838</v>
      </c>
    </row>
    <row r="2157" spans="1:3" ht="15.75" customHeight="1">
      <c r="A2157" t="s">
        <v>4199</v>
      </c>
      <c r="B2157" t="s">
        <v>37</v>
      </c>
      <c r="C2157">
        <v>833</v>
      </c>
    </row>
    <row r="2158" spans="1:3" ht="15.75" customHeight="1">
      <c r="A2158" t="s">
        <v>2347</v>
      </c>
      <c r="B2158" t="s">
        <v>37</v>
      </c>
      <c r="C2158">
        <v>831</v>
      </c>
    </row>
    <row r="2159" spans="1:3" ht="15.75" customHeight="1">
      <c r="A2159" t="s">
        <v>2365</v>
      </c>
      <c r="B2159" t="s">
        <v>37</v>
      </c>
      <c r="C2159">
        <v>830</v>
      </c>
    </row>
    <row r="2160" spans="1:3" ht="15.75" customHeight="1">
      <c r="A2160" t="s">
        <v>4197</v>
      </c>
      <c r="B2160" t="s">
        <v>37</v>
      </c>
      <c r="C2160">
        <v>830</v>
      </c>
    </row>
    <row r="2161" spans="1:3" ht="15.75" customHeight="1">
      <c r="A2161" t="s">
        <v>3378</v>
      </c>
      <c r="B2161" t="s">
        <v>37</v>
      </c>
      <c r="C2161">
        <v>829</v>
      </c>
    </row>
    <row r="2162" spans="1:3" ht="15.75" customHeight="1">
      <c r="A2162" t="s">
        <v>4864</v>
      </c>
      <c r="B2162" t="s">
        <v>37</v>
      </c>
      <c r="C2162">
        <v>828</v>
      </c>
    </row>
    <row r="2163" spans="1:3" ht="15.75" customHeight="1">
      <c r="A2163" t="s">
        <v>4866</v>
      </c>
      <c r="B2163" t="s">
        <v>37</v>
      </c>
      <c r="C2163">
        <v>827</v>
      </c>
    </row>
    <row r="2164" spans="1:3" ht="15.75" customHeight="1">
      <c r="A2164" t="s">
        <v>846</v>
      </c>
      <c r="B2164" t="s">
        <v>37</v>
      </c>
      <c r="C2164">
        <v>827</v>
      </c>
    </row>
    <row r="2165" spans="1:3" ht="15.75" customHeight="1">
      <c r="A2165" t="s">
        <v>3362</v>
      </c>
      <c r="B2165" t="s">
        <v>37</v>
      </c>
      <c r="C2165">
        <v>822</v>
      </c>
    </row>
    <row r="2166" spans="1:3" ht="15.75" customHeight="1">
      <c r="A2166" t="s">
        <v>3756</v>
      </c>
      <c r="B2166" t="s">
        <v>37</v>
      </c>
      <c r="C2166">
        <v>809</v>
      </c>
    </row>
    <row r="2167" spans="1:3" ht="15.75" customHeight="1">
      <c r="A2167" t="s">
        <v>2904</v>
      </c>
      <c r="B2167" t="s">
        <v>37</v>
      </c>
      <c r="C2167">
        <v>802</v>
      </c>
    </row>
    <row r="2168" spans="1:3" ht="15.75" customHeight="1">
      <c r="A2168" t="s">
        <v>2922</v>
      </c>
      <c r="B2168" t="s">
        <v>37</v>
      </c>
      <c r="C2168">
        <v>801</v>
      </c>
    </row>
    <row r="2169" spans="1:3" ht="15.75" customHeight="1">
      <c r="A2169" t="s">
        <v>4460</v>
      </c>
      <c r="B2169" t="s">
        <v>37</v>
      </c>
      <c r="C2169">
        <v>799</v>
      </c>
    </row>
    <row r="2170" spans="1:3" ht="15.75" customHeight="1">
      <c r="A2170" t="s">
        <v>3766</v>
      </c>
      <c r="B2170" t="s">
        <v>37</v>
      </c>
      <c r="C2170">
        <v>797</v>
      </c>
    </row>
    <row r="2171" spans="1:3" ht="15.75" customHeight="1">
      <c r="A2171" t="s">
        <v>3390</v>
      </c>
      <c r="B2171" t="s">
        <v>37</v>
      </c>
      <c r="C2171">
        <v>796</v>
      </c>
    </row>
    <row r="2172" spans="1:3" ht="15.75" customHeight="1">
      <c r="A2172" t="s">
        <v>4167</v>
      </c>
      <c r="B2172" t="s">
        <v>37</v>
      </c>
      <c r="C2172">
        <v>793</v>
      </c>
    </row>
    <row r="2173" spans="1:3" ht="15.75" customHeight="1">
      <c r="A2173" t="s">
        <v>2293</v>
      </c>
      <c r="B2173" t="s">
        <v>37</v>
      </c>
      <c r="C2173">
        <v>793</v>
      </c>
    </row>
    <row r="2174" spans="1:3" ht="15.75" customHeight="1">
      <c r="A2174" t="s">
        <v>4886</v>
      </c>
      <c r="B2174" t="s">
        <v>37</v>
      </c>
      <c r="C2174">
        <v>793</v>
      </c>
    </row>
    <row r="2175" spans="1:3" ht="15.75" customHeight="1">
      <c r="A2175" t="s">
        <v>3739</v>
      </c>
      <c r="B2175" t="s">
        <v>37</v>
      </c>
      <c r="C2175">
        <v>791</v>
      </c>
    </row>
    <row r="2176" spans="1:3" ht="15.75" customHeight="1">
      <c r="A2176" t="s">
        <v>3760</v>
      </c>
      <c r="B2176" t="s">
        <v>37</v>
      </c>
      <c r="C2176">
        <v>781</v>
      </c>
    </row>
    <row r="2177" spans="1:3" ht="15.75" customHeight="1">
      <c r="A2177" t="s">
        <v>3745</v>
      </c>
      <c r="B2177" t="s">
        <v>37</v>
      </c>
      <c r="C2177">
        <v>776</v>
      </c>
    </row>
    <row r="2178" spans="1:3" ht="15.75" customHeight="1">
      <c r="A2178" t="s">
        <v>3776</v>
      </c>
      <c r="B2178" t="s">
        <v>37</v>
      </c>
      <c r="C2178">
        <v>771</v>
      </c>
    </row>
    <row r="2179" spans="1:3" ht="15.75" customHeight="1">
      <c r="A2179" t="s">
        <v>1573</v>
      </c>
      <c r="B2179" t="s">
        <v>37</v>
      </c>
      <c r="C2179">
        <v>767</v>
      </c>
    </row>
    <row r="2180" spans="1:3" ht="15.75" customHeight="1">
      <c r="A2180" t="s">
        <v>3372</v>
      </c>
      <c r="B2180" t="s">
        <v>37</v>
      </c>
      <c r="C2180">
        <v>761</v>
      </c>
    </row>
    <row r="2181" spans="1:3" ht="15.75" customHeight="1">
      <c r="A2181" t="s">
        <v>3328</v>
      </c>
      <c r="B2181" t="s">
        <v>37</v>
      </c>
      <c r="C2181">
        <v>760</v>
      </c>
    </row>
    <row r="2182" spans="1:3" ht="15.75" customHeight="1">
      <c r="A2182" t="s">
        <v>4890</v>
      </c>
      <c r="B2182" t="s">
        <v>37</v>
      </c>
      <c r="C2182">
        <v>759</v>
      </c>
    </row>
    <row r="2183" spans="1:3" ht="15.75" customHeight="1">
      <c r="A2183" t="s">
        <v>2357</v>
      </c>
      <c r="B2183" t="s">
        <v>37</v>
      </c>
      <c r="C2183">
        <v>758</v>
      </c>
    </row>
    <row r="2184" spans="1:3" ht="15.75" customHeight="1">
      <c r="A2184" t="s">
        <v>897</v>
      </c>
      <c r="B2184" t="s">
        <v>37</v>
      </c>
      <c r="C2184">
        <v>757</v>
      </c>
    </row>
    <row r="2185" spans="1:3" ht="15.75" customHeight="1">
      <c r="A2185" t="s">
        <v>3743</v>
      </c>
      <c r="B2185" t="s">
        <v>37</v>
      </c>
      <c r="C2185">
        <v>756</v>
      </c>
    </row>
    <row r="2186" spans="1:3" ht="15.75" customHeight="1">
      <c r="A2186" t="s">
        <v>4178</v>
      </c>
      <c r="B2186" t="s">
        <v>37</v>
      </c>
      <c r="C2186">
        <v>748</v>
      </c>
    </row>
    <row r="2187" spans="1:3" ht="15.75" customHeight="1">
      <c r="A2187" t="s">
        <v>2287</v>
      </c>
      <c r="B2187" t="s">
        <v>37</v>
      </c>
      <c r="C2187">
        <v>742</v>
      </c>
    </row>
    <row r="2188" spans="1:3" ht="15.75" customHeight="1">
      <c r="A2188" t="s">
        <v>4157</v>
      </c>
      <c r="B2188" t="s">
        <v>37</v>
      </c>
      <c r="C2188">
        <v>726</v>
      </c>
    </row>
    <row r="2189" spans="1:3" ht="15.75" customHeight="1">
      <c r="A2189" t="s">
        <v>3752</v>
      </c>
      <c r="B2189" t="s">
        <v>37</v>
      </c>
      <c r="C2189">
        <v>726</v>
      </c>
    </row>
    <row r="2190" spans="1:3" ht="15.75" customHeight="1">
      <c r="A2190" t="s">
        <v>4855</v>
      </c>
      <c r="B2190" t="s">
        <v>37</v>
      </c>
      <c r="C2190">
        <v>724</v>
      </c>
    </row>
    <row r="2191" spans="1:3" ht="15.75" customHeight="1">
      <c r="A2191" t="s">
        <v>4845</v>
      </c>
      <c r="B2191" t="s">
        <v>37</v>
      </c>
      <c r="C2191">
        <v>713</v>
      </c>
    </row>
    <row r="2192" spans="1:3" ht="15.75" customHeight="1">
      <c r="A2192" t="s">
        <v>2932</v>
      </c>
      <c r="B2192" t="s">
        <v>37</v>
      </c>
      <c r="C2192">
        <v>707</v>
      </c>
    </row>
    <row r="2193" spans="1:3" ht="15.75" customHeight="1">
      <c r="A2193" t="s">
        <v>1467</v>
      </c>
      <c r="B2193" t="s">
        <v>37</v>
      </c>
      <c r="C2193">
        <v>703</v>
      </c>
    </row>
    <row r="2194" spans="1:3" ht="15.75" customHeight="1">
      <c r="A2194" t="s">
        <v>4176</v>
      </c>
      <c r="B2194" t="s">
        <v>37</v>
      </c>
      <c r="C2194">
        <v>699</v>
      </c>
    </row>
    <row r="2195" spans="1:3" ht="15.75" customHeight="1">
      <c r="A2195" t="s">
        <v>1813</v>
      </c>
      <c r="B2195" t="s">
        <v>37</v>
      </c>
      <c r="C2195">
        <v>698</v>
      </c>
    </row>
    <row r="2196" spans="1:3" ht="15.75" customHeight="1">
      <c r="A2196" t="s">
        <v>1803</v>
      </c>
      <c r="B2196" t="s">
        <v>37</v>
      </c>
      <c r="C2196">
        <v>685</v>
      </c>
    </row>
    <row r="2197" spans="1:3" ht="15.75" customHeight="1">
      <c r="A2197" t="s">
        <v>1805</v>
      </c>
      <c r="B2197" t="s">
        <v>37</v>
      </c>
      <c r="C2197">
        <v>677</v>
      </c>
    </row>
    <row r="2198" spans="1:3" ht="15.75" customHeight="1">
      <c r="A2198" t="s">
        <v>2938</v>
      </c>
      <c r="B2198" t="s">
        <v>37</v>
      </c>
      <c r="C2198">
        <v>675</v>
      </c>
    </row>
    <row r="2199" spans="1:3" ht="15.75" customHeight="1">
      <c r="A2199" t="s">
        <v>4868</v>
      </c>
      <c r="B2199" t="s">
        <v>37</v>
      </c>
      <c r="C2199">
        <v>668</v>
      </c>
    </row>
    <row r="2200" spans="1:3" ht="15.75" customHeight="1">
      <c r="A2200" t="s">
        <v>2327</v>
      </c>
      <c r="B2200" t="s">
        <v>37</v>
      </c>
      <c r="C2200">
        <v>666</v>
      </c>
    </row>
    <row r="2201" spans="1:3" ht="15.75" customHeight="1">
      <c r="A2201" t="s">
        <v>3747</v>
      </c>
      <c r="B2201" t="s">
        <v>37</v>
      </c>
      <c r="C2201">
        <v>662</v>
      </c>
    </row>
    <row r="2202" spans="1:3" ht="15.75" customHeight="1">
      <c r="A2202" t="s">
        <v>4203</v>
      </c>
      <c r="B2202" t="s">
        <v>37</v>
      </c>
      <c r="C2202">
        <v>660</v>
      </c>
    </row>
    <row r="2203" spans="1:3" ht="15.75" customHeight="1">
      <c r="A2203" t="s">
        <v>1801</v>
      </c>
      <c r="B2203" t="s">
        <v>37</v>
      </c>
      <c r="C2203">
        <v>658</v>
      </c>
    </row>
    <row r="2204" spans="1:3" ht="15.75" customHeight="1">
      <c r="A2204" t="s">
        <v>4165</v>
      </c>
      <c r="B2204" t="s">
        <v>37</v>
      </c>
      <c r="C2204">
        <v>656</v>
      </c>
    </row>
    <row r="2205" spans="1:3" ht="15.75" customHeight="1">
      <c r="A2205" t="s">
        <v>4454</v>
      </c>
      <c r="B2205" t="s">
        <v>37</v>
      </c>
      <c r="C2205">
        <v>654</v>
      </c>
    </row>
    <row r="2206" spans="1:3" ht="15.75" customHeight="1">
      <c r="A2206" t="s">
        <v>4470</v>
      </c>
      <c r="B2206" t="s">
        <v>37</v>
      </c>
      <c r="C2206">
        <v>653</v>
      </c>
    </row>
    <row r="2207" spans="1:3" ht="15.75" customHeight="1">
      <c r="A2207" t="s">
        <v>4186</v>
      </c>
      <c r="B2207" t="s">
        <v>37</v>
      </c>
      <c r="C2207">
        <v>646</v>
      </c>
    </row>
    <row r="2208" spans="1:3" ht="15.75" customHeight="1">
      <c r="A2208" t="s">
        <v>1541</v>
      </c>
      <c r="B2208" t="s">
        <v>37</v>
      </c>
      <c r="C2208">
        <v>644</v>
      </c>
    </row>
    <row r="2209" spans="1:3" ht="15.75" customHeight="1">
      <c r="A2209" t="s">
        <v>1809</v>
      </c>
      <c r="B2209" t="s">
        <v>37</v>
      </c>
      <c r="C2209">
        <v>644</v>
      </c>
    </row>
    <row r="2210" spans="1:3" ht="15.75" customHeight="1">
      <c r="A2210" t="s">
        <v>4857</v>
      </c>
      <c r="B2210" t="s">
        <v>37</v>
      </c>
      <c r="C2210">
        <v>644</v>
      </c>
    </row>
    <row r="2211" spans="1:3" ht="15.75" customHeight="1">
      <c r="A2211" t="s">
        <v>4438</v>
      </c>
      <c r="B2211" t="s">
        <v>37</v>
      </c>
      <c r="C2211">
        <v>643</v>
      </c>
    </row>
    <row r="2212" spans="1:3" ht="15.75" customHeight="1">
      <c r="A2212" t="s">
        <v>4456</v>
      </c>
      <c r="B2212" t="s">
        <v>37</v>
      </c>
      <c r="C2212">
        <v>642</v>
      </c>
    </row>
    <row r="2213" spans="1:3" ht="15.75" customHeight="1">
      <c r="A2213" t="s">
        <v>1499</v>
      </c>
      <c r="B2213" t="s">
        <v>37</v>
      </c>
      <c r="C2213">
        <v>638</v>
      </c>
    </row>
    <row r="2214" spans="1:3" ht="15.75" customHeight="1">
      <c r="A2214" t="s">
        <v>4452</v>
      </c>
      <c r="B2214" t="s">
        <v>37</v>
      </c>
      <c r="C2214">
        <v>631</v>
      </c>
    </row>
    <row r="2215" spans="1:3" ht="15.75" customHeight="1">
      <c r="A2215" t="s">
        <v>4201</v>
      </c>
      <c r="B2215" t="s">
        <v>37</v>
      </c>
      <c r="C2215">
        <v>629</v>
      </c>
    </row>
    <row r="2216" spans="1:3" ht="15.75" customHeight="1">
      <c r="A2216" t="s">
        <v>4184</v>
      </c>
      <c r="B2216" t="s">
        <v>37</v>
      </c>
      <c r="C2216">
        <v>627</v>
      </c>
    </row>
    <row r="2217" spans="1:3" ht="15.75" customHeight="1">
      <c r="A2217" t="s">
        <v>4152</v>
      </c>
      <c r="B2217" t="s">
        <v>37</v>
      </c>
      <c r="C2217">
        <v>616</v>
      </c>
    </row>
    <row r="2218" spans="1:3" ht="15.75" customHeight="1">
      <c r="A2218" t="s">
        <v>903</v>
      </c>
      <c r="B2218" t="s">
        <v>37</v>
      </c>
      <c r="C2218">
        <v>613</v>
      </c>
    </row>
    <row r="2219" spans="1:3" ht="15.75" customHeight="1">
      <c r="A2219" t="s">
        <v>1509</v>
      </c>
      <c r="B2219" t="s">
        <v>37</v>
      </c>
      <c r="C2219">
        <v>611</v>
      </c>
    </row>
    <row r="2220" spans="1:3" ht="15.75" customHeight="1">
      <c r="A2220" t="s">
        <v>4472</v>
      </c>
      <c r="B2220" t="s">
        <v>37</v>
      </c>
      <c r="C2220">
        <v>601</v>
      </c>
    </row>
    <row r="2221" spans="1:3" ht="15.75" customHeight="1">
      <c r="A2221" t="s">
        <v>1799</v>
      </c>
      <c r="B2221" t="s">
        <v>37</v>
      </c>
      <c r="C2221">
        <v>592</v>
      </c>
    </row>
    <row r="2222" spans="1:3" ht="15.75" customHeight="1">
      <c r="A2222" t="s">
        <v>3346</v>
      </c>
      <c r="B2222" t="s">
        <v>37</v>
      </c>
      <c r="C2222">
        <v>591</v>
      </c>
    </row>
    <row r="2223" spans="1:3" ht="15.75" customHeight="1">
      <c r="A2223" t="s">
        <v>3764</v>
      </c>
      <c r="B2223" t="s">
        <v>37</v>
      </c>
      <c r="C2223">
        <v>587</v>
      </c>
    </row>
    <row r="2224" spans="1:3" ht="15.75" customHeight="1">
      <c r="A2224" t="s">
        <v>2321</v>
      </c>
      <c r="B2224" t="s">
        <v>37</v>
      </c>
      <c r="C2224">
        <v>587</v>
      </c>
    </row>
    <row r="2225" spans="1:3" ht="15.75" customHeight="1">
      <c r="A2225" t="s">
        <v>2900</v>
      </c>
      <c r="B2225" t="s">
        <v>37</v>
      </c>
      <c r="C2225">
        <v>581</v>
      </c>
    </row>
    <row r="2226" spans="1:3" ht="15.75" customHeight="1">
      <c r="A2226" t="s">
        <v>1817</v>
      </c>
      <c r="B2226" t="s">
        <v>37</v>
      </c>
      <c r="C2226">
        <v>575</v>
      </c>
    </row>
    <row r="2227" spans="1:3" ht="15.75" customHeight="1">
      <c r="A2227" t="s">
        <v>2948</v>
      </c>
      <c r="B2227" t="s">
        <v>37</v>
      </c>
      <c r="C2227">
        <v>567</v>
      </c>
    </row>
    <row r="2228" spans="1:3" ht="15.75" customHeight="1">
      <c r="A2228" t="s">
        <v>879</v>
      </c>
      <c r="B2228" t="s">
        <v>37</v>
      </c>
      <c r="C2228">
        <v>564</v>
      </c>
    </row>
    <row r="2229" spans="1:3" ht="15.75" customHeight="1">
      <c r="A2229" t="s">
        <v>772</v>
      </c>
      <c r="B2229" t="s">
        <v>37</v>
      </c>
      <c r="C2229">
        <v>563</v>
      </c>
    </row>
    <row r="2230" spans="1:3" ht="15.75" customHeight="1">
      <c r="A2230" t="s">
        <v>1494</v>
      </c>
      <c r="B2230" t="s">
        <v>37</v>
      </c>
      <c r="C2230">
        <v>562</v>
      </c>
    </row>
    <row r="2231" spans="1:3" ht="15.75" customHeight="1">
      <c r="A2231" t="s">
        <v>2886</v>
      </c>
      <c r="B2231" t="s">
        <v>37</v>
      </c>
      <c r="C2231">
        <v>559</v>
      </c>
    </row>
    <row r="2232" spans="1:3" ht="15.75" customHeight="1">
      <c r="A2232" t="s">
        <v>1571</v>
      </c>
      <c r="B2232" t="s">
        <v>37</v>
      </c>
      <c r="C2232">
        <v>559</v>
      </c>
    </row>
    <row r="2233" spans="1:3" ht="15.75" customHeight="1">
      <c r="A2233" t="s">
        <v>3737</v>
      </c>
      <c r="B2233" t="s">
        <v>37</v>
      </c>
      <c r="C2233">
        <v>554</v>
      </c>
    </row>
    <row r="2234" spans="1:3" ht="15.75" customHeight="1">
      <c r="A2234" s="7" t="s">
        <v>4861</v>
      </c>
      <c r="B2234" t="s">
        <v>37</v>
      </c>
      <c r="C2234">
        <v>544</v>
      </c>
    </row>
    <row r="2235" spans="1:3" ht="15.75" customHeight="1">
      <c r="A2235" t="s">
        <v>1505</v>
      </c>
      <c r="B2235" t="s">
        <v>37</v>
      </c>
      <c r="C2235">
        <v>533</v>
      </c>
    </row>
    <row r="2236" spans="1:3" ht="15.75" customHeight="1">
      <c r="A2236" t="s">
        <v>3382</v>
      </c>
      <c r="B2236" t="s">
        <v>37</v>
      </c>
      <c r="C2236">
        <v>533</v>
      </c>
    </row>
    <row r="2237" spans="1:3" ht="15.75" customHeight="1">
      <c r="A2237" t="s">
        <v>1549</v>
      </c>
      <c r="B2237" t="s">
        <v>37</v>
      </c>
      <c r="C2237">
        <v>525</v>
      </c>
    </row>
    <row r="2238" spans="1:3" ht="15.75" customHeight="1">
      <c r="A2238" t="s">
        <v>2349</v>
      </c>
      <c r="B2238" t="s">
        <v>37</v>
      </c>
      <c r="C2238">
        <v>519</v>
      </c>
    </row>
    <row r="2239" spans="1:3" ht="15.75" customHeight="1">
      <c r="A2239" t="s">
        <v>3326</v>
      </c>
      <c r="B2239" t="s">
        <v>37</v>
      </c>
      <c r="C2239">
        <v>519</v>
      </c>
    </row>
    <row r="2240" spans="1:3" ht="15.75" customHeight="1">
      <c r="A2240" t="s">
        <v>3338</v>
      </c>
      <c r="B2240" t="s">
        <v>37</v>
      </c>
      <c r="C2240">
        <v>518</v>
      </c>
    </row>
    <row r="2241" spans="1:3" ht="15.75" customHeight="1">
      <c r="A2241" t="s">
        <v>3360</v>
      </c>
      <c r="B2241" t="s">
        <v>37</v>
      </c>
      <c r="C2241">
        <v>512</v>
      </c>
    </row>
    <row r="2242" spans="1:3" ht="15.75" customHeight="1">
      <c r="A2242" t="s">
        <v>3774</v>
      </c>
      <c r="B2242" t="s">
        <v>37</v>
      </c>
      <c r="C2242">
        <v>511</v>
      </c>
    </row>
    <row r="2243" spans="1:3" ht="15.75" customHeight="1">
      <c r="A2243" t="s">
        <v>1543</v>
      </c>
      <c r="B2243" t="s">
        <v>37</v>
      </c>
      <c r="C2243">
        <v>510</v>
      </c>
    </row>
    <row r="2244" spans="1:3" ht="15.75" customHeight="1">
      <c r="A2244" t="s">
        <v>2363</v>
      </c>
      <c r="B2244" t="s">
        <v>37</v>
      </c>
      <c r="C2244">
        <v>507</v>
      </c>
    </row>
    <row r="2245" spans="1:3" ht="15.75" customHeight="1">
      <c r="A2245" t="s">
        <v>4888</v>
      </c>
      <c r="B2245" t="s">
        <v>37</v>
      </c>
      <c r="C2245">
        <v>498</v>
      </c>
    </row>
    <row r="2246" spans="1:3" ht="15.75" customHeight="1">
      <c r="A2246" t="s">
        <v>1525</v>
      </c>
      <c r="B2246" t="s">
        <v>37</v>
      </c>
      <c r="C2246">
        <v>484</v>
      </c>
    </row>
    <row r="2247" spans="1:3" ht="15.75" customHeight="1">
      <c r="A2247" t="s">
        <v>4180</v>
      </c>
      <c r="B2247" t="s">
        <v>37</v>
      </c>
      <c r="C2247">
        <v>476</v>
      </c>
    </row>
    <row r="2248" spans="1:3" ht="15.75" customHeight="1">
      <c r="A2248" t="s">
        <v>1513</v>
      </c>
      <c r="B2248" t="s">
        <v>37</v>
      </c>
      <c r="C2248">
        <v>473</v>
      </c>
    </row>
    <row r="2249" spans="1:3" ht="15.75" customHeight="1">
      <c r="A2249" t="s">
        <v>4874</v>
      </c>
      <c r="B2249" t="s">
        <v>37</v>
      </c>
      <c r="C2249">
        <v>459</v>
      </c>
    </row>
    <row r="2250" spans="1:3" ht="15.75" customHeight="1">
      <c r="A2250" t="s">
        <v>1481</v>
      </c>
      <c r="B2250" t="s">
        <v>37</v>
      </c>
      <c r="C2250">
        <v>458</v>
      </c>
    </row>
    <row r="2251" spans="1:3" ht="15.75" customHeight="1">
      <c r="A2251" t="s">
        <v>4468</v>
      </c>
      <c r="B2251" t="s">
        <v>37</v>
      </c>
      <c r="C2251">
        <v>457</v>
      </c>
    </row>
    <row r="2252" spans="1:3" ht="15.75" customHeight="1">
      <c r="A2252" t="s">
        <v>3376</v>
      </c>
      <c r="B2252" t="s">
        <v>37</v>
      </c>
      <c r="C2252">
        <v>457</v>
      </c>
    </row>
    <row r="2253" spans="1:3" ht="15.75" customHeight="1">
      <c r="A2253" t="s">
        <v>4878</v>
      </c>
      <c r="B2253" t="s">
        <v>37</v>
      </c>
      <c r="C2253">
        <v>448</v>
      </c>
    </row>
    <row r="2254" spans="1:3" ht="15.75" customHeight="1">
      <c r="A2254" t="s">
        <v>2341</v>
      </c>
      <c r="B2254" t="s">
        <v>37</v>
      </c>
      <c r="C2254">
        <v>447</v>
      </c>
    </row>
    <row r="2255" spans="1:3" ht="15.75" customHeight="1">
      <c r="A2255" t="s">
        <v>2335</v>
      </c>
      <c r="B2255" t="s">
        <v>37</v>
      </c>
      <c r="C2255">
        <v>442</v>
      </c>
    </row>
    <row r="2256" spans="1:3" ht="15.75" customHeight="1">
      <c r="A2256" t="s">
        <v>881</v>
      </c>
      <c r="B2256" t="s">
        <v>37</v>
      </c>
      <c r="C2256">
        <v>440</v>
      </c>
    </row>
    <row r="2257" spans="1:3" ht="15.75" customHeight="1">
      <c r="A2257" t="s">
        <v>1547</v>
      </c>
      <c r="B2257" t="s">
        <v>37</v>
      </c>
      <c r="C2257">
        <v>432</v>
      </c>
    </row>
    <row r="2258" spans="1:3" ht="15.75" customHeight="1">
      <c r="A2258" t="s">
        <v>4894</v>
      </c>
      <c r="B2258" t="s">
        <v>37</v>
      </c>
      <c r="C2258">
        <v>425</v>
      </c>
    </row>
    <row r="2259" spans="1:3" ht="15.75" customHeight="1">
      <c r="A2259" t="s">
        <v>3754</v>
      </c>
      <c r="B2259" t="s">
        <v>37</v>
      </c>
      <c r="C2259">
        <v>423</v>
      </c>
    </row>
    <row r="2260" spans="1:3" ht="15.75" customHeight="1">
      <c r="A2260" t="s">
        <v>2952</v>
      </c>
      <c r="B2260" t="s">
        <v>37</v>
      </c>
      <c r="C2260">
        <v>423</v>
      </c>
    </row>
    <row r="2261" spans="1:3" ht="15.75" customHeight="1">
      <c r="A2261" t="s">
        <v>901</v>
      </c>
      <c r="B2261" t="s">
        <v>37</v>
      </c>
      <c r="C2261">
        <v>416</v>
      </c>
    </row>
    <row r="2262" spans="1:3" ht="15.75" customHeight="1">
      <c r="A2262" t="s">
        <v>2337</v>
      </c>
      <c r="B2262" t="s">
        <v>37</v>
      </c>
      <c r="C2262">
        <v>412</v>
      </c>
    </row>
    <row r="2263" spans="1:3" ht="15.75" customHeight="1">
      <c r="A2263" t="s">
        <v>4458</v>
      </c>
      <c r="B2263" t="s">
        <v>37</v>
      </c>
      <c r="C2263">
        <v>405</v>
      </c>
    </row>
    <row r="2264" spans="1:3" ht="15.75" customHeight="1">
      <c r="A2264" t="s">
        <v>3394</v>
      </c>
      <c r="B2264" t="s">
        <v>37</v>
      </c>
      <c r="C2264">
        <v>401</v>
      </c>
    </row>
    <row r="2265" spans="1:3" ht="15.75" customHeight="1">
      <c r="A2265" t="s">
        <v>3374</v>
      </c>
      <c r="B2265" t="s">
        <v>37</v>
      </c>
      <c r="C2265">
        <v>395</v>
      </c>
    </row>
    <row r="2266" spans="1:3" ht="15.75" customHeight="1">
      <c r="A2266" t="s">
        <v>1485</v>
      </c>
      <c r="B2266" t="s">
        <v>37</v>
      </c>
      <c r="C2266">
        <v>390</v>
      </c>
    </row>
    <row r="2267" spans="1:3" ht="15.75" customHeight="1">
      <c r="A2267" t="s">
        <v>4859</v>
      </c>
      <c r="B2267" t="s">
        <v>37</v>
      </c>
      <c r="C2267">
        <v>367</v>
      </c>
    </row>
    <row r="2268" spans="1:3" ht="15.75" customHeight="1">
      <c r="A2268" t="s">
        <v>715</v>
      </c>
      <c r="B2268" t="s">
        <v>37</v>
      </c>
      <c r="C2268">
        <v>362</v>
      </c>
    </row>
    <row r="2269" spans="1:3" ht="15.75" customHeight="1">
      <c r="A2269" t="s">
        <v>1483</v>
      </c>
      <c r="B2269" t="s">
        <v>37</v>
      </c>
      <c r="C2269">
        <v>360</v>
      </c>
    </row>
    <row r="2270" spans="1:3" ht="15.75" customHeight="1">
      <c r="A2270" t="s">
        <v>4905</v>
      </c>
      <c r="B2270" t="s">
        <v>37</v>
      </c>
      <c r="C2270">
        <v>355</v>
      </c>
    </row>
    <row r="2271" spans="1:3" ht="15.75" customHeight="1">
      <c r="A2271" t="s">
        <v>3731</v>
      </c>
      <c r="B2271" t="s">
        <v>37</v>
      </c>
      <c r="C2271">
        <v>354</v>
      </c>
    </row>
    <row r="2272" spans="1:3" ht="15.75" customHeight="1">
      <c r="A2272" t="s">
        <v>2369</v>
      </c>
      <c r="B2272" t="s">
        <v>37</v>
      </c>
      <c r="C2272">
        <v>348</v>
      </c>
    </row>
    <row r="2273" spans="1:3" ht="15.75" customHeight="1">
      <c r="A2273" t="s">
        <v>844</v>
      </c>
      <c r="B2273" t="s">
        <v>37</v>
      </c>
      <c r="C2273">
        <v>340</v>
      </c>
    </row>
    <row r="2274" spans="1:3" ht="15.75" customHeight="1">
      <c r="A2274" t="s">
        <v>1561</v>
      </c>
      <c r="B2274" t="s">
        <v>37</v>
      </c>
      <c r="C2274">
        <v>337</v>
      </c>
    </row>
    <row r="2275" spans="1:3" ht="15.75" customHeight="1">
      <c r="A2275" t="s">
        <v>3354</v>
      </c>
      <c r="B2275" t="s">
        <v>37</v>
      </c>
      <c r="C2275">
        <v>335</v>
      </c>
    </row>
    <row r="2276" spans="1:3" ht="15.75" customHeight="1">
      <c r="A2276" t="s">
        <v>4462</v>
      </c>
      <c r="B2276" t="s">
        <v>37</v>
      </c>
      <c r="C2276">
        <v>328</v>
      </c>
    </row>
    <row r="2277" spans="1:3" ht="15.75" customHeight="1">
      <c r="A2277" t="s">
        <v>1811</v>
      </c>
      <c r="B2277" t="s">
        <v>37</v>
      </c>
      <c r="C2277">
        <v>327</v>
      </c>
    </row>
    <row r="2278" spans="1:3" ht="15.75" customHeight="1">
      <c r="A2278" t="s">
        <v>3324</v>
      </c>
      <c r="B2278" t="s">
        <v>37</v>
      </c>
      <c r="C2278">
        <v>323</v>
      </c>
    </row>
    <row r="2279" spans="1:3" ht="15.75" customHeight="1">
      <c r="A2279" t="s">
        <v>3735</v>
      </c>
      <c r="B2279" t="s">
        <v>37</v>
      </c>
      <c r="C2279">
        <v>307</v>
      </c>
    </row>
    <row r="2280" spans="1:3" ht="15.75" customHeight="1">
      <c r="A2280" t="s">
        <v>1515</v>
      </c>
      <c r="B2280" t="s">
        <v>37</v>
      </c>
      <c r="C2280">
        <v>302</v>
      </c>
    </row>
    <row r="2281" spans="1:3" ht="15.75" customHeight="1">
      <c r="A2281" t="s">
        <v>3392</v>
      </c>
      <c r="B2281" t="s">
        <v>37</v>
      </c>
      <c r="C2281">
        <v>301</v>
      </c>
    </row>
    <row r="2282" spans="1:3" ht="15.75" customHeight="1">
      <c r="A2282" t="s">
        <v>3749</v>
      </c>
      <c r="B2282" t="s">
        <v>37</v>
      </c>
      <c r="C2282">
        <v>296</v>
      </c>
    </row>
    <row r="2283" spans="1:3" ht="15.75" customHeight="1">
      <c r="A2283" t="s">
        <v>3370</v>
      </c>
      <c r="B2283" t="s">
        <v>37</v>
      </c>
      <c r="C2283">
        <v>290</v>
      </c>
    </row>
    <row r="2284" spans="1:3" ht="15.75" customHeight="1">
      <c r="A2284" t="s">
        <v>1559</v>
      </c>
      <c r="B2284" t="s">
        <v>37</v>
      </c>
      <c r="C2284">
        <v>290</v>
      </c>
    </row>
    <row r="2285" spans="1:3" ht="15.75" customHeight="1">
      <c r="A2285" t="s">
        <v>4442</v>
      </c>
      <c r="B2285" t="s">
        <v>37</v>
      </c>
      <c r="C2285">
        <v>285</v>
      </c>
    </row>
    <row r="2286" spans="1:3" ht="15.75" customHeight="1">
      <c r="A2286" t="s">
        <v>1487</v>
      </c>
      <c r="B2286" t="s">
        <v>37</v>
      </c>
      <c r="C2286">
        <v>284</v>
      </c>
    </row>
    <row r="2287" spans="1:3" ht="15.75" customHeight="1">
      <c r="A2287" t="s">
        <v>4446</v>
      </c>
      <c r="B2287" t="s">
        <v>37</v>
      </c>
      <c r="C2287">
        <v>281</v>
      </c>
    </row>
    <row r="2288" spans="1:3" ht="15.75" customHeight="1">
      <c r="A2288" t="s">
        <v>3334</v>
      </c>
      <c r="B2288" t="s">
        <v>37</v>
      </c>
      <c r="C2288">
        <v>273</v>
      </c>
    </row>
    <row r="2289" spans="1:3" ht="15.75" customHeight="1">
      <c r="A2289" t="s">
        <v>1569</v>
      </c>
      <c r="B2289" t="s">
        <v>37</v>
      </c>
      <c r="C2289">
        <v>267</v>
      </c>
    </row>
    <row r="2290" spans="1:3" ht="15.75" customHeight="1">
      <c r="A2290" t="s">
        <v>1507</v>
      </c>
      <c r="B2290" t="s">
        <v>37</v>
      </c>
      <c r="C2290">
        <v>266</v>
      </c>
    </row>
    <row r="2291" spans="1:3" ht="15.75" customHeight="1">
      <c r="A2291" t="s">
        <v>1823</v>
      </c>
      <c r="B2291" t="s">
        <v>37</v>
      </c>
      <c r="C2291">
        <v>263</v>
      </c>
    </row>
    <row r="2292" spans="1:3" ht="15.75" customHeight="1">
      <c r="A2292" t="s">
        <v>3388</v>
      </c>
      <c r="B2292" t="s">
        <v>37</v>
      </c>
      <c r="C2292">
        <v>244</v>
      </c>
    </row>
    <row r="2293" spans="1:3" ht="15.75" customHeight="1">
      <c r="A2293" t="s">
        <v>4466</v>
      </c>
      <c r="B2293" t="s">
        <v>37</v>
      </c>
      <c r="C2293">
        <v>243</v>
      </c>
    </row>
    <row r="2294" spans="1:3" ht="15.75" customHeight="1">
      <c r="A2294" t="s">
        <v>1496</v>
      </c>
      <c r="B2294" t="s">
        <v>37</v>
      </c>
      <c r="C2294">
        <v>240</v>
      </c>
    </row>
    <row r="2295" spans="1:3" ht="15.75" customHeight="1">
      <c r="A2295" t="s">
        <v>729</v>
      </c>
      <c r="B2295" t="s">
        <v>37</v>
      </c>
      <c r="C2295">
        <v>238</v>
      </c>
    </row>
    <row r="2296" spans="1:3" ht="15.75" customHeight="1">
      <c r="A2296" t="s">
        <v>1577</v>
      </c>
      <c r="B2296" t="s">
        <v>37</v>
      </c>
      <c r="C2296">
        <v>237</v>
      </c>
    </row>
    <row r="2297" spans="1:3" ht="15.75" customHeight="1">
      <c r="A2297" t="s">
        <v>4205</v>
      </c>
      <c r="B2297" t="s">
        <v>37</v>
      </c>
      <c r="C2297">
        <v>230</v>
      </c>
    </row>
    <row r="2298" spans="1:3" ht="15.75" customHeight="1">
      <c r="A2298" t="s">
        <v>3380</v>
      </c>
      <c r="B2298" t="s">
        <v>37</v>
      </c>
      <c r="C2298">
        <v>219</v>
      </c>
    </row>
    <row r="2299" spans="1:3" ht="15.75" customHeight="1">
      <c r="A2299" t="s">
        <v>4214</v>
      </c>
      <c r="B2299" t="s">
        <v>37</v>
      </c>
      <c r="C2299">
        <v>218</v>
      </c>
    </row>
    <row r="2300" spans="1:3" ht="15.75" customHeight="1">
      <c r="A2300" t="s">
        <v>1527</v>
      </c>
      <c r="B2300" t="s">
        <v>37</v>
      </c>
      <c r="C2300">
        <v>217</v>
      </c>
    </row>
    <row r="2301" spans="1:3" ht="15.75" customHeight="1">
      <c r="A2301" t="s">
        <v>3336</v>
      </c>
      <c r="B2301" t="s">
        <v>37</v>
      </c>
      <c r="C2301">
        <v>203</v>
      </c>
    </row>
    <row r="2302" spans="1:3" ht="15.75" customHeight="1">
      <c r="A2302" t="s">
        <v>1464</v>
      </c>
      <c r="B2302" t="s">
        <v>37</v>
      </c>
      <c r="C2302">
        <v>201</v>
      </c>
    </row>
    <row r="2303" spans="1:3" ht="15.75" customHeight="1">
      <c r="A2303" t="s">
        <v>4882</v>
      </c>
      <c r="B2303" t="s">
        <v>37</v>
      </c>
      <c r="C2303">
        <v>197</v>
      </c>
    </row>
    <row r="2304" spans="1:3" ht="15.75" customHeight="1">
      <c r="A2304" t="s">
        <v>2303</v>
      </c>
      <c r="B2304" t="s">
        <v>37</v>
      </c>
      <c r="C2304">
        <v>190</v>
      </c>
    </row>
    <row r="2305" spans="1:3" ht="15.75" customHeight="1">
      <c r="A2305" t="s">
        <v>3733</v>
      </c>
      <c r="B2305" t="s">
        <v>37</v>
      </c>
      <c r="C2305">
        <v>184</v>
      </c>
    </row>
    <row r="2306" spans="1:3" ht="15.75" customHeight="1">
      <c r="A2306" t="s">
        <v>4444</v>
      </c>
      <c r="B2306" t="s">
        <v>37</v>
      </c>
      <c r="C2306">
        <v>177</v>
      </c>
    </row>
    <row r="2307" spans="1:3" ht="15.75" customHeight="1">
      <c r="A2307" t="s">
        <v>818</v>
      </c>
      <c r="B2307" t="s">
        <v>37</v>
      </c>
      <c r="C2307">
        <v>177</v>
      </c>
    </row>
    <row r="2308" spans="1:3" ht="15.75" customHeight="1">
      <c r="A2308" t="s">
        <v>4435</v>
      </c>
      <c r="B2308" t="s">
        <v>37</v>
      </c>
      <c r="C2308">
        <v>174</v>
      </c>
    </row>
    <row r="2309" spans="1:3" ht="15.75" customHeight="1">
      <c r="A2309" t="s">
        <v>4853</v>
      </c>
      <c r="B2309" t="s">
        <v>37</v>
      </c>
      <c r="C2309">
        <v>174</v>
      </c>
    </row>
    <row r="2310" spans="1:3" ht="15.75" customHeight="1">
      <c r="A2310" t="s">
        <v>3352</v>
      </c>
      <c r="B2310" t="s">
        <v>37</v>
      </c>
      <c r="C2310">
        <v>172</v>
      </c>
    </row>
    <row r="2311" spans="1:3" ht="15.75" customHeight="1">
      <c r="A2311" t="s">
        <v>2309</v>
      </c>
      <c r="B2311" t="s">
        <v>37</v>
      </c>
      <c r="C2311">
        <v>171</v>
      </c>
    </row>
    <row r="2312" spans="1:3" ht="15.75" customHeight="1">
      <c r="A2312" t="s">
        <v>2305</v>
      </c>
      <c r="B2312" t="s">
        <v>37</v>
      </c>
      <c r="C2312">
        <v>159</v>
      </c>
    </row>
    <row r="2313" spans="1:3" ht="15.75" customHeight="1">
      <c r="A2313" t="s">
        <v>1501</v>
      </c>
      <c r="B2313" t="s">
        <v>37</v>
      </c>
      <c r="C2313">
        <v>156</v>
      </c>
    </row>
    <row r="2314" spans="1:3" ht="15.75" customHeight="1">
      <c r="A2314" t="s">
        <v>3322</v>
      </c>
      <c r="B2314" t="s">
        <v>37</v>
      </c>
      <c r="C2314">
        <v>150</v>
      </c>
    </row>
    <row r="2315" spans="1:3" ht="15.75" customHeight="1">
      <c r="A2315" t="s">
        <v>4440</v>
      </c>
      <c r="B2315" t="s">
        <v>37</v>
      </c>
      <c r="C2315">
        <v>146</v>
      </c>
    </row>
    <row r="2316" spans="1:3" ht="15.75" customHeight="1">
      <c r="A2316" t="s">
        <v>1565</v>
      </c>
      <c r="B2316" t="s">
        <v>37</v>
      </c>
      <c r="C2316">
        <v>145</v>
      </c>
    </row>
    <row r="2317" spans="1:3" ht="15.75" customHeight="1">
      <c r="A2317" t="s">
        <v>1533</v>
      </c>
      <c r="B2317" t="s">
        <v>37</v>
      </c>
      <c r="C2317">
        <v>144</v>
      </c>
    </row>
    <row r="2318" spans="1:3" ht="15.75" customHeight="1">
      <c r="A2318" t="s">
        <v>3770</v>
      </c>
      <c r="B2318" t="s">
        <v>37</v>
      </c>
      <c r="C2318">
        <v>142</v>
      </c>
    </row>
    <row r="2319" spans="1:3" ht="15.75" customHeight="1">
      <c r="A2319" t="s">
        <v>4474</v>
      </c>
      <c r="B2319" t="s">
        <v>37</v>
      </c>
      <c r="C2319">
        <v>141</v>
      </c>
    </row>
    <row r="2320" spans="1:3" ht="15.75" customHeight="1">
      <c r="A2320" t="s">
        <v>2371</v>
      </c>
      <c r="B2320" t="s">
        <v>37</v>
      </c>
      <c r="C2320">
        <v>139</v>
      </c>
    </row>
    <row r="2321" spans="1:3" ht="15.75" customHeight="1">
      <c r="A2321" t="s">
        <v>3741</v>
      </c>
      <c r="B2321" t="s">
        <v>37</v>
      </c>
      <c r="C2321">
        <v>137</v>
      </c>
    </row>
    <row r="2322" spans="1:3" ht="15.75" customHeight="1">
      <c r="A2322" t="s">
        <v>1575</v>
      </c>
      <c r="B2322" t="s">
        <v>37</v>
      </c>
      <c r="C2322">
        <v>128</v>
      </c>
    </row>
    <row r="2323" spans="1:3" ht="15.75" customHeight="1">
      <c r="A2323" t="s">
        <v>3758</v>
      </c>
      <c r="B2323" t="s">
        <v>37</v>
      </c>
      <c r="C2323">
        <v>127</v>
      </c>
    </row>
    <row r="2324" spans="1:3" ht="15.75" customHeight="1">
      <c r="A2324" t="s">
        <v>3400</v>
      </c>
      <c r="B2324" t="s">
        <v>37</v>
      </c>
      <c r="C2324">
        <v>122</v>
      </c>
    </row>
    <row r="2325" spans="1:3" ht="15.75" customHeight="1">
      <c r="A2325" t="s">
        <v>1551</v>
      </c>
      <c r="B2325" t="s">
        <v>37</v>
      </c>
      <c r="C2325">
        <v>118</v>
      </c>
    </row>
    <row r="2326" spans="1:3" ht="15.75" customHeight="1">
      <c r="A2326" t="s">
        <v>1567</v>
      </c>
      <c r="B2326" t="s">
        <v>37</v>
      </c>
      <c r="C2326">
        <v>116</v>
      </c>
    </row>
    <row r="2327" spans="1:3" ht="15.75" customHeight="1">
      <c r="A2327" t="s">
        <v>4876</v>
      </c>
      <c r="B2327" t="s">
        <v>37</v>
      </c>
      <c r="C2327">
        <v>115</v>
      </c>
    </row>
    <row r="2328" spans="1:3" ht="15.75" customHeight="1">
      <c r="A2328" t="s">
        <v>2928</v>
      </c>
      <c r="B2328" t="s">
        <v>37</v>
      </c>
      <c r="C2328">
        <v>112</v>
      </c>
    </row>
    <row r="2329" spans="1:3" ht="15.75" customHeight="1">
      <c r="A2329" t="s">
        <v>1477</v>
      </c>
      <c r="B2329" t="s">
        <v>37</v>
      </c>
      <c r="C2329">
        <v>111</v>
      </c>
    </row>
    <row r="2330" spans="1:3" ht="15.75" customHeight="1">
      <c r="A2330" t="s">
        <v>3386</v>
      </c>
      <c r="B2330" t="s">
        <v>37</v>
      </c>
      <c r="C2330">
        <v>106</v>
      </c>
    </row>
    <row r="2331" spans="1:3" ht="15.75" customHeight="1">
      <c r="A2331" t="s">
        <v>1815</v>
      </c>
      <c r="B2331" t="s">
        <v>37</v>
      </c>
      <c r="C2331">
        <v>104</v>
      </c>
    </row>
    <row r="2332" spans="1:3" ht="15.75" customHeight="1">
      <c r="A2332" t="s">
        <v>4464</v>
      </c>
      <c r="B2332" t="s">
        <v>37</v>
      </c>
      <c r="C2332">
        <v>98</v>
      </c>
    </row>
    <row r="2333" spans="1:3" ht="15.75" customHeight="1">
      <c r="A2333" t="s">
        <v>1825</v>
      </c>
      <c r="B2333" t="s">
        <v>37</v>
      </c>
      <c r="C2333">
        <v>91</v>
      </c>
    </row>
    <row r="2334" spans="1:3" ht="15.75" customHeight="1">
      <c r="A2334" t="s">
        <v>867</v>
      </c>
      <c r="B2334" t="s">
        <v>37</v>
      </c>
      <c r="C2334">
        <v>90</v>
      </c>
    </row>
    <row r="2335" spans="1:3" ht="15.75" customHeight="1">
      <c r="A2335" t="s">
        <v>4902</v>
      </c>
      <c r="B2335" t="s">
        <v>37</v>
      </c>
      <c r="C2335">
        <v>81</v>
      </c>
    </row>
    <row r="2336" spans="1:3" ht="15.75" customHeight="1">
      <c r="A2336" t="s">
        <v>3783</v>
      </c>
      <c r="B2336" t="s">
        <v>37</v>
      </c>
      <c r="C2336">
        <v>79</v>
      </c>
    </row>
    <row r="2337" spans="1:3" ht="15.75" customHeight="1">
      <c r="A2337" t="s">
        <v>1531</v>
      </c>
      <c r="B2337" t="s">
        <v>37</v>
      </c>
      <c r="C2337">
        <v>66</v>
      </c>
    </row>
    <row r="2338" spans="1:3" ht="15.75" customHeight="1">
      <c r="A2338" t="s">
        <v>1821</v>
      </c>
      <c r="B2338" t="s">
        <v>37</v>
      </c>
      <c r="C2338">
        <v>66</v>
      </c>
    </row>
    <row r="2339" spans="1:3" ht="15.75" customHeight="1">
      <c r="A2339" t="s">
        <v>3332</v>
      </c>
      <c r="B2339" t="s">
        <v>37</v>
      </c>
      <c r="C2339">
        <v>58</v>
      </c>
    </row>
    <row r="2340" spans="1:3" ht="15.75" customHeight="1">
      <c r="A2340" t="s">
        <v>3778</v>
      </c>
      <c r="B2340" t="s">
        <v>37</v>
      </c>
      <c r="C2340">
        <v>58</v>
      </c>
    </row>
    <row r="2341" spans="1:3" ht="15.75" customHeight="1">
      <c r="A2341" t="s">
        <v>2319</v>
      </c>
      <c r="B2341" t="s">
        <v>37</v>
      </c>
      <c r="C2341">
        <v>57</v>
      </c>
    </row>
    <row r="2342" spans="1:3" ht="15.75" customHeight="1">
      <c r="A2342" t="s">
        <v>3368</v>
      </c>
      <c r="B2342" t="s">
        <v>37</v>
      </c>
      <c r="C2342">
        <v>54</v>
      </c>
    </row>
    <row r="2343" spans="1:3" ht="15.75" customHeight="1">
      <c r="A2343" t="s">
        <v>4900</v>
      </c>
      <c r="B2343" t="s">
        <v>37</v>
      </c>
      <c r="C2343">
        <v>45</v>
      </c>
    </row>
    <row r="2344" spans="1:3" ht="15.75" customHeight="1">
      <c r="A2344" t="s">
        <v>3762</v>
      </c>
      <c r="B2344" t="s">
        <v>37</v>
      </c>
      <c r="C2344">
        <v>35</v>
      </c>
    </row>
    <row r="2345" spans="1:3" ht="15.75" customHeight="1">
      <c r="A2345" t="s">
        <v>3344</v>
      </c>
      <c r="B2345" t="s">
        <v>37</v>
      </c>
      <c r="C2345">
        <v>34</v>
      </c>
    </row>
    <row r="2346" spans="1:3" ht="15.75" customHeight="1">
      <c r="A2346" t="s">
        <v>4898</v>
      </c>
      <c r="B2346" t="s">
        <v>37</v>
      </c>
      <c r="C2346">
        <v>33</v>
      </c>
    </row>
    <row r="2347" spans="1:3" ht="15.75" customHeight="1">
      <c r="A2347" t="s">
        <v>4448</v>
      </c>
      <c r="B2347" t="s">
        <v>37</v>
      </c>
      <c r="C2347">
        <v>29</v>
      </c>
    </row>
    <row r="2348" spans="1:3" ht="15.75" customHeight="1">
      <c r="A2348" t="s">
        <v>3780</v>
      </c>
      <c r="B2348" t="s">
        <v>37</v>
      </c>
      <c r="C2348">
        <v>17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1587"/>
  <sheetViews>
    <sheetView workbookViewId="0">
      <pane ySplit="1" topLeftCell="A10" activePane="bottomLeft" state="frozen"/>
      <selection pane="bottomLeft" activeCell="A26" sqref="A26"/>
    </sheetView>
  </sheetViews>
  <sheetFormatPr defaultColWidth="12.5703125" defaultRowHeight="15.75" customHeight="1"/>
  <cols>
    <col min="1" max="1" width="86.7109375" bestFit="1" customWidth="1"/>
    <col min="2" max="3" width="16.7109375" bestFit="1" customWidth="1"/>
    <col min="4" max="4" width="12.42578125" bestFit="1" customWidth="1"/>
  </cols>
  <sheetData>
    <row r="1" spans="1:4">
      <c r="A1" s="1" t="s">
        <v>4906</v>
      </c>
      <c r="B1" s="1" t="s">
        <v>4907</v>
      </c>
      <c r="C1" s="1" t="s">
        <v>4909</v>
      </c>
      <c r="D1" s="1" t="s">
        <v>4908</v>
      </c>
    </row>
    <row r="2" spans="1:4">
      <c r="A2" s="2" t="s">
        <v>52</v>
      </c>
      <c r="B2" s="2" t="s">
        <v>24</v>
      </c>
      <c r="C2" s="2" t="s">
        <v>39</v>
      </c>
      <c r="D2" s="2">
        <v>100</v>
      </c>
    </row>
    <row r="3" spans="1:4">
      <c r="A3" s="2" t="s">
        <v>921</v>
      </c>
      <c r="B3" s="2" t="s">
        <v>24</v>
      </c>
      <c r="C3" s="2" t="s">
        <v>39</v>
      </c>
      <c r="D3" s="2">
        <v>100</v>
      </c>
    </row>
    <row r="4" spans="1:4">
      <c r="A4" s="2" t="s">
        <v>1827</v>
      </c>
      <c r="B4" s="2" t="s">
        <v>24</v>
      </c>
      <c r="C4" s="2" t="s">
        <v>39</v>
      </c>
      <c r="D4" s="2">
        <v>100</v>
      </c>
    </row>
    <row r="5" spans="1:4">
      <c r="A5" s="2" t="s">
        <v>2376</v>
      </c>
      <c r="B5" s="2" t="s">
        <v>24</v>
      </c>
      <c r="C5" s="2" t="s">
        <v>39</v>
      </c>
      <c r="D5" s="2">
        <v>100</v>
      </c>
    </row>
    <row r="6" spans="1:4">
      <c r="A6" s="2" t="s">
        <v>3787</v>
      </c>
      <c r="B6" s="2" t="s">
        <v>24</v>
      </c>
      <c r="C6" s="2" t="s">
        <v>39</v>
      </c>
      <c r="D6" s="2">
        <v>100</v>
      </c>
    </row>
    <row r="7" spans="1:4">
      <c r="A7" s="2" t="s">
        <v>4477</v>
      </c>
      <c r="B7" s="2" t="s">
        <v>24</v>
      </c>
      <c r="C7" s="2" t="s">
        <v>39</v>
      </c>
      <c r="D7" s="2">
        <v>100</v>
      </c>
    </row>
    <row r="8" spans="1:4">
      <c r="A8" s="2" t="s">
        <v>3405</v>
      </c>
      <c r="B8" s="2" t="s">
        <v>24</v>
      </c>
      <c r="C8" s="2" t="s">
        <v>39</v>
      </c>
      <c r="D8" s="2">
        <v>66</v>
      </c>
    </row>
    <row r="9" spans="1:4">
      <c r="A9" s="2" t="s">
        <v>4217</v>
      </c>
      <c r="B9" s="2" t="s">
        <v>24</v>
      </c>
      <c r="C9" s="2" t="s">
        <v>39</v>
      </c>
      <c r="D9" s="2">
        <v>55</v>
      </c>
    </row>
    <row r="10" spans="1:4">
      <c r="A10" s="2" t="s">
        <v>2962</v>
      </c>
      <c r="B10" s="2" t="s">
        <v>24</v>
      </c>
      <c r="C10" s="2" t="s">
        <v>39</v>
      </c>
      <c r="D10" s="2">
        <v>48</v>
      </c>
    </row>
    <row r="11" spans="1:4">
      <c r="A11" s="2" t="s">
        <v>1579</v>
      </c>
      <c r="B11" s="2" t="s">
        <v>24</v>
      </c>
      <c r="C11" s="2" t="s">
        <v>39</v>
      </c>
      <c r="D11" s="2">
        <v>26</v>
      </c>
    </row>
    <row r="12" spans="1:4">
      <c r="A12" s="2" t="s">
        <v>52</v>
      </c>
      <c r="B12" s="2" t="s">
        <v>24</v>
      </c>
      <c r="C12" s="2" t="s">
        <v>36</v>
      </c>
      <c r="D12" s="2">
        <v>100</v>
      </c>
    </row>
    <row r="13" spans="1:4">
      <c r="A13" s="2" t="s">
        <v>921</v>
      </c>
      <c r="B13" s="2" t="s">
        <v>24</v>
      </c>
      <c r="C13" s="2" t="s">
        <v>36</v>
      </c>
      <c r="D13" s="2">
        <v>100</v>
      </c>
    </row>
    <row r="14" spans="1:4">
      <c r="A14" s="2" t="s">
        <v>1827</v>
      </c>
      <c r="B14" s="2" t="s">
        <v>24</v>
      </c>
      <c r="C14" s="2" t="s">
        <v>36</v>
      </c>
      <c r="D14" s="2">
        <v>100</v>
      </c>
    </row>
    <row r="15" spans="1:4">
      <c r="A15" s="2" t="s">
        <v>2376</v>
      </c>
      <c r="B15" s="2" t="s">
        <v>24</v>
      </c>
      <c r="C15" s="2" t="s">
        <v>36</v>
      </c>
      <c r="D15" s="2">
        <v>100</v>
      </c>
    </row>
    <row r="16" spans="1:4">
      <c r="A16" s="2" t="s">
        <v>2962</v>
      </c>
      <c r="B16" s="2" t="s">
        <v>24</v>
      </c>
      <c r="C16" s="2" t="s">
        <v>36</v>
      </c>
      <c r="D16" s="2">
        <v>100</v>
      </c>
    </row>
    <row r="17" spans="1:4">
      <c r="A17" s="2" t="s">
        <v>3405</v>
      </c>
      <c r="B17" s="2" t="s">
        <v>24</v>
      </c>
      <c r="C17" s="2" t="s">
        <v>36</v>
      </c>
      <c r="D17" s="2">
        <v>100</v>
      </c>
    </row>
    <row r="18" spans="1:4">
      <c r="A18" s="2" t="s">
        <v>3787</v>
      </c>
      <c r="B18" s="2" t="s">
        <v>24</v>
      </c>
      <c r="C18" s="2" t="s">
        <v>36</v>
      </c>
      <c r="D18" s="2">
        <v>100</v>
      </c>
    </row>
    <row r="19" spans="1:4">
      <c r="A19" s="2" t="s">
        <v>4217</v>
      </c>
      <c r="B19" s="2" t="s">
        <v>24</v>
      </c>
      <c r="C19" s="2" t="s">
        <v>36</v>
      </c>
      <c r="D19" s="2">
        <v>100</v>
      </c>
    </row>
    <row r="20" spans="1:4">
      <c r="A20" s="2" t="s">
        <v>4477</v>
      </c>
      <c r="B20" s="2" t="s">
        <v>24</v>
      </c>
      <c r="C20" s="2" t="s">
        <v>36</v>
      </c>
      <c r="D20" s="2">
        <v>100</v>
      </c>
    </row>
    <row r="21" spans="1:4">
      <c r="A21" s="2" t="s">
        <v>1579</v>
      </c>
      <c r="B21" s="2" t="s">
        <v>24</v>
      </c>
      <c r="C21" s="2" t="s">
        <v>36</v>
      </c>
      <c r="D21" s="2">
        <v>69</v>
      </c>
    </row>
    <row r="22" spans="1:4">
      <c r="A22" s="2" t="s">
        <v>52</v>
      </c>
      <c r="B22" s="2" t="s">
        <v>24</v>
      </c>
      <c r="C22" s="2" t="s">
        <v>38</v>
      </c>
      <c r="D22" s="2">
        <v>100</v>
      </c>
    </row>
    <row r="23" spans="1:4">
      <c r="A23" s="2" t="s">
        <v>921</v>
      </c>
      <c r="B23" s="2" t="s">
        <v>24</v>
      </c>
      <c r="C23" s="2" t="s">
        <v>38</v>
      </c>
      <c r="D23" s="2">
        <v>100</v>
      </c>
    </row>
    <row r="24" spans="1:4">
      <c r="A24" s="2" t="s">
        <v>1827</v>
      </c>
      <c r="B24" s="2" t="s">
        <v>24</v>
      </c>
      <c r="C24" s="2" t="s">
        <v>38</v>
      </c>
      <c r="D24" s="2">
        <v>100</v>
      </c>
    </row>
    <row r="25" spans="1:4">
      <c r="A25" s="2" t="s">
        <v>2376</v>
      </c>
      <c r="B25" s="2" t="s">
        <v>24</v>
      </c>
      <c r="C25" s="2" t="s">
        <v>38</v>
      </c>
      <c r="D25" s="2">
        <v>100</v>
      </c>
    </row>
    <row r="26" spans="1:4">
      <c r="A26" s="2" t="s">
        <v>2962</v>
      </c>
      <c r="B26" s="2" t="s">
        <v>24</v>
      </c>
      <c r="C26" s="2" t="s">
        <v>38</v>
      </c>
      <c r="D26" s="2">
        <v>100</v>
      </c>
    </row>
    <row r="27" spans="1:4">
      <c r="A27" s="2" t="s">
        <v>3405</v>
      </c>
      <c r="B27" s="2" t="s">
        <v>24</v>
      </c>
      <c r="C27" s="2" t="s">
        <v>38</v>
      </c>
      <c r="D27" s="2">
        <v>100</v>
      </c>
    </row>
    <row r="28" spans="1:4">
      <c r="A28" s="2" t="s">
        <v>3787</v>
      </c>
      <c r="B28" s="2" t="s">
        <v>24</v>
      </c>
      <c r="C28" s="2" t="s">
        <v>38</v>
      </c>
      <c r="D28" s="2">
        <v>100</v>
      </c>
    </row>
    <row r="29" spans="1:4">
      <c r="A29" s="2" t="s">
        <v>4217</v>
      </c>
      <c r="B29" s="2" t="s">
        <v>24</v>
      </c>
      <c r="C29" s="2" t="s">
        <v>38</v>
      </c>
      <c r="D29" s="2">
        <v>100</v>
      </c>
    </row>
    <row r="30" spans="1:4">
      <c r="A30" s="2" t="s">
        <v>4477</v>
      </c>
      <c r="B30" s="2" t="s">
        <v>24</v>
      </c>
      <c r="C30" s="2" t="s">
        <v>38</v>
      </c>
      <c r="D30" s="2">
        <v>100</v>
      </c>
    </row>
    <row r="31" spans="1:4">
      <c r="A31" s="2" t="s">
        <v>1579</v>
      </c>
      <c r="B31" s="2" t="s">
        <v>24</v>
      </c>
      <c r="C31" s="2" t="s">
        <v>38</v>
      </c>
      <c r="D31" s="2">
        <v>85</v>
      </c>
    </row>
    <row r="32" spans="1:4">
      <c r="A32" s="2" t="s">
        <v>52</v>
      </c>
      <c r="B32" s="2" t="s">
        <v>24</v>
      </c>
      <c r="C32" s="2" t="s">
        <v>37</v>
      </c>
      <c r="D32" s="2">
        <v>100</v>
      </c>
    </row>
    <row r="33" spans="1:4">
      <c r="A33" s="2" t="s">
        <v>921</v>
      </c>
      <c r="B33" s="2" t="s">
        <v>24</v>
      </c>
      <c r="C33" s="2" t="s">
        <v>37</v>
      </c>
      <c r="D33" s="2">
        <v>100</v>
      </c>
    </row>
    <row r="34" spans="1:4">
      <c r="A34" s="2" t="s">
        <v>1827</v>
      </c>
      <c r="B34" s="2" t="s">
        <v>24</v>
      </c>
      <c r="C34" s="2" t="s">
        <v>37</v>
      </c>
      <c r="D34" s="2">
        <v>100</v>
      </c>
    </row>
    <row r="35" spans="1:4">
      <c r="A35" s="2" t="s">
        <v>2376</v>
      </c>
      <c r="B35" s="2" t="s">
        <v>24</v>
      </c>
      <c r="C35" s="2" t="s">
        <v>37</v>
      </c>
      <c r="D35" s="2">
        <v>100</v>
      </c>
    </row>
    <row r="36" spans="1:4">
      <c r="A36" s="2" t="s">
        <v>2962</v>
      </c>
      <c r="B36" s="2" t="s">
        <v>24</v>
      </c>
      <c r="C36" s="2" t="s">
        <v>37</v>
      </c>
      <c r="D36" s="2">
        <v>100</v>
      </c>
    </row>
    <row r="37" spans="1:4">
      <c r="A37" s="2" t="s">
        <v>3787</v>
      </c>
      <c r="B37" s="2" t="s">
        <v>24</v>
      </c>
      <c r="C37" s="2" t="s">
        <v>37</v>
      </c>
      <c r="D37" s="2">
        <v>100</v>
      </c>
    </row>
    <row r="38" spans="1:4">
      <c r="A38" s="2" t="s">
        <v>4477</v>
      </c>
      <c r="B38" s="2" t="s">
        <v>24</v>
      </c>
      <c r="C38" s="2" t="s">
        <v>37</v>
      </c>
      <c r="D38" s="2">
        <v>100</v>
      </c>
    </row>
    <row r="39" spans="1:4">
      <c r="A39" s="2" t="s">
        <v>3405</v>
      </c>
      <c r="B39" s="2" t="s">
        <v>24</v>
      </c>
      <c r="C39" s="2" t="s">
        <v>37</v>
      </c>
      <c r="D39" s="2">
        <v>77</v>
      </c>
    </row>
    <row r="40" spans="1:4">
      <c r="A40" s="2" t="s">
        <v>4217</v>
      </c>
      <c r="B40" s="2" t="s">
        <v>24</v>
      </c>
      <c r="C40" s="2" t="s">
        <v>37</v>
      </c>
      <c r="D40" s="2">
        <v>71</v>
      </c>
    </row>
    <row r="41" spans="1:4">
      <c r="A41" s="2" t="s">
        <v>1579</v>
      </c>
      <c r="B41" s="2" t="s">
        <v>24</v>
      </c>
      <c r="C41" s="2" t="s">
        <v>37</v>
      </c>
      <c r="D41" s="2">
        <v>28</v>
      </c>
    </row>
    <row r="42" spans="1:4">
      <c r="A42" s="2" t="s">
        <v>139</v>
      </c>
      <c r="B42" s="2" t="s">
        <v>39</v>
      </c>
      <c r="C42" s="2" t="s">
        <v>24</v>
      </c>
      <c r="D42" s="2">
        <v>9</v>
      </c>
    </row>
    <row r="43" spans="1:4">
      <c r="A43" s="2" t="s">
        <v>73</v>
      </c>
      <c r="B43" s="2" t="s">
        <v>39</v>
      </c>
      <c r="C43" s="2" t="s">
        <v>24</v>
      </c>
      <c r="D43" s="2">
        <v>8</v>
      </c>
    </row>
    <row r="44" spans="1:4">
      <c r="A44" s="2" t="s">
        <v>156</v>
      </c>
      <c r="B44" s="2" t="s">
        <v>39</v>
      </c>
      <c r="C44" s="2" t="s">
        <v>24</v>
      </c>
      <c r="D44" s="2">
        <v>7</v>
      </c>
    </row>
    <row r="45" spans="1:4">
      <c r="A45" s="2" t="s">
        <v>82</v>
      </c>
      <c r="B45" s="2" t="s">
        <v>39</v>
      </c>
      <c r="C45" s="2" t="s">
        <v>24</v>
      </c>
      <c r="D45" s="2">
        <v>7</v>
      </c>
    </row>
    <row r="46" spans="1:4">
      <c r="A46" s="2" t="s">
        <v>100</v>
      </c>
      <c r="B46" s="2" t="s">
        <v>39</v>
      </c>
      <c r="C46" s="2" t="s">
        <v>24</v>
      </c>
      <c r="D46" s="2">
        <v>7</v>
      </c>
    </row>
    <row r="47" spans="1:4">
      <c r="A47" s="2" t="s">
        <v>1096</v>
      </c>
      <c r="B47" s="2" t="s">
        <v>39</v>
      </c>
      <c r="C47" s="2" t="s">
        <v>24</v>
      </c>
      <c r="D47" s="2">
        <v>7</v>
      </c>
    </row>
    <row r="48" spans="1:4">
      <c r="A48" s="2" t="s">
        <v>91</v>
      </c>
      <c r="B48" s="2" t="s">
        <v>39</v>
      </c>
      <c r="C48" s="2" t="s">
        <v>24</v>
      </c>
      <c r="D48" s="2">
        <v>7</v>
      </c>
    </row>
    <row r="49" spans="1:4">
      <c r="A49" s="2" t="s">
        <v>153</v>
      </c>
      <c r="B49" s="2" t="s">
        <v>39</v>
      </c>
      <c r="C49" s="2" t="s">
        <v>24</v>
      </c>
      <c r="D49" s="2">
        <v>7</v>
      </c>
    </row>
    <row r="50" spans="1:4">
      <c r="A50" s="2" t="s">
        <v>111</v>
      </c>
      <c r="B50" s="2" t="s">
        <v>39</v>
      </c>
      <c r="C50" s="2" t="s">
        <v>24</v>
      </c>
      <c r="D50" s="2">
        <v>6</v>
      </c>
    </row>
    <row r="51" spans="1:4">
      <c r="A51" s="2" t="s">
        <v>923</v>
      </c>
      <c r="B51" s="2" t="s">
        <v>39</v>
      </c>
      <c r="C51" s="2" t="s">
        <v>24</v>
      </c>
      <c r="D51" s="2">
        <v>6</v>
      </c>
    </row>
    <row r="52" spans="1:4">
      <c r="A52" s="2" t="s">
        <v>109</v>
      </c>
      <c r="B52" s="2" t="s">
        <v>39</v>
      </c>
      <c r="C52" s="2" t="s">
        <v>24</v>
      </c>
      <c r="D52" s="2">
        <v>6</v>
      </c>
    </row>
    <row r="53" spans="1:4">
      <c r="A53" s="2" t="s">
        <v>97</v>
      </c>
      <c r="B53" s="2" t="s">
        <v>39</v>
      </c>
      <c r="C53" s="2" t="s">
        <v>24</v>
      </c>
      <c r="D53" s="2">
        <v>6</v>
      </c>
    </row>
    <row r="54" spans="1:4">
      <c r="A54" s="2" t="s">
        <v>1008</v>
      </c>
      <c r="B54" s="2" t="s">
        <v>39</v>
      </c>
      <c r="C54" s="2" t="s">
        <v>24</v>
      </c>
      <c r="D54" s="2">
        <v>6</v>
      </c>
    </row>
    <row r="55" spans="1:4">
      <c r="A55" s="2" t="s">
        <v>179</v>
      </c>
      <c r="B55" s="2" t="s">
        <v>39</v>
      </c>
      <c r="C55" s="2" t="s">
        <v>24</v>
      </c>
      <c r="D55" s="2">
        <v>5</v>
      </c>
    </row>
    <row r="56" spans="1:4">
      <c r="A56" s="2" t="s">
        <v>227</v>
      </c>
      <c r="B56" s="2" t="s">
        <v>39</v>
      </c>
      <c r="C56" s="2" t="s">
        <v>24</v>
      </c>
      <c r="D56" s="2">
        <v>5</v>
      </c>
    </row>
    <row r="57" spans="1:4">
      <c r="A57" s="2" t="s">
        <v>181</v>
      </c>
      <c r="B57" s="2" t="s">
        <v>39</v>
      </c>
      <c r="C57" s="2" t="s">
        <v>24</v>
      </c>
      <c r="D57" s="2">
        <v>5</v>
      </c>
    </row>
    <row r="58" spans="1:4">
      <c r="A58" s="2" t="s">
        <v>1035</v>
      </c>
      <c r="B58" s="2" t="s">
        <v>39</v>
      </c>
      <c r="C58" s="2" t="s">
        <v>24</v>
      </c>
      <c r="D58" s="2">
        <v>5</v>
      </c>
    </row>
    <row r="59" spans="1:4">
      <c r="A59" s="2" t="s">
        <v>1092</v>
      </c>
      <c r="B59" s="2" t="s">
        <v>39</v>
      </c>
      <c r="C59" s="2" t="s">
        <v>24</v>
      </c>
      <c r="D59" s="2">
        <v>5</v>
      </c>
    </row>
    <row r="60" spans="1:4">
      <c r="A60" s="2" t="s">
        <v>269</v>
      </c>
      <c r="B60" s="2" t="s">
        <v>39</v>
      </c>
      <c r="C60" s="2" t="s">
        <v>24</v>
      </c>
      <c r="D60" s="2">
        <v>5</v>
      </c>
    </row>
    <row r="61" spans="1:4">
      <c r="A61" s="2" t="s">
        <v>948</v>
      </c>
      <c r="B61" s="2" t="s">
        <v>39</v>
      </c>
      <c r="C61" s="2" t="s">
        <v>24</v>
      </c>
      <c r="D61" s="2">
        <v>5</v>
      </c>
    </row>
    <row r="62" spans="1:4">
      <c r="A62" s="2" t="s">
        <v>1004</v>
      </c>
      <c r="B62" s="2" t="s">
        <v>39</v>
      </c>
      <c r="C62" s="2" t="s">
        <v>24</v>
      </c>
      <c r="D62" s="2">
        <v>5</v>
      </c>
    </row>
    <row r="63" spans="1:4">
      <c r="A63" s="2" t="s">
        <v>965</v>
      </c>
      <c r="B63" s="2" t="s">
        <v>39</v>
      </c>
      <c r="C63" s="2" t="s">
        <v>24</v>
      </c>
      <c r="D63" s="2">
        <v>4</v>
      </c>
    </row>
    <row r="64" spans="1:4">
      <c r="A64" s="2" t="s">
        <v>185</v>
      </c>
      <c r="B64" s="2" t="s">
        <v>39</v>
      </c>
      <c r="C64" s="2" t="s">
        <v>24</v>
      </c>
      <c r="D64" s="2">
        <v>4</v>
      </c>
    </row>
    <row r="65" spans="1:4">
      <c r="A65" s="2" t="s">
        <v>1900</v>
      </c>
      <c r="B65" s="2" t="s">
        <v>39</v>
      </c>
      <c r="C65" s="2" t="s">
        <v>24</v>
      </c>
      <c r="D65" s="2">
        <v>4</v>
      </c>
    </row>
    <row r="66" spans="1:4">
      <c r="A66" s="2" t="s">
        <v>1908</v>
      </c>
      <c r="B66" s="2" t="s">
        <v>39</v>
      </c>
      <c r="C66" s="2" t="s">
        <v>24</v>
      </c>
      <c r="D66" s="2">
        <v>4</v>
      </c>
    </row>
    <row r="67" spans="1:4">
      <c r="A67" s="2" t="s">
        <v>1084</v>
      </c>
      <c r="B67" s="2" t="s">
        <v>39</v>
      </c>
      <c r="C67" s="2" t="s">
        <v>24</v>
      </c>
      <c r="D67" s="2">
        <v>4</v>
      </c>
    </row>
    <row r="68" spans="1:4">
      <c r="A68" s="2" t="s">
        <v>201</v>
      </c>
      <c r="B68" s="2" t="s">
        <v>39</v>
      </c>
      <c r="C68" s="2" t="s">
        <v>24</v>
      </c>
      <c r="D68" s="2">
        <v>4</v>
      </c>
    </row>
    <row r="69" spans="1:4">
      <c r="A69" s="2" t="s">
        <v>1600</v>
      </c>
      <c r="B69" s="2" t="s">
        <v>39</v>
      </c>
      <c r="C69" s="2" t="s">
        <v>24</v>
      </c>
      <c r="D69" s="2">
        <v>4</v>
      </c>
    </row>
    <row r="70" spans="1:4">
      <c r="A70" s="2" t="s">
        <v>126</v>
      </c>
      <c r="B70" s="2" t="s">
        <v>39</v>
      </c>
      <c r="C70" s="2" t="s">
        <v>24</v>
      </c>
      <c r="D70" s="2">
        <v>4</v>
      </c>
    </row>
    <row r="71" spans="1:4">
      <c r="A71" s="2" t="s">
        <v>118</v>
      </c>
      <c r="B71" s="2" t="s">
        <v>39</v>
      </c>
      <c r="C71" s="2" t="s">
        <v>24</v>
      </c>
      <c r="D71" s="2">
        <v>4</v>
      </c>
    </row>
    <row r="72" spans="1:4">
      <c r="A72" s="2" t="s">
        <v>124</v>
      </c>
      <c r="B72" s="2" t="s">
        <v>39</v>
      </c>
      <c r="C72" s="2" t="s">
        <v>24</v>
      </c>
      <c r="D72" s="2">
        <v>4</v>
      </c>
    </row>
    <row r="73" spans="1:4">
      <c r="A73" s="2" t="s">
        <v>199</v>
      </c>
      <c r="B73" s="2" t="s">
        <v>39</v>
      </c>
      <c r="C73" s="2" t="s">
        <v>24</v>
      </c>
      <c r="D73" s="2">
        <v>4</v>
      </c>
    </row>
    <row r="74" spans="1:4">
      <c r="A74" s="2" t="s">
        <v>1930</v>
      </c>
      <c r="B74" s="2" t="s">
        <v>39</v>
      </c>
      <c r="C74" s="2" t="s">
        <v>24</v>
      </c>
      <c r="D74" s="2">
        <v>4</v>
      </c>
    </row>
    <row r="75" spans="1:4">
      <c r="A75" s="2" t="s">
        <v>1932</v>
      </c>
      <c r="B75" s="2" t="s">
        <v>39</v>
      </c>
      <c r="C75" s="2" t="s">
        <v>24</v>
      </c>
      <c r="D75" s="2">
        <v>4</v>
      </c>
    </row>
    <row r="76" spans="1:4">
      <c r="A76" s="2" t="s">
        <v>2388</v>
      </c>
      <c r="B76" s="2" t="s">
        <v>39</v>
      </c>
      <c r="C76" s="2" t="s">
        <v>24</v>
      </c>
      <c r="D76" s="2">
        <v>4</v>
      </c>
    </row>
    <row r="77" spans="1:4">
      <c r="A77" s="2" t="s">
        <v>1104</v>
      </c>
      <c r="B77" s="2" t="s">
        <v>39</v>
      </c>
      <c r="C77" s="2" t="s">
        <v>24</v>
      </c>
      <c r="D77" s="2">
        <v>4</v>
      </c>
    </row>
    <row r="78" spans="1:4">
      <c r="A78" s="2" t="s">
        <v>1581</v>
      </c>
      <c r="B78" s="2" t="s">
        <v>39</v>
      </c>
      <c r="C78" s="2" t="s">
        <v>24</v>
      </c>
      <c r="D78" s="2">
        <v>4</v>
      </c>
    </row>
    <row r="79" spans="1:4">
      <c r="A79" s="2" t="s">
        <v>262</v>
      </c>
      <c r="B79" s="2" t="s">
        <v>39</v>
      </c>
      <c r="C79" s="2" t="s">
        <v>24</v>
      </c>
      <c r="D79" s="2">
        <v>4</v>
      </c>
    </row>
    <row r="80" spans="1:4">
      <c r="A80" s="2" t="s">
        <v>1830</v>
      </c>
      <c r="B80" s="2" t="s">
        <v>39</v>
      </c>
      <c r="C80" s="2" t="s">
        <v>24</v>
      </c>
      <c r="D80" s="2">
        <v>4</v>
      </c>
    </row>
    <row r="81" spans="1:4">
      <c r="A81" s="2" t="s">
        <v>279</v>
      </c>
      <c r="B81" s="2" t="s">
        <v>39</v>
      </c>
      <c r="C81" s="2" t="s">
        <v>24</v>
      </c>
      <c r="D81" s="2">
        <v>4</v>
      </c>
    </row>
    <row r="82" spans="1:4">
      <c r="A82" s="2" t="s">
        <v>975</v>
      </c>
      <c r="B82" s="2" t="s">
        <v>39</v>
      </c>
      <c r="C82" s="2" t="s">
        <v>24</v>
      </c>
      <c r="D82" s="2">
        <v>4</v>
      </c>
    </row>
    <row r="83" spans="1:4">
      <c r="A83" s="2" t="s">
        <v>264</v>
      </c>
      <c r="B83" s="2" t="s">
        <v>39</v>
      </c>
      <c r="C83" s="2" t="s">
        <v>24</v>
      </c>
      <c r="D83" s="2">
        <v>4</v>
      </c>
    </row>
    <row r="84" spans="1:4">
      <c r="A84" s="2" t="s">
        <v>951</v>
      </c>
      <c r="B84" s="2" t="s">
        <v>39</v>
      </c>
      <c r="C84" s="2" t="s">
        <v>24</v>
      </c>
      <c r="D84" s="2">
        <v>3</v>
      </c>
    </row>
    <row r="85" spans="1:4">
      <c r="A85" s="2" t="s">
        <v>169</v>
      </c>
      <c r="B85" s="2" t="s">
        <v>39</v>
      </c>
      <c r="C85" s="2" t="s">
        <v>24</v>
      </c>
      <c r="D85" s="2">
        <v>3</v>
      </c>
    </row>
    <row r="86" spans="1:4">
      <c r="A86" s="2" t="s">
        <v>61</v>
      </c>
      <c r="B86" s="2" t="s">
        <v>39</v>
      </c>
      <c r="C86" s="2" t="s">
        <v>24</v>
      </c>
      <c r="D86" s="2">
        <v>3</v>
      </c>
    </row>
    <row r="87" spans="1:4">
      <c r="A87" s="2" t="s">
        <v>2484</v>
      </c>
      <c r="B87" s="2" t="s">
        <v>39</v>
      </c>
      <c r="C87" s="2" t="s">
        <v>24</v>
      </c>
      <c r="D87" s="2">
        <v>3</v>
      </c>
    </row>
    <row r="88" spans="1:4">
      <c r="A88" s="2" t="s">
        <v>3438</v>
      </c>
      <c r="B88" s="2" t="s">
        <v>39</v>
      </c>
      <c r="C88" s="2" t="s">
        <v>24</v>
      </c>
      <c r="D88" s="2">
        <v>3</v>
      </c>
    </row>
    <row r="89" spans="1:4">
      <c r="A89" s="2" t="s">
        <v>1021</v>
      </c>
      <c r="B89" s="2" t="s">
        <v>39</v>
      </c>
      <c r="C89" s="2" t="s">
        <v>24</v>
      </c>
      <c r="D89" s="2">
        <v>3</v>
      </c>
    </row>
    <row r="90" spans="1:4">
      <c r="A90" s="2" t="s">
        <v>3440</v>
      </c>
      <c r="B90" s="2" t="s">
        <v>39</v>
      </c>
      <c r="C90" s="2" t="s">
        <v>24</v>
      </c>
      <c r="D90" s="2">
        <v>3</v>
      </c>
    </row>
    <row r="91" spans="1:4">
      <c r="A91" s="2" t="s">
        <v>1837</v>
      </c>
      <c r="B91" s="2" t="s">
        <v>39</v>
      </c>
      <c r="C91" s="2" t="s">
        <v>24</v>
      </c>
      <c r="D91" s="2">
        <v>3</v>
      </c>
    </row>
    <row r="92" spans="1:4">
      <c r="A92" s="2" t="s">
        <v>192</v>
      </c>
      <c r="B92" s="2" t="s">
        <v>39</v>
      </c>
      <c r="C92" s="2" t="s">
        <v>24</v>
      </c>
      <c r="D92" s="2">
        <v>3</v>
      </c>
    </row>
    <row r="93" spans="1:4">
      <c r="A93" s="2" t="s">
        <v>1609</v>
      </c>
      <c r="B93" s="2" t="s">
        <v>39</v>
      </c>
      <c r="C93" s="2" t="s">
        <v>24</v>
      </c>
      <c r="D93" s="2">
        <v>3</v>
      </c>
    </row>
    <row r="94" spans="1:4">
      <c r="A94" s="2" t="s">
        <v>172</v>
      </c>
      <c r="B94" s="2" t="s">
        <v>39</v>
      </c>
      <c r="C94" s="2" t="s">
        <v>24</v>
      </c>
      <c r="D94" s="2">
        <v>3</v>
      </c>
    </row>
    <row r="95" spans="1:4">
      <c r="A95" s="2" t="s">
        <v>292</v>
      </c>
      <c r="B95" s="2" t="s">
        <v>39</v>
      </c>
      <c r="C95" s="2" t="s">
        <v>24</v>
      </c>
      <c r="D95" s="2">
        <v>3</v>
      </c>
    </row>
    <row r="96" spans="1:4">
      <c r="A96" s="2" t="s">
        <v>2381</v>
      </c>
      <c r="B96" s="2" t="s">
        <v>39</v>
      </c>
      <c r="C96" s="2" t="s">
        <v>24</v>
      </c>
      <c r="D96" s="2">
        <v>3</v>
      </c>
    </row>
    <row r="97" spans="1:4">
      <c r="A97" s="2" t="s">
        <v>1918</v>
      </c>
      <c r="B97" s="2" t="s">
        <v>39</v>
      </c>
      <c r="C97" s="2" t="s">
        <v>24</v>
      </c>
      <c r="D97" s="2">
        <v>3</v>
      </c>
    </row>
    <row r="98" spans="1:4">
      <c r="A98" s="2" t="s">
        <v>969</v>
      </c>
      <c r="B98" s="2" t="s">
        <v>39</v>
      </c>
      <c r="C98" s="2" t="s">
        <v>24</v>
      </c>
      <c r="D98" s="2">
        <v>3</v>
      </c>
    </row>
    <row r="99" spans="1:4">
      <c r="A99" s="2" t="s">
        <v>1920</v>
      </c>
      <c r="B99" s="2" t="s">
        <v>39</v>
      </c>
      <c r="C99" s="2" t="s">
        <v>24</v>
      </c>
      <c r="D99" s="2">
        <v>3</v>
      </c>
    </row>
    <row r="100" spans="1:4">
      <c r="A100" s="2" t="s">
        <v>1094</v>
      </c>
      <c r="B100" s="2" t="s">
        <v>39</v>
      </c>
      <c r="C100" s="2" t="s">
        <v>24</v>
      </c>
      <c r="D100" s="2">
        <v>3</v>
      </c>
    </row>
    <row r="101" spans="1:4">
      <c r="A101" s="2" t="s">
        <v>148</v>
      </c>
      <c r="B101" s="2" t="s">
        <v>39</v>
      </c>
      <c r="C101" s="2" t="s">
        <v>24</v>
      </c>
      <c r="D101" s="2">
        <v>3</v>
      </c>
    </row>
    <row r="102" spans="1:4">
      <c r="A102" s="2" t="s">
        <v>1002</v>
      </c>
      <c r="B102" s="2" t="s">
        <v>39</v>
      </c>
      <c r="C102" s="2" t="s">
        <v>24</v>
      </c>
      <c r="D102" s="2">
        <v>3</v>
      </c>
    </row>
    <row r="103" spans="1:4">
      <c r="A103" s="2" t="s">
        <v>134</v>
      </c>
      <c r="B103" s="2" t="s">
        <v>39</v>
      </c>
      <c r="C103" s="2" t="s">
        <v>24</v>
      </c>
      <c r="D103" s="2">
        <v>3</v>
      </c>
    </row>
    <row r="104" spans="1:4">
      <c r="A104" s="2" t="s">
        <v>1006</v>
      </c>
      <c r="B104" s="2" t="s">
        <v>39</v>
      </c>
      <c r="C104" s="2" t="s">
        <v>24</v>
      </c>
      <c r="D104" s="2">
        <v>3</v>
      </c>
    </row>
    <row r="105" spans="1:4">
      <c r="A105" s="2" t="s">
        <v>1855</v>
      </c>
      <c r="B105" s="2" t="s">
        <v>39</v>
      </c>
      <c r="C105" s="2" t="s">
        <v>24</v>
      </c>
      <c r="D105" s="2">
        <v>3</v>
      </c>
    </row>
    <row r="106" spans="1:4">
      <c r="A106" s="2" t="s">
        <v>1874</v>
      </c>
      <c r="B106" s="2" t="s">
        <v>39</v>
      </c>
      <c r="C106" s="2" t="s">
        <v>24</v>
      </c>
      <c r="D106" s="2">
        <v>3</v>
      </c>
    </row>
    <row r="107" spans="1:4">
      <c r="A107" s="2" t="s">
        <v>161</v>
      </c>
      <c r="B107" s="2" t="s">
        <v>39</v>
      </c>
      <c r="C107" s="2" t="s">
        <v>24</v>
      </c>
      <c r="D107" s="2">
        <v>3</v>
      </c>
    </row>
    <row r="108" spans="1:4">
      <c r="A108" s="2" t="s">
        <v>2448</v>
      </c>
      <c r="B108" s="2" t="s">
        <v>39</v>
      </c>
      <c r="C108" s="2" t="s">
        <v>24</v>
      </c>
      <c r="D108" s="2">
        <v>3</v>
      </c>
    </row>
    <row r="109" spans="1:4">
      <c r="A109" s="2" t="s">
        <v>3475</v>
      </c>
      <c r="B109" s="2" t="s">
        <v>39</v>
      </c>
      <c r="C109" s="2" t="s">
        <v>24</v>
      </c>
      <c r="D109" s="2">
        <v>3</v>
      </c>
    </row>
    <row r="110" spans="1:4">
      <c r="A110" s="2" t="s">
        <v>1878</v>
      </c>
      <c r="B110" s="2" t="s">
        <v>39</v>
      </c>
      <c r="C110" s="2" t="s">
        <v>24</v>
      </c>
      <c r="D110" s="2">
        <v>3</v>
      </c>
    </row>
    <row r="111" spans="1:4">
      <c r="A111" s="2" t="s">
        <v>1010</v>
      </c>
      <c r="B111" s="2" t="s">
        <v>39</v>
      </c>
      <c r="C111" s="2" t="s">
        <v>24</v>
      </c>
      <c r="D111" s="2">
        <v>2</v>
      </c>
    </row>
    <row r="112" spans="1:4">
      <c r="A112" s="2" t="s">
        <v>4229</v>
      </c>
      <c r="B112" s="2" t="s">
        <v>39</v>
      </c>
      <c r="C112" s="2" t="s">
        <v>24</v>
      </c>
      <c r="D112" s="2">
        <v>2</v>
      </c>
    </row>
    <row r="113" spans="1:4">
      <c r="A113" s="2" t="s">
        <v>1591</v>
      </c>
      <c r="B113" s="2" t="s">
        <v>39</v>
      </c>
      <c r="C113" s="2" t="s">
        <v>24</v>
      </c>
      <c r="D113" s="2">
        <v>2</v>
      </c>
    </row>
    <row r="114" spans="1:4">
      <c r="A114" s="2" t="s">
        <v>980</v>
      </c>
      <c r="B114" s="2" t="s">
        <v>39</v>
      </c>
      <c r="C114" s="2" t="s">
        <v>24</v>
      </c>
      <c r="D114" s="2">
        <v>2</v>
      </c>
    </row>
    <row r="115" spans="1:4">
      <c r="A115" s="2" t="s">
        <v>1015</v>
      </c>
      <c r="B115" s="2" t="s">
        <v>39</v>
      </c>
      <c r="C115" s="2" t="s">
        <v>24</v>
      </c>
      <c r="D115" s="2">
        <v>2</v>
      </c>
    </row>
    <row r="116" spans="1:4">
      <c r="A116" s="2" t="s">
        <v>1607</v>
      </c>
      <c r="B116" s="2" t="s">
        <v>39</v>
      </c>
      <c r="C116" s="2" t="s">
        <v>24</v>
      </c>
      <c r="D116" s="2">
        <v>2</v>
      </c>
    </row>
    <row r="117" spans="1:4">
      <c r="A117" s="2" t="s">
        <v>984</v>
      </c>
      <c r="B117" s="2" t="s">
        <v>39</v>
      </c>
      <c r="C117" s="2" t="s">
        <v>24</v>
      </c>
      <c r="D117" s="2">
        <v>2</v>
      </c>
    </row>
    <row r="118" spans="1:4">
      <c r="A118" s="2" t="s">
        <v>1953</v>
      </c>
      <c r="B118" s="2" t="s">
        <v>39</v>
      </c>
      <c r="C118" s="2" t="s">
        <v>24</v>
      </c>
      <c r="D118" s="2">
        <v>2</v>
      </c>
    </row>
    <row r="119" spans="1:4">
      <c r="A119" s="2" t="s">
        <v>215</v>
      </c>
      <c r="B119" s="2" t="s">
        <v>39</v>
      </c>
      <c r="C119" s="2" t="s">
        <v>24</v>
      </c>
      <c r="D119" s="2">
        <v>2</v>
      </c>
    </row>
    <row r="120" spans="1:4">
      <c r="A120" s="2" t="s">
        <v>188</v>
      </c>
      <c r="B120" s="2" t="s">
        <v>39</v>
      </c>
      <c r="C120" s="2" t="s">
        <v>24</v>
      </c>
      <c r="D120" s="2">
        <v>2</v>
      </c>
    </row>
    <row r="121" spans="1:4">
      <c r="A121" s="2" t="s">
        <v>937</v>
      </c>
      <c r="B121" s="2" t="s">
        <v>39</v>
      </c>
      <c r="C121" s="2" t="s">
        <v>24</v>
      </c>
      <c r="D121" s="2">
        <v>2</v>
      </c>
    </row>
    <row r="122" spans="1:4">
      <c r="A122" s="2" t="s">
        <v>244</v>
      </c>
      <c r="B122" s="2" t="s">
        <v>39</v>
      </c>
      <c r="C122" s="2" t="s">
        <v>24</v>
      </c>
      <c r="D122" s="2">
        <v>2</v>
      </c>
    </row>
    <row r="123" spans="1:4">
      <c r="A123" s="2" t="s">
        <v>2989</v>
      </c>
      <c r="B123" s="2" t="s">
        <v>39</v>
      </c>
      <c r="C123" s="2" t="s">
        <v>24</v>
      </c>
      <c r="D123" s="2">
        <v>2</v>
      </c>
    </row>
    <row r="124" spans="1:4">
      <c r="A124" s="2" t="s">
        <v>1902</v>
      </c>
      <c r="B124" s="2" t="s">
        <v>39</v>
      </c>
      <c r="C124" s="2" t="s">
        <v>24</v>
      </c>
      <c r="D124" s="2">
        <v>2</v>
      </c>
    </row>
    <row r="125" spans="1:4">
      <c r="A125" s="2" t="s">
        <v>1904</v>
      </c>
      <c r="B125" s="2" t="s">
        <v>39</v>
      </c>
      <c r="C125" s="2" t="s">
        <v>24</v>
      </c>
      <c r="D125" s="2">
        <v>2</v>
      </c>
    </row>
    <row r="126" spans="1:4">
      <c r="A126" s="2" t="s">
        <v>1906</v>
      </c>
      <c r="B126" s="2" t="s">
        <v>39</v>
      </c>
      <c r="C126" s="2" t="s">
        <v>24</v>
      </c>
      <c r="D126" s="2">
        <v>2</v>
      </c>
    </row>
    <row r="127" spans="1:4">
      <c r="A127" s="2" t="s">
        <v>2473</v>
      </c>
      <c r="B127" s="2" t="s">
        <v>39</v>
      </c>
      <c r="C127" s="2" t="s">
        <v>24</v>
      </c>
      <c r="D127" s="2">
        <v>2</v>
      </c>
    </row>
    <row r="128" spans="1:4">
      <c r="A128" s="2" t="s">
        <v>1586</v>
      </c>
      <c r="B128" s="2" t="s">
        <v>39</v>
      </c>
      <c r="C128" s="2" t="s">
        <v>24</v>
      </c>
      <c r="D128" s="2">
        <v>2</v>
      </c>
    </row>
    <row r="129" spans="1:4">
      <c r="A129" s="2" t="s">
        <v>1595</v>
      </c>
      <c r="B129" s="2" t="s">
        <v>39</v>
      </c>
      <c r="C129" s="2" t="s">
        <v>24</v>
      </c>
      <c r="D129" s="2">
        <v>2</v>
      </c>
    </row>
    <row r="130" spans="1:4">
      <c r="A130" s="2" t="s">
        <v>219</v>
      </c>
      <c r="B130" s="2" t="s">
        <v>39</v>
      </c>
      <c r="C130" s="2" t="s">
        <v>24</v>
      </c>
      <c r="D130" s="2">
        <v>2</v>
      </c>
    </row>
    <row r="131" spans="1:4">
      <c r="A131" s="2" t="s">
        <v>114</v>
      </c>
      <c r="B131" s="2" t="s">
        <v>39</v>
      </c>
      <c r="C131" s="2" t="s">
        <v>24</v>
      </c>
      <c r="D131" s="2">
        <v>2</v>
      </c>
    </row>
    <row r="132" spans="1:4">
      <c r="A132" s="2" t="s">
        <v>1071</v>
      </c>
      <c r="B132" s="2" t="s">
        <v>39</v>
      </c>
      <c r="C132" s="2" t="s">
        <v>24</v>
      </c>
      <c r="D132" s="2">
        <v>2</v>
      </c>
    </row>
    <row r="133" spans="1:4">
      <c r="A133" s="2" t="s">
        <v>1074</v>
      </c>
      <c r="B133" s="2" t="s">
        <v>39</v>
      </c>
      <c r="C133" s="2" t="s">
        <v>24</v>
      </c>
      <c r="D133" s="2">
        <v>2</v>
      </c>
    </row>
    <row r="134" spans="1:4">
      <c r="A134" s="2" t="s">
        <v>103</v>
      </c>
      <c r="B134" s="2" t="s">
        <v>39</v>
      </c>
      <c r="C134" s="2" t="s">
        <v>24</v>
      </c>
      <c r="D134" s="2">
        <v>2</v>
      </c>
    </row>
    <row r="135" spans="1:4">
      <c r="A135" s="2" t="s">
        <v>1078</v>
      </c>
      <c r="B135" s="2" t="s">
        <v>39</v>
      </c>
      <c r="C135" s="2" t="s">
        <v>24</v>
      </c>
      <c r="D135" s="2">
        <v>2</v>
      </c>
    </row>
    <row r="136" spans="1:4">
      <c r="A136" s="2" t="s">
        <v>1080</v>
      </c>
      <c r="B136" s="2" t="s">
        <v>39</v>
      </c>
      <c r="C136" s="2" t="s">
        <v>24</v>
      </c>
      <c r="D136" s="2">
        <v>2</v>
      </c>
    </row>
    <row r="137" spans="1:4">
      <c r="A137" s="2" t="s">
        <v>286</v>
      </c>
      <c r="B137" s="2" t="s">
        <v>39</v>
      </c>
      <c r="C137" s="2" t="s">
        <v>24</v>
      </c>
      <c r="D137" s="2">
        <v>2</v>
      </c>
    </row>
    <row r="138" spans="1:4">
      <c r="A138" s="2" t="s">
        <v>288</v>
      </c>
      <c r="B138" s="2" t="s">
        <v>39</v>
      </c>
      <c r="C138" s="2" t="s">
        <v>24</v>
      </c>
      <c r="D138" s="2">
        <v>2</v>
      </c>
    </row>
    <row r="139" spans="1:4">
      <c r="A139" s="2" t="s">
        <v>121</v>
      </c>
      <c r="B139" s="2" t="s">
        <v>39</v>
      </c>
      <c r="C139" s="2" t="s">
        <v>24</v>
      </c>
      <c r="D139" s="2">
        <v>2</v>
      </c>
    </row>
    <row r="140" spans="1:4">
      <c r="A140" s="2" t="s">
        <v>190</v>
      </c>
      <c r="B140" s="2" t="s">
        <v>39</v>
      </c>
      <c r="C140" s="2" t="s">
        <v>24</v>
      </c>
      <c r="D140" s="2">
        <v>2</v>
      </c>
    </row>
    <row r="141" spans="1:4">
      <c r="A141" s="2" t="s">
        <v>2475</v>
      </c>
      <c r="B141" s="2" t="s">
        <v>39</v>
      </c>
      <c r="C141" s="2" t="s">
        <v>24</v>
      </c>
      <c r="D141" s="2">
        <v>2</v>
      </c>
    </row>
    <row r="142" spans="1:4">
      <c r="A142" s="2" t="s">
        <v>1912</v>
      </c>
      <c r="B142" s="2" t="s">
        <v>39</v>
      </c>
      <c r="C142" s="2" t="s">
        <v>24</v>
      </c>
      <c r="D142" s="2">
        <v>2</v>
      </c>
    </row>
    <row r="143" spans="1:4">
      <c r="A143" s="2" t="s">
        <v>2429</v>
      </c>
      <c r="B143" s="2" t="s">
        <v>39</v>
      </c>
      <c r="C143" s="2" t="s">
        <v>24</v>
      </c>
      <c r="D143" s="2">
        <v>2</v>
      </c>
    </row>
    <row r="144" spans="1:4">
      <c r="A144" s="2" t="s">
        <v>129</v>
      </c>
      <c r="B144" s="2" t="s">
        <v>39</v>
      </c>
      <c r="C144" s="2" t="s">
        <v>24</v>
      </c>
      <c r="D144" s="2">
        <v>2</v>
      </c>
    </row>
    <row r="145" spans="1:4">
      <c r="A145" s="2" t="s">
        <v>1598</v>
      </c>
      <c r="B145" s="2" t="s">
        <v>39</v>
      </c>
      <c r="C145" s="2" t="s">
        <v>24</v>
      </c>
      <c r="D145" s="2">
        <v>2</v>
      </c>
    </row>
    <row r="146" spans="1:4">
      <c r="A146" s="2" t="s">
        <v>250</v>
      </c>
      <c r="B146" s="2" t="s">
        <v>39</v>
      </c>
      <c r="C146" s="2" t="s">
        <v>24</v>
      </c>
      <c r="D146" s="2">
        <v>2</v>
      </c>
    </row>
    <row r="147" spans="1:4">
      <c r="A147" s="2" t="s">
        <v>266</v>
      </c>
      <c r="B147" s="2" t="s">
        <v>39</v>
      </c>
      <c r="C147" s="2" t="s">
        <v>24</v>
      </c>
      <c r="D147" s="2">
        <v>2</v>
      </c>
    </row>
    <row r="148" spans="1:4">
      <c r="A148" s="2" t="s">
        <v>2999</v>
      </c>
      <c r="B148" s="2" t="s">
        <v>39</v>
      </c>
      <c r="C148" s="2" t="s">
        <v>24</v>
      </c>
      <c r="D148" s="2">
        <v>2</v>
      </c>
    </row>
    <row r="149" spans="1:4">
      <c r="A149" s="2" t="s">
        <v>132</v>
      </c>
      <c r="B149" s="2" t="s">
        <v>39</v>
      </c>
      <c r="C149" s="2" t="s">
        <v>24</v>
      </c>
      <c r="D149" s="2">
        <v>2</v>
      </c>
    </row>
    <row r="150" spans="1:4">
      <c r="A150" s="2" t="s">
        <v>1025</v>
      </c>
      <c r="B150" s="2" t="s">
        <v>39</v>
      </c>
      <c r="C150" s="2" t="s">
        <v>24</v>
      </c>
      <c r="D150" s="2">
        <v>2</v>
      </c>
    </row>
    <row r="151" spans="1:4">
      <c r="A151" s="2" t="s">
        <v>2515</v>
      </c>
      <c r="B151" s="2" t="s">
        <v>39</v>
      </c>
      <c r="C151" s="2" t="s">
        <v>24</v>
      </c>
      <c r="D151" s="2">
        <v>2</v>
      </c>
    </row>
    <row r="152" spans="1:4">
      <c r="A152" s="2" t="s">
        <v>2490</v>
      </c>
      <c r="B152" s="2" t="s">
        <v>39</v>
      </c>
      <c r="C152" s="2" t="s">
        <v>24</v>
      </c>
      <c r="D152" s="2">
        <v>2</v>
      </c>
    </row>
    <row r="153" spans="1:4">
      <c r="A153" s="2" t="s">
        <v>4252</v>
      </c>
      <c r="B153" s="2" t="s">
        <v>39</v>
      </c>
      <c r="C153" s="2" t="s">
        <v>24</v>
      </c>
      <c r="D153" s="2">
        <v>2</v>
      </c>
    </row>
    <row r="154" spans="1:4">
      <c r="A154" s="2" t="s">
        <v>1029</v>
      </c>
      <c r="B154" s="2" t="s">
        <v>39</v>
      </c>
      <c r="C154" s="2" t="s">
        <v>24</v>
      </c>
      <c r="D154" s="2">
        <v>2</v>
      </c>
    </row>
    <row r="155" spans="1:4">
      <c r="A155" s="2" t="s">
        <v>229</v>
      </c>
      <c r="B155" s="2" t="s">
        <v>39</v>
      </c>
      <c r="C155" s="2" t="s">
        <v>24</v>
      </c>
      <c r="D155" s="2">
        <v>2</v>
      </c>
    </row>
    <row r="156" spans="1:4">
      <c r="A156" s="2" t="s">
        <v>2494</v>
      </c>
      <c r="B156" s="2" t="s">
        <v>39</v>
      </c>
      <c r="C156" s="2" t="s">
        <v>24</v>
      </c>
      <c r="D156" s="2">
        <v>2</v>
      </c>
    </row>
    <row r="157" spans="1:4">
      <c r="A157" s="2" t="s">
        <v>1863</v>
      </c>
      <c r="B157" s="2" t="s">
        <v>39</v>
      </c>
      <c r="C157" s="2" t="s">
        <v>24</v>
      </c>
      <c r="D157" s="2">
        <v>2</v>
      </c>
    </row>
    <row r="158" spans="1:4">
      <c r="A158" s="2" t="s">
        <v>1851</v>
      </c>
      <c r="B158" s="2" t="s">
        <v>39</v>
      </c>
      <c r="C158" s="2" t="s">
        <v>24</v>
      </c>
      <c r="D158" s="2">
        <v>2</v>
      </c>
    </row>
    <row r="159" spans="1:4">
      <c r="A159" s="2" t="s">
        <v>79</v>
      </c>
      <c r="B159" s="2" t="s">
        <v>39</v>
      </c>
      <c r="C159" s="2" t="s">
        <v>24</v>
      </c>
      <c r="D159" s="2">
        <v>2</v>
      </c>
    </row>
    <row r="160" spans="1:4">
      <c r="A160" s="2" t="s">
        <v>204</v>
      </c>
      <c r="B160" s="2" t="s">
        <v>39</v>
      </c>
      <c r="C160" s="2" t="s">
        <v>24</v>
      </c>
      <c r="D160" s="2">
        <v>2</v>
      </c>
    </row>
    <row r="161" spans="1:4">
      <c r="A161" s="2" t="s">
        <v>3828</v>
      </c>
      <c r="B161" s="2" t="s">
        <v>39</v>
      </c>
      <c r="C161" s="2" t="s">
        <v>24</v>
      </c>
      <c r="D161" s="2">
        <v>2</v>
      </c>
    </row>
    <row r="162" spans="1:4">
      <c r="A162" s="2" t="s">
        <v>1865</v>
      </c>
      <c r="B162" s="2" t="s">
        <v>39</v>
      </c>
      <c r="C162" s="2" t="s">
        <v>24</v>
      </c>
      <c r="D162" s="2">
        <v>2</v>
      </c>
    </row>
    <row r="163" spans="1:4">
      <c r="A163" s="2" t="s">
        <v>1037</v>
      </c>
      <c r="B163" s="2" t="s">
        <v>39</v>
      </c>
      <c r="C163" s="2" t="s">
        <v>24</v>
      </c>
      <c r="D163" s="2">
        <v>2</v>
      </c>
    </row>
    <row r="164" spans="1:4">
      <c r="A164" s="2" t="s">
        <v>971</v>
      </c>
      <c r="B164" s="2" t="s">
        <v>39</v>
      </c>
      <c r="C164" s="2" t="s">
        <v>24</v>
      </c>
      <c r="D164" s="2">
        <v>2</v>
      </c>
    </row>
    <row r="165" spans="1:4">
      <c r="A165" s="2" t="s">
        <v>3005</v>
      </c>
      <c r="B165" s="2" t="s">
        <v>39</v>
      </c>
      <c r="C165" s="2" t="s">
        <v>24</v>
      </c>
      <c r="D165" s="2">
        <v>2</v>
      </c>
    </row>
    <row r="166" spans="1:4">
      <c r="A166" s="2" t="s">
        <v>1922</v>
      </c>
      <c r="B166" s="2" t="s">
        <v>39</v>
      </c>
      <c r="C166" s="2" t="s">
        <v>24</v>
      </c>
      <c r="D166" s="2">
        <v>2</v>
      </c>
    </row>
    <row r="167" spans="1:4">
      <c r="A167" s="2" t="s">
        <v>1049</v>
      </c>
      <c r="B167" s="2" t="s">
        <v>39</v>
      </c>
      <c r="C167" s="2" t="s">
        <v>24</v>
      </c>
      <c r="D167" s="2">
        <v>2</v>
      </c>
    </row>
    <row r="168" spans="1:4">
      <c r="A168" s="2" t="s">
        <v>1887</v>
      </c>
      <c r="B168" s="2" t="s">
        <v>39</v>
      </c>
      <c r="C168" s="2" t="s">
        <v>24</v>
      </c>
      <c r="D168" s="2">
        <v>2</v>
      </c>
    </row>
    <row r="169" spans="1:4">
      <c r="A169" s="2" t="s">
        <v>1928</v>
      </c>
      <c r="B169" s="2" t="s">
        <v>39</v>
      </c>
      <c r="C169" s="2" t="s">
        <v>24</v>
      </c>
      <c r="D169" s="2">
        <v>2</v>
      </c>
    </row>
    <row r="170" spans="1:4">
      <c r="A170" s="2" t="s">
        <v>2434</v>
      </c>
      <c r="B170" s="2" t="s">
        <v>39</v>
      </c>
      <c r="C170" s="2" t="s">
        <v>24</v>
      </c>
      <c r="D170" s="2">
        <v>2</v>
      </c>
    </row>
    <row r="171" spans="1:4">
      <c r="A171" s="2" t="s">
        <v>141</v>
      </c>
      <c r="B171" s="2" t="s">
        <v>39</v>
      </c>
      <c r="C171" s="2" t="s">
        <v>24</v>
      </c>
      <c r="D171" s="2">
        <v>2</v>
      </c>
    </row>
    <row r="172" spans="1:4">
      <c r="A172" s="2" t="s">
        <v>996</v>
      </c>
      <c r="B172" s="2" t="s">
        <v>39</v>
      </c>
      <c r="C172" s="2" t="s">
        <v>24</v>
      </c>
      <c r="D172" s="2">
        <v>2</v>
      </c>
    </row>
    <row r="173" spans="1:4">
      <c r="A173" s="2" t="s">
        <v>2398</v>
      </c>
      <c r="B173" s="2" t="s">
        <v>39</v>
      </c>
      <c r="C173" s="2" t="s">
        <v>24</v>
      </c>
      <c r="D173" s="2">
        <v>2</v>
      </c>
    </row>
    <row r="174" spans="1:4">
      <c r="A174" s="2" t="s">
        <v>1051</v>
      </c>
      <c r="B174" s="2" t="s">
        <v>39</v>
      </c>
      <c r="C174" s="2" t="s">
        <v>24</v>
      </c>
      <c r="D174" s="2">
        <v>2</v>
      </c>
    </row>
    <row r="175" spans="1:4">
      <c r="A175" s="2" t="s">
        <v>256</v>
      </c>
      <c r="B175" s="2" t="s">
        <v>39</v>
      </c>
      <c r="C175" s="2" t="s">
        <v>24</v>
      </c>
      <c r="D175" s="2">
        <v>2</v>
      </c>
    </row>
    <row r="176" spans="1:4">
      <c r="A176" s="2" t="s">
        <v>4264</v>
      </c>
      <c r="B176" s="2" t="s">
        <v>39</v>
      </c>
      <c r="C176" s="2" t="s">
        <v>24</v>
      </c>
      <c r="D176" s="2">
        <v>2</v>
      </c>
    </row>
    <row r="177" spans="1:4">
      <c r="A177" s="2" t="s">
        <v>3431</v>
      </c>
      <c r="B177" s="2" t="s">
        <v>39</v>
      </c>
      <c r="C177" s="2" t="s">
        <v>24</v>
      </c>
      <c r="D177" s="2">
        <v>2</v>
      </c>
    </row>
    <row r="178" spans="1:4">
      <c r="A178" s="2" t="s">
        <v>998</v>
      </c>
      <c r="B178" s="2" t="s">
        <v>39</v>
      </c>
      <c r="C178" s="2" t="s">
        <v>24</v>
      </c>
      <c r="D178" s="2">
        <v>2</v>
      </c>
    </row>
    <row r="179" spans="1:4">
      <c r="A179" s="2" t="s">
        <v>260</v>
      </c>
      <c r="B179" s="2" t="s">
        <v>39</v>
      </c>
      <c r="C179" s="2" t="s">
        <v>24</v>
      </c>
      <c r="D179" s="2">
        <v>2</v>
      </c>
    </row>
    <row r="180" spans="1:4">
      <c r="A180" s="2" t="s">
        <v>1000</v>
      </c>
      <c r="B180" s="2" t="s">
        <v>39</v>
      </c>
      <c r="C180" s="2" t="s">
        <v>24</v>
      </c>
      <c r="D180" s="2">
        <v>2</v>
      </c>
    </row>
    <row r="181" spans="1:4">
      <c r="A181" s="2" t="s">
        <v>1934</v>
      </c>
      <c r="B181" s="2" t="s">
        <v>39</v>
      </c>
      <c r="C181" s="2" t="s">
        <v>24</v>
      </c>
      <c r="D181" s="2">
        <v>2</v>
      </c>
    </row>
    <row r="182" spans="1:4">
      <c r="A182" s="2" t="s">
        <v>2967</v>
      </c>
      <c r="B182" s="2" t="s">
        <v>39</v>
      </c>
      <c r="C182" s="2" t="s">
        <v>24</v>
      </c>
      <c r="D182" s="2">
        <v>2</v>
      </c>
    </row>
    <row r="183" spans="1:4">
      <c r="A183" s="2" t="s">
        <v>58</v>
      </c>
      <c r="B183" s="2" t="s">
        <v>39</v>
      </c>
      <c r="C183" s="2" t="s">
        <v>24</v>
      </c>
      <c r="D183" s="2">
        <v>2</v>
      </c>
    </row>
    <row r="184" spans="1:4">
      <c r="A184" s="2" t="s">
        <v>273</v>
      </c>
      <c r="B184" s="2" t="s">
        <v>39</v>
      </c>
      <c r="C184" s="2" t="s">
        <v>24</v>
      </c>
      <c r="D184" s="2">
        <v>2</v>
      </c>
    </row>
    <row r="185" spans="1:4">
      <c r="A185" s="2" t="s">
        <v>3467</v>
      </c>
      <c r="B185" s="2" t="s">
        <v>39</v>
      </c>
      <c r="C185" s="2" t="s">
        <v>24</v>
      </c>
      <c r="D185" s="2">
        <v>2</v>
      </c>
    </row>
    <row r="186" spans="1:4">
      <c r="A186" s="2" t="s">
        <v>927</v>
      </c>
      <c r="B186" s="2" t="s">
        <v>39</v>
      </c>
      <c r="C186" s="2" t="s">
        <v>24</v>
      </c>
      <c r="D186" s="2">
        <v>2</v>
      </c>
    </row>
    <row r="187" spans="1:4">
      <c r="A187" s="2" t="s">
        <v>210</v>
      </c>
      <c r="B187" s="2" t="s">
        <v>39</v>
      </c>
      <c r="C187" s="2" t="s">
        <v>24</v>
      </c>
      <c r="D187" s="2">
        <v>2</v>
      </c>
    </row>
    <row r="188" spans="1:4">
      <c r="A188" s="2" t="s">
        <v>2401</v>
      </c>
      <c r="B188" s="2" t="s">
        <v>39</v>
      </c>
      <c r="C188" s="2" t="s">
        <v>24</v>
      </c>
      <c r="D188" s="2">
        <v>2</v>
      </c>
    </row>
    <row r="189" spans="1:4">
      <c r="A189" s="2" t="s">
        <v>930</v>
      </c>
      <c r="B189" s="2" t="s">
        <v>39</v>
      </c>
      <c r="C189" s="2" t="s">
        <v>24</v>
      </c>
      <c r="D189" s="2">
        <v>2</v>
      </c>
    </row>
    <row r="190" spans="1:4">
      <c r="A190" s="2" t="s">
        <v>2462</v>
      </c>
      <c r="B190" s="2" t="s">
        <v>39</v>
      </c>
      <c r="C190" s="2" t="s">
        <v>24</v>
      </c>
      <c r="D190" s="2">
        <v>2</v>
      </c>
    </row>
    <row r="191" spans="1:4">
      <c r="A191" s="2" t="s">
        <v>237</v>
      </c>
      <c r="B191" s="2" t="s">
        <v>39</v>
      </c>
      <c r="C191" s="2" t="s">
        <v>24</v>
      </c>
      <c r="D191" s="2">
        <v>2</v>
      </c>
    </row>
    <row r="192" spans="1:4">
      <c r="A192" s="2" t="s">
        <v>3469</v>
      </c>
      <c r="B192" s="2" t="s">
        <v>39</v>
      </c>
      <c r="C192" s="2" t="s">
        <v>24</v>
      </c>
      <c r="D192" s="2">
        <v>2</v>
      </c>
    </row>
    <row r="193" spans="1:4">
      <c r="A193" s="2" t="s">
        <v>275</v>
      </c>
      <c r="B193" s="2" t="s">
        <v>39</v>
      </c>
      <c r="C193" s="2" t="s">
        <v>24</v>
      </c>
      <c r="D193" s="2">
        <v>2</v>
      </c>
    </row>
    <row r="194" spans="1:4">
      <c r="A194" s="2" t="s">
        <v>2403</v>
      </c>
      <c r="B194" s="2" t="s">
        <v>39</v>
      </c>
      <c r="C194" s="2" t="s">
        <v>24</v>
      </c>
      <c r="D194" s="2">
        <v>2</v>
      </c>
    </row>
    <row r="195" spans="1:4">
      <c r="A195" s="2" t="s">
        <v>277</v>
      </c>
      <c r="B195" s="2" t="s">
        <v>39</v>
      </c>
      <c r="C195" s="2" t="s">
        <v>24</v>
      </c>
      <c r="D195" s="2">
        <v>2</v>
      </c>
    </row>
    <row r="196" spans="1:4">
      <c r="A196" s="2" t="s">
        <v>1957</v>
      </c>
      <c r="B196" s="2" t="s">
        <v>39</v>
      </c>
      <c r="C196" s="2" t="s">
        <v>24</v>
      </c>
      <c r="D196" s="2">
        <v>2</v>
      </c>
    </row>
    <row r="197" spans="1:4">
      <c r="A197" s="2" t="s">
        <v>3818</v>
      </c>
      <c r="B197" s="2" t="s">
        <v>39</v>
      </c>
      <c r="C197" s="2" t="s">
        <v>24</v>
      </c>
      <c r="D197" s="2">
        <v>2</v>
      </c>
    </row>
    <row r="198" spans="1:4">
      <c r="A198" s="2" t="s">
        <v>1938</v>
      </c>
      <c r="B198" s="2" t="s">
        <v>39</v>
      </c>
      <c r="C198" s="2" t="s">
        <v>24</v>
      </c>
      <c r="D198" s="2">
        <v>2</v>
      </c>
    </row>
    <row r="199" spans="1:4">
      <c r="A199" s="2" t="s">
        <v>2468</v>
      </c>
      <c r="B199" s="2" t="s">
        <v>39</v>
      </c>
      <c r="C199" s="2" t="s">
        <v>24</v>
      </c>
      <c r="D199" s="2">
        <v>2</v>
      </c>
    </row>
    <row r="200" spans="1:4">
      <c r="A200" s="2" t="s">
        <v>281</v>
      </c>
      <c r="B200" s="2" t="s">
        <v>39</v>
      </c>
      <c r="C200" s="2" t="s">
        <v>24</v>
      </c>
      <c r="D200" s="2">
        <v>2</v>
      </c>
    </row>
    <row r="201" spans="1:4">
      <c r="A201" s="2" t="s">
        <v>945</v>
      </c>
      <c r="B201" s="2" t="s">
        <v>39</v>
      </c>
      <c r="C201" s="2" t="s">
        <v>24</v>
      </c>
      <c r="D201" s="2">
        <v>2</v>
      </c>
    </row>
    <row r="202" spans="1:4">
      <c r="A202" s="2" t="s">
        <v>1946</v>
      </c>
      <c r="B202" s="2" t="s">
        <v>39</v>
      </c>
      <c r="C202" s="2" t="s">
        <v>24</v>
      </c>
      <c r="D202" s="2">
        <v>2</v>
      </c>
    </row>
    <row r="203" spans="1:4">
      <c r="A203" s="2" t="s">
        <v>183</v>
      </c>
      <c r="B203" s="2" t="s">
        <v>39</v>
      </c>
      <c r="C203" s="2" t="s">
        <v>24</v>
      </c>
      <c r="D203" s="2">
        <v>2</v>
      </c>
    </row>
    <row r="204" spans="1:4">
      <c r="A204" s="2" t="s">
        <v>3862</v>
      </c>
      <c r="B204" s="2" t="s">
        <v>39</v>
      </c>
      <c r="C204" s="2" t="s">
        <v>24</v>
      </c>
      <c r="D204" s="2">
        <v>1</v>
      </c>
    </row>
    <row r="205" spans="1:4">
      <c r="A205" s="2" t="s">
        <v>4226</v>
      </c>
      <c r="B205" s="2" t="s">
        <v>39</v>
      </c>
      <c r="C205" s="2" t="s">
        <v>24</v>
      </c>
      <c r="D205" s="2">
        <v>1</v>
      </c>
    </row>
    <row r="206" spans="1:4">
      <c r="A206" s="2" t="s">
        <v>1948</v>
      </c>
      <c r="B206" s="2" t="s">
        <v>39</v>
      </c>
      <c r="C206" s="2" t="s">
        <v>24</v>
      </c>
      <c r="D206" s="2">
        <v>1</v>
      </c>
    </row>
    <row r="207" spans="1:4">
      <c r="A207" s="2" t="s">
        <v>958</v>
      </c>
      <c r="B207" s="2" t="s">
        <v>39</v>
      </c>
      <c r="C207" s="2" t="s">
        <v>24</v>
      </c>
      <c r="D207" s="2">
        <v>1</v>
      </c>
    </row>
    <row r="208" spans="1:4">
      <c r="A208" s="2" t="s">
        <v>977</v>
      </c>
      <c r="B208" s="2" t="s">
        <v>39</v>
      </c>
      <c r="C208" s="2" t="s">
        <v>24</v>
      </c>
      <c r="D208" s="2">
        <v>1</v>
      </c>
    </row>
    <row r="209" spans="1:4">
      <c r="A209" s="2" t="s">
        <v>1895</v>
      </c>
      <c r="B209" s="2" t="s">
        <v>39</v>
      </c>
      <c r="C209" s="2" t="s">
        <v>24</v>
      </c>
      <c r="D209" s="2">
        <v>1</v>
      </c>
    </row>
    <row r="210" spans="1:4">
      <c r="A210" s="2" t="s">
        <v>1898</v>
      </c>
      <c r="B210" s="2" t="s">
        <v>39</v>
      </c>
      <c r="C210" s="2" t="s">
        <v>24</v>
      </c>
      <c r="D210" s="2">
        <v>1</v>
      </c>
    </row>
    <row r="211" spans="1:4">
      <c r="A211" s="2" t="s">
        <v>4530</v>
      </c>
      <c r="B211" s="2" t="s">
        <v>39</v>
      </c>
      <c r="C211" s="2" t="s">
        <v>24</v>
      </c>
      <c r="D211" s="2">
        <v>1</v>
      </c>
    </row>
    <row r="212" spans="1:4">
      <c r="A212" s="2" t="s">
        <v>3834</v>
      </c>
      <c r="B212" s="2" t="s">
        <v>39</v>
      </c>
      <c r="C212" s="2" t="s">
        <v>24</v>
      </c>
      <c r="D212" s="2">
        <v>1</v>
      </c>
    </row>
    <row r="213" spans="1:4">
      <c r="A213" s="2" t="s">
        <v>3837</v>
      </c>
      <c r="B213" s="2" t="s">
        <v>39</v>
      </c>
      <c r="C213" s="2" t="s">
        <v>24</v>
      </c>
      <c r="D213" s="2">
        <v>1</v>
      </c>
    </row>
    <row r="214" spans="1:4">
      <c r="A214" s="2" t="s">
        <v>3820</v>
      </c>
      <c r="B214" s="2" t="s">
        <v>39</v>
      </c>
      <c r="C214" s="2" t="s">
        <v>24</v>
      </c>
      <c r="D214" s="2">
        <v>1</v>
      </c>
    </row>
    <row r="215" spans="1:4">
      <c r="A215" s="2" t="s">
        <v>1013</v>
      </c>
      <c r="B215" s="2" t="s">
        <v>39</v>
      </c>
      <c r="C215" s="2" t="s">
        <v>24</v>
      </c>
      <c r="D215" s="2">
        <v>1</v>
      </c>
    </row>
    <row r="216" spans="1:4">
      <c r="A216" s="2" t="s">
        <v>136</v>
      </c>
      <c r="B216" s="2" t="s">
        <v>39</v>
      </c>
      <c r="C216" s="2" t="s">
        <v>24</v>
      </c>
      <c r="D216" s="2">
        <v>1</v>
      </c>
    </row>
    <row r="217" spans="1:4">
      <c r="A217" s="2" t="s">
        <v>4508</v>
      </c>
      <c r="B217" s="2" t="s">
        <v>39</v>
      </c>
      <c r="C217" s="2" t="s">
        <v>24</v>
      </c>
      <c r="D217" s="2">
        <v>1</v>
      </c>
    </row>
    <row r="218" spans="1:4">
      <c r="A218" s="2" t="s">
        <v>1602</v>
      </c>
      <c r="B218" s="2" t="s">
        <v>39</v>
      </c>
      <c r="C218" s="2" t="s">
        <v>24</v>
      </c>
      <c r="D218" s="2">
        <v>1</v>
      </c>
    </row>
    <row r="219" spans="1:4">
      <c r="A219" s="2" t="s">
        <v>4241</v>
      </c>
      <c r="B219" s="2" t="s">
        <v>39</v>
      </c>
      <c r="C219" s="2" t="s">
        <v>24</v>
      </c>
      <c r="D219" s="2">
        <v>1</v>
      </c>
    </row>
    <row r="220" spans="1:4">
      <c r="A220" s="2" t="s">
        <v>961</v>
      </c>
      <c r="B220" s="2" t="s">
        <v>39</v>
      </c>
      <c r="C220" s="2" t="s">
        <v>24</v>
      </c>
      <c r="D220" s="2">
        <v>1</v>
      </c>
    </row>
    <row r="221" spans="1:4">
      <c r="A221" s="2" t="s">
        <v>194</v>
      </c>
      <c r="B221" s="2" t="s">
        <v>39</v>
      </c>
      <c r="C221" s="2" t="s">
        <v>24</v>
      </c>
      <c r="D221" s="2">
        <v>1</v>
      </c>
    </row>
    <row r="222" spans="1:4">
      <c r="A222" s="2" t="s">
        <v>1605</v>
      </c>
      <c r="B222" s="2" t="s">
        <v>39</v>
      </c>
      <c r="C222" s="2" t="s">
        <v>24</v>
      </c>
      <c r="D222" s="2">
        <v>1</v>
      </c>
    </row>
    <row r="223" spans="1:4">
      <c r="A223" s="2" t="s">
        <v>963</v>
      </c>
      <c r="B223" s="2" t="s">
        <v>39</v>
      </c>
      <c r="C223" s="2" t="s">
        <v>24</v>
      </c>
      <c r="D223" s="2">
        <v>1</v>
      </c>
    </row>
    <row r="224" spans="1:4">
      <c r="A224" s="2" t="s">
        <v>197</v>
      </c>
      <c r="B224" s="2" t="s">
        <v>39</v>
      </c>
      <c r="C224" s="2" t="s">
        <v>24</v>
      </c>
      <c r="D224" s="2">
        <v>1</v>
      </c>
    </row>
    <row r="225" spans="1:4">
      <c r="A225" s="2" t="s">
        <v>2481</v>
      </c>
      <c r="B225" s="2" t="s">
        <v>39</v>
      </c>
      <c r="C225" s="2" t="s">
        <v>24</v>
      </c>
      <c r="D225" s="2">
        <v>1</v>
      </c>
    </row>
    <row r="226" spans="1:4">
      <c r="A226" s="2" t="s">
        <v>76</v>
      </c>
      <c r="B226" s="2" t="s">
        <v>39</v>
      </c>
      <c r="C226" s="2" t="s">
        <v>24</v>
      </c>
      <c r="D226" s="2">
        <v>1</v>
      </c>
    </row>
    <row r="227" spans="1:4">
      <c r="A227" s="2" t="s">
        <v>3866</v>
      </c>
      <c r="B227" s="2" t="s">
        <v>39</v>
      </c>
      <c r="C227" s="2" t="s">
        <v>24</v>
      </c>
      <c r="D227" s="2">
        <v>1</v>
      </c>
    </row>
    <row r="228" spans="1:4">
      <c r="A228" s="2" t="s">
        <v>2973</v>
      </c>
      <c r="B228" s="2" t="s">
        <v>39</v>
      </c>
      <c r="C228" s="2" t="s">
        <v>24</v>
      </c>
      <c r="D228" s="2">
        <v>1</v>
      </c>
    </row>
    <row r="229" spans="1:4">
      <c r="A229" s="2" t="s">
        <v>982</v>
      </c>
      <c r="B229" s="2" t="s">
        <v>39</v>
      </c>
      <c r="C229" s="2" t="s">
        <v>24</v>
      </c>
      <c r="D229" s="2">
        <v>1</v>
      </c>
    </row>
    <row r="230" spans="1:4">
      <c r="A230" s="2" t="s">
        <v>4501</v>
      </c>
      <c r="B230" s="2" t="s">
        <v>39</v>
      </c>
      <c r="C230" s="2" t="s">
        <v>24</v>
      </c>
      <c r="D230" s="2">
        <v>1</v>
      </c>
    </row>
    <row r="231" spans="1:4">
      <c r="A231" s="2" t="s">
        <v>88</v>
      </c>
      <c r="B231" s="2" t="s">
        <v>39</v>
      </c>
      <c r="C231" s="2" t="s">
        <v>24</v>
      </c>
      <c r="D231" s="2">
        <v>1</v>
      </c>
    </row>
    <row r="232" spans="1:4">
      <c r="A232" s="2" t="s">
        <v>3840</v>
      </c>
      <c r="B232" s="2" t="s">
        <v>39</v>
      </c>
      <c r="C232" s="2" t="s">
        <v>24</v>
      </c>
      <c r="D232" s="2">
        <v>1</v>
      </c>
    </row>
    <row r="233" spans="1:4">
      <c r="A233" s="2" t="s">
        <v>2470</v>
      </c>
      <c r="B233" s="2" t="s">
        <v>39</v>
      </c>
      <c r="C233" s="2" t="s">
        <v>24</v>
      </c>
      <c r="D233" s="2">
        <v>1</v>
      </c>
    </row>
    <row r="234" spans="1:4">
      <c r="A234" s="2" t="s">
        <v>4511</v>
      </c>
      <c r="B234" s="2" t="s">
        <v>39</v>
      </c>
      <c r="C234" s="2" t="s">
        <v>24</v>
      </c>
      <c r="D234" s="2">
        <v>1</v>
      </c>
    </row>
    <row r="235" spans="1:4">
      <c r="A235" s="2" t="s">
        <v>1951</v>
      </c>
      <c r="B235" s="2" t="s">
        <v>39</v>
      </c>
      <c r="C235" s="2" t="s">
        <v>24</v>
      </c>
      <c r="D235" s="2">
        <v>1</v>
      </c>
    </row>
    <row r="236" spans="1:4">
      <c r="A236" s="2" t="s">
        <v>239</v>
      </c>
      <c r="B236" s="2" t="s">
        <v>39</v>
      </c>
      <c r="C236" s="2" t="s">
        <v>24</v>
      </c>
      <c r="D236" s="2">
        <v>1</v>
      </c>
    </row>
    <row r="237" spans="1:4">
      <c r="A237" s="2" t="s">
        <v>1017</v>
      </c>
      <c r="B237" s="2" t="s">
        <v>39</v>
      </c>
      <c r="C237" s="2" t="s">
        <v>24</v>
      </c>
      <c r="D237" s="2">
        <v>1</v>
      </c>
    </row>
    <row r="238" spans="1:4">
      <c r="A238" s="2" t="s">
        <v>4532</v>
      </c>
      <c r="B238" s="2" t="s">
        <v>39</v>
      </c>
      <c r="C238" s="2" t="s">
        <v>24</v>
      </c>
      <c r="D238" s="2">
        <v>1</v>
      </c>
    </row>
    <row r="239" spans="1:4">
      <c r="A239" s="2" t="s">
        <v>4513</v>
      </c>
      <c r="B239" s="2" t="s">
        <v>39</v>
      </c>
      <c r="C239" s="2" t="s">
        <v>24</v>
      </c>
      <c r="D239" s="2">
        <v>1</v>
      </c>
    </row>
    <row r="240" spans="1:4">
      <c r="A240" s="2" t="s">
        <v>2970</v>
      </c>
      <c r="B240" s="2" t="s">
        <v>39</v>
      </c>
      <c r="C240" s="2" t="s">
        <v>24</v>
      </c>
      <c r="D240" s="2">
        <v>1</v>
      </c>
    </row>
    <row r="241" spans="1:4">
      <c r="A241" s="2" t="s">
        <v>212</v>
      </c>
      <c r="B241" s="2" t="s">
        <v>39</v>
      </c>
      <c r="C241" s="2" t="s">
        <v>24</v>
      </c>
      <c r="D241" s="2">
        <v>1</v>
      </c>
    </row>
    <row r="242" spans="1:4">
      <c r="A242" s="2" t="s">
        <v>1880</v>
      </c>
      <c r="B242" s="2" t="s">
        <v>39</v>
      </c>
      <c r="C242" s="2" t="s">
        <v>24</v>
      </c>
      <c r="D242" s="2">
        <v>1</v>
      </c>
    </row>
    <row r="243" spans="1:4">
      <c r="A243" s="2" t="s">
        <v>3868</v>
      </c>
      <c r="B243" s="2" t="s">
        <v>39</v>
      </c>
      <c r="C243" s="2" t="s">
        <v>24</v>
      </c>
      <c r="D243" s="2">
        <v>1</v>
      </c>
    </row>
    <row r="244" spans="1:4">
      <c r="A244" s="2" t="s">
        <v>242</v>
      </c>
      <c r="B244" s="2" t="s">
        <v>39</v>
      </c>
      <c r="C244" s="2" t="s">
        <v>24</v>
      </c>
      <c r="D244" s="2">
        <v>1</v>
      </c>
    </row>
    <row r="245" spans="1:4">
      <c r="A245" s="2" t="s">
        <v>3423</v>
      </c>
      <c r="B245" s="2" t="s">
        <v>39</v>
      </c>
      <c r="C245" s="2" t="s">
        <v>24</v>
      </c>
      <c r="D245" s="2">
        <v>1</v>
      </c>
    </row>
    <row r="246" spans="1:4">
      <c r="A246" s="2" t="s">
        <v>2457</v>
      </c>
      <c r="B246" s="2" t="s">
        <v>39</v>
      </c>
      <c r="C246" s="2" t="s">
        <v>24</v>
      </c>
      <c r="D246" s="2">
        <v>1</v>
      </c>
    </row>
    <row r="247" spans="1:4">
      <c r="A247" s="2" t="s">
        <v>2445</v>
      </c>
      <c r="B247" s="2" t="s">
        <v>39</v>
      </c>
      <c r="C247" s="2" t="s">
        <v>24</v>
      </c>
      <c r="D247" s="2">
        <v>1</v>
      </c>
    </row>
    <row r="248" spans="1:4">
      <c r="A248" s="2" t="s">
        <v>954</v>
      </c>
      <c r="B248" s="2" t="s">
        <v>39</v>
      </c>
      <c r="C248" s="2" t="s">
        <v>24</v>
      </c>
      <c r="D248" s="2">
        <v>1</v>
      </c>
    </row>
    <row r="249" spans="1:4">
      <c r="A249" s="2" t="s">
        <v>1019</v>
      </c>
      <c r="B249" s="2" t="s">
        <v>39</v>
      </c>
      <c r="C249" s="2" t="s">
        <v>24</v>
      </c>
      <c r="D249" s="2">
        <v>1</v>
      </c>
    </row>
    <row r="250" spans="1:4">
      <c r="A250" s="2" t="s">
        <v>986</v>
      </c>
      <c r="B250" s="2" t="s">
        <v>39</v>
      </c>
      <c r="C250" s="2" t="s">
        <v>24</v>
      </c>
      <c r="D250" s="2">
        <v>1</v>
      </c>
    </row>
    <row r="251" spans="1:4">
      <c r="A251" s="2" t="s">
        <v>3870</v>
      </c>
      <c r="B251" s="2" t="s">
        <v>39</v>
      </c>
      <c r="C251" s="2" t="s">
        <v>24</v>
      </c>
      <c r="D251" s="2">
        <v>1</v>
      </c>
    </row>
    <row r="252" spans="1:4">
      <c r="A252" s="2" t="s">
        <v>164</v>
      </c>
      <c r="B252" s="2" t="s">
        <v>39</v>
      </c>
      <c r="C252" s="2" t="s">
        <v>24</v>
      </c>
      <c r="D252" s="2">
        <v>1</v>
      </c>
    </row>
    <row r="253" spans="1:4">
      <c r="A253" s="2" t="s">
        <v>1872</v>
      </c>
      <c r="B253" s="2" t="s">
        <v>39</v>
      </c>
      <c r="C253" s="2" t="s">
        <v>24</v>
      </c>
      <c r="D253" s="2">
        <v>1</v>
      </c>
    </row>
    <row r="254" spans="1:4">
      <c r="A254" s="2" t="s">
        <v>3872</v>
      </c>
      <c r="B254" s="2" t="s">
        <v>39</v>
      </c>
      <c r="C254" s="2" t="s">
        <v>24</v>
      </c>
      <c r="D254" s="2">
        <v>1</v>
      </c>
    </row>
    <row r="255" spans="1:4">
      <c r="A255" s="2" t="s">
        <v>2991</v>
      </c>
      <c r="B255" s="2" t="s">
        <v>39</v>
      </c>
      <c r="C255" s="2" t="s">
        <v>24</v>
      </c>
      <c r="D255" s="2">
        <v>1</v>
      </c>
    </row>
    <row r="256" spans="1:4">
      <c r="A256" s="2" t="s">
        <v>150</v>
      </c>
      <c r="B256" s="2" t="s">
        <v>39</v>
      </c>
      <c r="C256" s="2" t="s">
        <v>24</v>
      </c>
      <c r="D256" s="2">
        <v>1</v>
      </c>
    </row>
    <row r="257" spans="1:4">
      <c r="A257" s="2" t="s">
        <v>2438</v>
      </c>
      <c r="B257" s="2" t="s">
        <v>39</v>
      </c>
      <c r="C257" s="2" t="s">
        <v>24</v>
      </c>
      <c r="D257" s="2">
        <v>1</v>
      </c>
    </row>
    <row r="258" spans="1:4">
      <c r="A258" s="2" t="s">
        <v>217</v>
      </c>
      <c r="B258" s="2" t="s">
        <v>39</v>
      </c>
      <c r="C258" s="2" t="s">
        <v>24</v>
      </c>
      <c r="D258" s="2">
        <v>1</v>
      </c>
    </row>
    <row r="259" spans="1:4">
      <c r="A259" s="2" t="s">
        <v>3823</v>
      </c>
      <c r="B259" s="2" t="s">
        <v>39</v>
      </c>
      <c r="C259" s="2" t="s">
        <v>24</v>
      </c>
      <c r="D259" s="2">
        <v>1</v>
      </c>
    </row>
    <row r="260" spans="1:4">
      <c r="A260" s="2" t="s">
        <v>3842</v>
      </c>
      <c r="B260" s="2" t="s">
        <v>39</v>
      </c>
      <c r="C260" s="2" t="s">
        <v>24</v>
      </c>
      <c r="D260" s="2">
        <v>1</v>
      </c>
    </row>
    <row r="261" spans="1:4">
      <c r="A261" s="2" t="s">
        <v>3801</v>
      </c>
      <c r="B261" s="2" t="s">
        <v>39</v>
      </c>
      <c r="C261" s="2" t="s">
        <v>24</v>
      </c>
      <c r="D261" s="2">
        <v>1</v>
      </c>
    </row>
    <row r="262" spans="1:4">
      <c r="A262" s="2" t="s">
        <v>3807</v>
      </c>
      <c r="B262" s="2" t="s">
        <v>39</v>
      </c>
      <c r="C262" s="2" t="s">
        <v>24</v>
      </c>
      <c r="D262" s="2">
        <v>1</v>
      </c>
    </row>
    <row r="263" spans="1:4">
      <c r="A263" s="2" t="s">
        <v>3874</v>
      </c>
      <c r="B263" s="2" t="s">
        <v>39</v>
      </c>
      <c r="C263" s="2" t="s">
        <v>24</v>
      </c>
      <c r="D263" s="2">
        <v>1</v>
      </c>
    </row>
    <row r="264" spans="1:4">
      <c r="A264" s="2" t="s">
        <v>176</v>
      </c>
      <c r="B264" s="2" t="s">
        <v>39</v>
      </c>
      <c r="C264" s="2" t="s">
        <v>24</v>
      </c>
      <c r="D264" s="2">
        <v>1</v>
      </c>
    </row>
    <row r="265" spans="1:4">
      <c r="A265" s="2" t="s">
        <v>246</v>
      </c>
      <c r="B265" s="2" t="s">
        <v>39</v>
      </c>
      <c r="C265" s="2" t="s">
        <v>24</v>
      </c>
      <c r="D265" s="2">
        <v>1</v>
      </c>
    </row>
    <row r="266" spans="1:4">
      <c r="A266" s="2" t="s">
        <v>1023</v>
      </c>
      <c r="B266" s="2" t="s">
        <v>39</v>
      </c>
      <c r="C266" s="2" t="s">
        <v>24</v>
      </c>
      <c r="D266" s="2">
        <v>1</v>
      </c>
    </row>
    <row r="267" spans="1:4">
      <c r="A267" s="2" t="s">
        <v>248</v>
      </c>
      <c r="B267" s="2" t="s">
        <v>39</v>
      </c>
      <c r="C267" s="2" t="s">
        <v>24</v>
      </c>
      <c r="D267" s="2">
        <v>1</v>
      </c>
    </row>
    <row r="268" spans="1:4">
      <c r="A268" s="2" t="s">
        <v>221</v>
      </c>
      <c r="B268" s="2" t="s">
        <v>39</v>
      </c>
      <c r="C268" s="2" t="s">
        <v>24</v>
      </c>
      <c r="D268" s="2">
        <v>1</v>
      </c>
    </row>
    <row r="269" spans="1:4">
      <c r="A269" s="2" t="s">
        <v>4232</v>
      </c>
      <c r="B269" s="2" t="s">
        <v>39</v>
      </c>
      <c r="C269" s="2" t="s">
        <v>24</v>
      </c>
      <c r="D269" s="2">
        <v>1</v>
      </c>
    </row>
    <row r="270" spans="1:4">
      <c r="A270" s="2" t="s">
        <v>4244</v>
      </c>
      <c r="B270" s="2" t="s">
        <v>39</v>
      </c>
      <c r="C270" s="2" t="s">
        <v>24</v>
      </c>
      <c r="D270" s="2">
        <v>1</v>
      </c>
    </row>
    <row r="271" spans="1:4">
      <c r="A271" s="2" t="s">
        <v>4492</v>
      </c>
      <c r="B271" s="2" t="s">
        <v>39</v>
      </c>
      <c r="C271" s="2" t="s">
        <v>24</v>
      </c>
      <c r="D271" s="2">
        <v>1</v>
      </c>
    </row>
    <row r="272" spans="1:4">
      <c r="A272" s="2" t="s">
        <v>3844</v>
      </c>
      <c r="B272" s="2" t="s">
        <v>39</v>
      </c>
      <c r="C272" s="2" t="s">
        <v>24</v>
      </c>
      <c r="D272" s="2">
        <v>1</v>
      </c>
    </row>
    <row r="273" spans="1:4">
      <c r="A273" s="2" t="s">
        <v>1910</v>
      </c>
      <c r="B273" s="2" t="s">
        <v>39</v>
      </c>
      <c r="C273" s="2" t="s">
        <v>24</v>
      </c>
      <c r="D273" s="2">
        <v>1</v>
      </c>
    </row>
    <row r="274" spans="1:4">
      <c r="A274" s="2" t="s">
        <v>3846</v>
      </c>
      <c r="B274" s="2" t="s">
        <v>39</v>
      </c>
      <c r="C274" s="2" t="s">
        <v>24</v>
      </c>
      <c r="D274" s="2">
        <v>1</v>
      </c>
    </row>
    <row r="275" spans="1:4">
      <c r="A275" s="2" t="s">
        <v>967</v>
      </c>
      <c r="B275" s="2" t="s">
        <v>39</v>
      </c>
      <c r="C275" s="2" t="s">
        <v>24</v>
      </c>
      <c r="D275" s="2">
        <v>1</v>
      </c>
    </row>
    <row r="276" spans="1:4">
      <c r="A276" s="2" t="s">
        <v>4481</v>
      </c>
      <c r="B276" s="2" t="s">
        <v>39</v>
      </c>
      <c r="C276" s="2" t="s">
        <v>24</v>
      </c>
      <c r="D276" s="2">
        <v>1</v>
      </c>
    </row>
    <row r="277" spans="1:4">
      <c r="A277" s="2" t="s">
        <v>2451</v>
      </c>
      <c r="B277" s="2" t="s">
        <v>39</v>
      </c>
      <c r="C277" s="2" t="s">
        <v>24</v>
      </c>
      <c r="D277" s="2">
        <v>1</v>
      </c>
    </row>
    <row r="278" spans="1:4">
      <c r="A278" s="2" t="s">
        <v>283</v>
      </c>
      <c r="B278" s="2" t="s">
        <v>39</v>
      </c>
      <c r="C278" s="2" t="s">
        <v>24</v>
      </c>
      <c r="D278" s="2">
        <v>1</v>
      </c>
    </row>
    <row r="279" spans="1:4">
      <c r="A279" s="2" t="s">
        <v>1076</v>
      </c>
      <c r="B279" s="2" t="s">
        <v>39</v>
      </c>
      <c r="C279" s="2" t="s">
        <v>24</v>
      </c>
      <c r="D279" s="2">
        <v>1</v>
      </c>
    </row>
    <row r="280" spans="1:4">
      <c r="A280" s="2" t="s">
        <v>3442</v>
      </c>
      <c r="B280" s="2" t="s">
        <v>39</v>
      </c>
      <c r="C280" s="2" t="s">
        <v>24</v>
      </c>
      <c r="D280" s="2">
        <v>1</v>
      </c>
    </row>
    <row r="281" spans="1:4">
      <c r="A281" s="2" t="s">
        <v>2993</v>
      </c>
      <c r="B281" s="2" t="s">
        <v>39</v>
      </c>
      <c r="C281" s="2" t="s">
        <v>24</v>
      </c>
      <c r="D281" s="2">
        <v>1</v>
      </c>
    </row>
    <row r="282" spans="1:4">
      <c r="A282" s="2" t="s">
        <v>1082</v>
      </c>
      <c r="B282" s="2" t="s">
        <v>39</v>
      </c>
      <c r="C282" s="2" t="s">
        <v>24</v>
      </c>
      <c r="D282" s="2">
        <v>1</v>
      </c>
    </row>
    <row r="283" spans="1:4">
      <c r="A283" s="2" t="s">
        <v>223</v>
      </c>
      <c r="B283" s="2" t="s">
        <v>39</v>
      </c>
      <c r="C283" s="2" t="s">
        <v>24</v>
      </c>
      <c r="D283" s="2">
        <v>1</v>
      </c>
    </row>
    <row r="284" spans="1:4">
      <c r="A284" s="2" t="s">
        <v>55</v>
      </c>
      <c r="B284" s="2" t="s">
        <v>39</v>
      </c>
      <c r="C284" s="2" t="s">
        <v>24</v>
      </c>
      <c r="D284" s="2">
        <v>1</v>
      </c>
    </row>
    <row r="285" spans="1:4">
      <c r="A285" s="2" t="s">
        <v>67</v>
      </c>
      <c r="B285" s="2" t="s">
        <v>39</v>
      </c>
      <c r="C285" s="2" t="s">
        <v>24</v>
      </c>
      <c r="D285" s="2">
        <v>1</v>
      </c>
    </row>
    <row r="286" spans="1:4">
      <c r="A286" s="2" t="s">
        <v>4534</v>
      </c>
      <c r="B286" s="2" t="s">
        <v>39</v>
      </c>
      <c r="C286" s="2" t="s">
        <v>24</v>
      </c>
      <c r="D286" s="2">
        <v>1</v>
      </c>
    </row>
    <row r="287" spans="1:4">
      <c r="A287" s="2" t="s">
        <v>2995</v>
      </c>
      <c r="B287" s="2" t="s">
        <v>39</v>
      </c>
      <c r="C287" s="2" t="s">
        <v>24</v>
      </c>
      <c r="D287" s="2">
        <v>1</v>
      </c>
    </row>
    <row r="288" spans="1:4">
      <c r="A288" s="2" t="s">
        <v>1086</v>
      </c>
      <c r="B288" s="2" t="s">
        <v>39</v>
      </c>
      <c r="C288" s="2" t="s">
        <v>24</v>
      </c>
      <c r="D288" s="2">
        <v>1</v>
      </c>
    </row>
    <row r="289" spans="1:4">
      <c r="A289" s="2" t="s">
        <v>64</v>
      </c>
      <c r="B289" s="2" t="s">
        <v>39</v>
      </c>
      <c r="C289" s="2" t="s">
        <v>24</v>
      </c>
      <c r="D289" s="2">
        <v>1</v>
      </c>
    </row>
    <row r="290" spans="1:4">
      <c r="A290" s="2" t="s">
        <v>2507</v>
      </c>
      <c r="B290" s="2" t="s">
        <v>39</v>
      </c>
      <c r="C290" s="2" t="s">
        <v>24</v>
      </c>
      <c r="D290" s="2">
        <v>1</v>
      </c>
    </row>
    <row r="291" spans="1:4">
      <c r="A291" s="2" t="s">
        <v>3876</v>
      </c>
      <c r="B291" s="2" t="s">
        <v>39</v>
      </c>
      <c r="C291" s="2" t="s">
        <v>24</v>
      </c>
      <c r="D291" s="2">
        <v>1</v>
      </c>
    </row>
    <row r="292" spans="1:4">
      <c r="A292" s="2" t="s">
        <v>225</v>
      </c>
      <c r="B292" s="2" t="s">
        <v>39</v>
      </c>
      <c r="C292" s="2" t="s">
        <v>24</v>
      </c>
      <c r="D292" s="2">
        <v>1</v>
      </c>
    </row>
    <row r="293" spans="1:4">
      <c r="A293" s="2" t="s">
        <v>4515</v>
      </c>
      <c r="B293" s="2" t="s">
        <v>39</v>
      </c>
      <c r="C293" s="2" t="s">
        <v>24</v>
      </c>
      <c r="D293" s="2">
        <v>1</v>
      </c>
    </row>
    <row r="294" spans="1:4">
      <c r="A294" s="2" t="s">
        <v>1883</v>
      </c>
      <c r="B294" s="2" t="s">
        <v>39</v>
      </c>
      <c r="C294" s="2" t="s">
        <v>24</v>
      </c>
      <c r="D294" s="2">
        <v>1</v>
      </c>
    </row>
    <row r="295" spans="1:4">
      <c r="A295" s="2" t="s">
        <v>1861</v>
      </c>
      <c r="B295" s="2" t="s">
        <v>39</v>
      </c>
      <c r="C295" s="2" t="s">
        <v>24</v>
      </c>
      <c r="D295" s="2">
        <v>1</v>
      </c>
    </row>
    <row r="296" spans="1:4">
      <c r="A296" s="2" t="s">
        <v>4536</v>
      </c>
      <c r="B296" s="2" t="s">
        <v>39</v>
      </c>
      <c r="C296" s="2" t="s">
        <v>24</v>
      </c>
      <c r="D296" s="2">
        <v>1</v>
      </c>
    </row>
    <row r="297" spans="1:4">
      <c r="A297" s="2" t="s">
        <v>3848</v>
      </c>
      <c r="B297" s="2" t="s">
        <v>39</v>
      </c>
      <c r="C297" s="2" t="s">
        <v>24</v>
      </c>
      <c r="D297" s="2">
        <v>1</v>
      </c>
    </row>
    <row r="298" spans="1:4">
      <c r="A298" s="2" t="s">
        <v>2432</v>
      </c>
      <c r="B298" s="2" t="s">
        <v>39</v>
      </c>
      <c r="C298" s="2" t="s">
        <v>24</v>
      </c>
      <c r="D298" s="2">
        <v>1</v>
      </c>
    </row>
    <row r="299" spans="1:4">
      <c r="A299" s="2" t="s">
        <v>2509</v>
      </c>
      <c r="B299" s="2" t="s">
        <v>39</v>
      </c>
      <c r="C299" s="2" t="s">
        <v>24</v>
      </c>
      <c r="D299" s="2">
        <v>1</v>
      </c>
    </row>
    <row r="300" spans="1:4">
      <c r="A300" s="2" t="s">
        <v>2997</v>
      </c>
      <c r="B300" s="2" t="s">
        <v>39</v>
      </c>
      <c r="C300" s="2" t="s">
        <v>24</v>
      </c>
      <c r="D300" s="2">
        <v>1</v>
      </c>
    </row>
    <row r="301" spans="1:4">
      <c r="A301" s="2" t="s">
        <v>290</v>
      </c>
      <c r="B301" s="2" t="s">
        <v>39</v>
      </c>
      <c r="C301" s="2" t="s">
        <v>24</v>
      </c>
      <c r="D301" s="2">
        <v>1</v>
      </c>
    </row>
    <row r="302" spans="1:4">
      <c r="A302" s="2" t="s">
        <v>2511</v>
      </c>
      <c r="B302" s="2" t="s">
        <v>39</v>
      </c>
      <c r="C302" s="2" t="s">
        <v>24</v>
      </c>
      <c r="D302" s="2">
        <v>1</v>
      </c>
    </row>
    <row r="303" spans="1:4">
      <c r="A303" s="2" t="s">
        <v>4235</v>
      </c>
      <c r="B303" s="2" t="s">
        <v>39</v>
      </c>
      <c r="C303" s="2" t="s">
        <v>24</v>
      </c>
      <c r="D303" s="2">
        <v>1</v>
      </c>
    </row>
    <row r="304" spans="1:4">
      <c r="A304" s="2" t="s">
        <v>2978</v>
      </c>
      <c r="B304" s="2" t="s">
        <v>39</v>
      </c>
      <c r="C304" s="2" t="s">
        <v>24</v>
      </c>
      <c r="D304" s="2">
        <v>1</v>
      </c>
    </row>
    <row r="305" spans="1:4">
      <c r="A305" s="2" t="s">
        <v>4246</v>
      </c>
      <c r="B305" s="2" t="s">
        <v>39</v>
      </c>
      <c r="C305" s="2" t="s">
        <v>24</v>
      </c>
      <c r="D305" s="2">
        <v>1</v>
      </c>
    </row>
    <row r="306" spans="1:4">
      <c r="A306" s="2" t="s">
        <v>2486</v>
      </c>
      <c r="B306" s="2" t="s">
        <v>39</v>
      </c>
      <c r="C306" s="2" t="s">
        <v>24</v>
      </c>
      <c r="D306" s="2">
        <v>1</v>
      </c>
    </row>
    <row r="307" spans="1:4">
      <c r="A307" s="2" t="s">
        <v>4504</v>
      </c>
      <c r="B307" s="2" t="s">
        <v>39</v>
      </c>
      <c r="C307" s="2" t="s">
        <v>24</v>
      </c>
      <c r="D307" s="2">
        <v>1</v>
      </c>
    </row>
    <row r="308" spans="1:4">
      <c r="A308" s="2" t="s">
        <v>934</v>
      </c>
      <c r="B308" s="2" t="s">
        <v>39</v>
      </c>
      <c r="C308" s="2" t="s">
        <v>24</v>
      </c>
      <c r="D308" s="2">
        <v>1</v>
      </c>
    </row>
    <row r="309" spans="1:4">
      <c r="A309" s="2" t="s">
        <v>3878</v>
      </c>
      <c r="B309" s="2" t="s">
        <v>39</v>
      </c>
      <c r="C309" s="2" t="s">
        <v>24</v>
      </c>
      <c r="D309" s="2">
        <v>1</v>
      </c>
    </row>
    <row r="310" spans="1:4">
      <c r="A310" s="2" t="s">
        <v>106</v>
      </c>
      <c r="B310" s="2" t="s">
        <v>39</v>
      </c>
      <c r="C310" s="2" t="s">
        <v>24</v>
      </c>
      <c r="D310" s="2">
        <v>1</v>
      </c>
    </row>
    <row r="311" spans="1:4">
      <c r="A311" s="2" t="s">
        <v>1914</v>
      </c>
      <c r="B311" s="2" t="s">
        <v>39</v>
      </c>
      <c r="C311" s="2" t="s">
        <v>24</v>
      </c>
      <c r="D311" s="2">
        <v>1</v>
      </c>
    </row>
    <row r="312" spans="1:4">
      <c r="A312" s="2" t="s">
        <v>1611</v>
      </c>
      <c r="B312" s="2" t="s">
        <v>39</v>
      </c>
      <c r="C312" s="2" t="s">
        <v>24</v>
      </c>
      <c r="D312" s="2">
        <v>1</v>
      </c>
    </row>
    <row r="313" spans="1:4">
      <c r="A313" s="2" t="s">
        <v>1916</v>
      </c>
      <c r="B313" s="2" t="s">
        <v>39</v>
      </c>
      <c r="C313" s="2" t="s">
        <v>24</v>
      </c>
      <c r="D313" s="2">
        <v>1</v>
      </c>
    </row>
    <row r="314" spans="1:4">
      <c r="A314" s="2" t="s">
        <v>2976</v>
      </c>
      <c r="B314" s="2" t="s">
        <v>39</v>
      </c>
      <c r="C314" s="2" t="s">
        <v>24</v>
      </c>
      <c r="D314" s="2">
        <v>1</v>
      </c>
    </row>
    <row r="315" spans="1:4">
      <c r="A315" s="2" t="s">
        <v>85</v>
      </c>
      <c r="B315" s="2" t="s">
        <v>39</v>
      </c>
      <c r="C315" s="2" t="s">
        <v>24</v>
      </c>
      <c r="D315" s="2">
        <v>1</v>
      </c>
    </row>
    <row r="316" spans="1:4">
      <c r="A316" s="2" t="s">
        <v>3850</v>
      </c>
      <c r="B316" s="2" t="s">
        <v>39</v>
      </c>
      <c r="C316" s="2" t="s">
        <v>24</v>
      </c>
      <c r="D316" s="2">
        <v>1</v>
      </c>
    </row>
    <row r="317" spans="1:4">
      <c r="A317" s="2" t="s">
        <v>4538</v>
      </c>
      <c r="B317" s="2" t="s">
        <v>39</v>
      </c>
      <c r="C317" s="2" t="s">
        <v>24</v>
      </c>
      <c r="D317" s="2">
        <v>1</v>
      </c>
    </row>
    <row r="318" spans="1:4">
      <c r="A318" s="2" t="s">
        <v>2513</v>
      </c>
      <c r="B318" s="2" t="s">
        <v>39</v>
      </c>
      <c r="C318" s="2" t="s">
        <v>24</v>
      </c>
      <c r="D318" s="2">
        <v>1</v>
      </c>
    </row>
    <row r="319" spans="1:4">
      <c r="A319" s="2" t="s">
        <v>252</v>
      </c>
      <c r="B319" s="2" t="s">
        <v>39</v>
      </c>
      <c r="C319" s="2" t="s">
        <v>24</v>
      </c>
      <c r="D319" s="2">
        <v>1</v>
      </c>
    </row>
    <row r="320" spans="1:4">
      <c r="A320" s="2" t="s">
        <v>4248</v>
      </c>
      <c r="B320" s="2" t="s">
        <v>39</v>
      </c>
      <c r="C320" s="2" t="s">
        <v>24</v>
      </c>
      <c r="D320" s="2">
        <v>1</v>
      </c>
    </row>
    <row r="321" spans="1:4">
      <c r="A321" s="2" t="s">
        <v>4517</v>
      </c>
      <c r="B321" s="2" t="s">
        <v>39</v>
      </c>
      <c r="C321" s="2" t="s">
        <v>24</v>
      </c>
      <c r="D321" s="2">
        <v>1</v>
      </c>
    </row>
    <row r="322" spans="1:4">
      <c r="A322" s="2" t="s">
        <v>4540</v>
      </c>
      <c r="B322" s="2" t="s">
        <v>39</v>
      </c>
      <c r="C322" s="2" t="s">
        <v>24</v>
      </c>
      <c r="D322" s="2">
        <v>1</v>
      </c>
    </row>
    <row r="323" spans="1:4">
      <c r="A323" s="2" t="s">
        <v>4519</v>
      </c>
      <c r="B323" s="2" t="s">
        <v>39</v>
      </c>
      <c r="C323" s="2" t="s">
        <v>24</v>
      </c>
      <c r="D323" s="2">
        <v>1</v>
      </c>
    </row>
    <row r="324" spans="1:4">
      <c r="A324" s="2" t="s">
        <v>4542</v>
      </c>
      <c r="B324" s="2" t="s">
        <v>39</v>
      </c>
      <c r="C324" s="2" t="s">
        <v>24</v>
      </c>
      <c r="D324" s="2">
        <v>1</v>
      </c>
    </row>
    <row r="325" spans="1:4">
      <c r="A325" s="2" t="s">
        <v>3444</v>
      </c>
      <c r="B325" s="2" t="s">
        <v>39</v>
      </c>
      <c r="C325" s="2" t="s">
        <v>24</v>
      </c>
      <c r="D325" s="2">
        <v>1</v>
      </c>
    </row>
    <row r="326" spans="1:4">
      <c r="A326" s="2" t="s">
        <v>2408</v>
      </c>
      <c r="B326" s="2" t="s">
        <v>39</v>
      </c>
      <c r="C326" s="2" t="s">
        <v>24</v>
      </c>
      <c r="D326" s="2">
        <v>1</v>
      </c>
    </row>
    <row r="327" spans="1:4">
      <c r="A327" s="2" t="s">
        <v>4544</v>
      </c>
      <c r="B327" s="2" t="s">
        <v>39</v>
      </c>
      <c r="C327" s="2" t="s">
        <v>24</v>
      </c>
      <c r="D327" s="2">
        <v>1</v>
      </c>
    </row>
    <row r="328" spans="1:4">
      <c r="A328" s="2" t="s">
        <v>988</v>
      </c>
      <c r="B328" s="2" t="s">
        <v>39</v>
      </c>
      <c r="C328" s="2" t="s">
        <v>24</v>
      </c>
      <c r="D328" s="2">
        <v>1</v>
      </c>
    </row>
    <row r="329" spans="1:4">
      <c r="A329" s="2" t="s">
        <v>3001</v>
      </c>
      <c r="B329" s="2" t="s">
        <v>39</v>
      </c>
      <c r="C329" s="2" t="s">
        <v>24</v>
      </c>
      <c r="D329" s="2">
        <v>1</v>
      </c>
    </row>
    <row r="330" spans="1:4">
      <c r="A330" s="2" t="s">
        <v>2488</v>
      </c>
      <c r="B330" s="2" t="s">
        <v>39</v>
      </c>
      <c r="C330" s="2" t="s">
        <v>24</v>
      </c>
      <c r="D330" s="2">
        <v>1</v>
      </c>
    </row>
    <row r="331" spans="1:4">
      <c r="A331" s="2" t="s">
        <v>3825</v>
      </c>
      <c r="B331" s="2" t="s">
        <v>39</v>
      </c>
      <c r="C331" s="2" t="s">
        <v>24</v>
      </c>
      <c r="D331" s="2">
        <v>1</v>
      </c>
    </row>
    <row r="332" spans="1:4">
      <c r="A332" s="2" t="s">
        <v>159</v>
      </c>
      <c r="B332" s="2" t="s">
        <v>39</v>
      </c>
      <c r="C332" s="2" t="s">
        <v>24</v>
      </c>
      <c r="D332" s="2">
        <v>1</v>
      </c>
    </row>
    <row r="333" spans="1:4">
      <c r="A333" s="2" t="s">
        <v>70</v>
      </c>
      <c r="B333" s="2" t="s">
        <v>39</v>
      </c>
      <c r="C333" s="2" t="s">
        <v>24</v>
      </c>
      <c r="D333" s="2">
        <v>1</v>
      </c>
    </row>
    <row r="334" spans="1:4">
      <c r="A334" s="2" t="s">
        <v>4546</v>
      </c>
      <c r="B334" s="2" t="s">
        <v>39</v>
      </c>
      <c r="C334" s="2" t="s">
        <v>24</v>
      </c>
      <c r="D334" s="2">
        <v>1</v>
      </c>
    </row>
    <row r="335" spans="1:4">
      <c r="A335" s="2" t="s">
        <v>1027</v>
      </c>
      <c r="B335" s="2" t="s">
        <v>39</v>
      </c>
      <c r="C335" s="2" t="s">
        <v>24</v>
      </c>
      <c r="D335" s="2">
        <v>1</v>
      </c>
    </row>
    <row r="336" spans="1:4">
      <c r="A336" s="2" t="s">
        <v>3880</v>
      </c>
      <c r="B336" s="2" t="s">
        <v>39</v>
      </c>
      <c r="C336" s="2" t="s">
        <v>24</v>
      </c>
      <c r="D336" s="2">
        <v>1</v>
      </c>
    </row>
    <row r="337" spans="1:4">
      <c r="A337" s="2" t="s">
        <v>4250</v>
      </c>
      <c r="B337" s="2" t="s">
        <v>39</v>
      </c>
      <c r="C337" s="2" t="s">
        <v>24</v>
      </c>
      <c r="D337" s="2">
        <v>1</v>
      </c>
    </row>
    <row r="338" spans="1:4">
      <c r="A338" s="2" t="s">
        <v>3446</v>
      </c>
      <c r="B338" s="2" t="s">
        <v>39</v>
      </c>
      <c r="C338" s="2" t="s">
        <v>24</v>
      </c>
      <c r="D338" s="2">
        <v>1</v>
      </c>
    </row>
    <row r="339" spans="1:4">
      <c r="A339" s="2" t="s">
        <v>942</v>
      </c>
      <c r="B339" s="2" t="s">
        <v>39</v>
      </c>
      <c r="C339" s="2" t="s">
        <v>24</v>
      </c>
      <c r="D339" s="2">
        <v>1</v>
      </c>
    </row>
    <row r="340" spans="1:4">
      <c r="A340" s="2" t="s">
        <v>2423</v>
      </c>
      <c r="B340" s="2" t="s">
        <v>39</v>
      </c>
      <c r="C340" s="2" t="s">
        <v>24</v>
      </c>
      <c r="D340" s="2">
        <v>1</v>
      </c>
    </row>
    <row r="341" spans="1:4">
      <c r="A341" s="2" t="s">
        <v>2492</v>
      </c>
      <c r="B341" s="2" t="s">
        <v>39</v>
      </c>
      <c r="C341" s="2" t="s">
        <v>24</v>
      </c>
      <c r="D341" s="2">
        <v>1</v>
      </c>
    </row>
    <row r="342" spans="1:4">
      <c r="A342" s="2" t="s">
        <v>4254</v>
      </c>
      <c r="B342" s="2" t="s">
        <v>39</v>
      </c>
      <c r="C342" s="2" t="s">
        <v>24</v>
      </c>
      <c r="D342" s="2">
        <v>1</v>
      </c>
    </row>
    <row r="343" spans="1:4">
      <c r="A343" s="2" t="s">
        <v>2441</v>
      </c>
      <c r="B343" s="2" t="s">
        <v>39</v>
      </c>
      <c r="C343" s="2" t="s">
        <v>24</v>
      </c>
      <c r="D343" s="2">
        <v>1</v>
      </c>
    </row>
    <row r="344" spans="1:4">
      <c r="A344" s="2" t="s">
        <v>2477</v>
      </c>
      <c r="B344" s="2" t="s">
        <v>39</v>
      </c>
      <c r="C344" s="2" t="s">
        <v>24</v>
      </c>
      <c r="D344" s="2">
        <v>1</v>
      </c>
    </row>
    <row r="345" spans="1:4">
      <c r="A345" s="2" t="s">
        <v>254</v>
      </c>
      <c r="B345" s="2" t="s">
        <v>39</v>
      </c>
      <c r="C345" s="2" t="s">
        <v>24</v>
      </c>
      <c r="D345" s="2">
        <v>1</v>
      </c>
    </row>
    <row r="346" spans="1:4">
      <c r="A346" s="2" t="s">
        <v>1031</v>
      </c>
      <c r="B346" s="2" t="s">
        <v>39</v>
      </c>
      <c r="C346" s="2" t="s">
        <v>24</v>
      </c>
      <c r="D346" s="2">
        <v>1</v>
      </c>
    </row>
    <row r="347" spans="1:4">
      <c r="A347" s="2" t="s">
        <v>3003</v>
      </c>
      <c r="B347" s="2" t="s">
        <v>39</v>
      </c>
      <c r="C347" s="2" t="s">
        <v>24</v>
      </c>
      <c r="D347" s="2">
        <v>1</v>
      </c>
    </row>
    <row r="348" spans="1:4">
      <c r="A348" s="2" t="s">
        <v>1033</v>
      </c>
      <c r="B348" s="2" t="s">
        <v>39</v>
      </c>
      <c r="C348" s="2" t="s">
        <v>24</v>
      </c>
      <c r="D348" s="2">
        <v>1</v>
      </c>
    </row>
    <row r="349" spans="1:4">
      <c r="A349" s="2" t="s">
        <v>956</v>
      </c>
      <c r="B349" s="2" t="s">
        <v>39</v>
      </c>
      <c r="C349" s="2" t="s">
        <v>24</v>
      </c>
      <c r="D349" s="2">
        <v>1</v>
      </c>
    </row>
    <row r="350" spans="1:4">
      <c r="A350" s="2" t="s">
        <v>4548</v>
      </c>
      <c r="B350" s="2" t="s">
        <v>39</v>
      </c>
      <c r="C350" s="2" t="s">
        <v>24</v>
      </c>
      <c r="D350" s="2">
        <v>1</v>
      </c>
    </row>
    <row r="351" spans="1:4">
      <c r="A351" s="2" t="s">
        <v>145</v>
      </c>
      <c r="B351" s="2" t="s">
        <v>39</v>
      </c>
      <c r="C351" s="2" t="s">
        <v>24</v>
      </c>
      <c r="D351" s="2">
        <v>1</v>
      </c>
    </row>
    <row r="352" spans="1:4">
      <c r="A352" s="2" t="s">
        <v>3852</v>
      </c>
      <c r="B352" s="2" t="s">
        <v>39</v>
      </c>
      <c r="C352" s="2" t="s">
        <v>24</v>
      </c>
      <c r="D352" s="2">
        <v>1</v>
      </c>
    </row>
    <row r="353" spans="1:4">
      <c r="A353" s="2" t="s">
        <v>3882</v>
      </c>
      <c r="B353" s="2" t="s">
        <v>39</v>
      </c>
      <c r="C353" s="2" t="s">
        <v>24</v>
      </c>
      <c r="D353" s="2">
        <v>1</v>
      </c>
    </row>
    <row r="354" spans="1:4">
      <c r="A354" s="2" t="s">
        <v>3854</v>
      </c>
      <c r="B354" s="2" t="s">
        <v>39</v>
      </c>
      <c r="C354" s="2" t="s">
        <v>24</v>
      </c>
      <c r="D354" s="2">
        <v>1</v>
      </c>
    </row>
    <row r="355" spans="1:4">
      <c r="A355" s="2" t="s">
        <v>4521</v>
      </c>
      <c r="B355" s="2" t="s">
        <v>39</v>
      </c>
      <c r="C355" s="2" t="s">
        <v>24</v>
      </c>
      <c r="D355" s="2">
        <v>1</v>
      </c>
    </row>
    <row r="356" spans="1:4">
      <c r="A356" s="2" t="s">
        <v>3856</v>
      </c>
      <c r="B356" s="2" t="s">
        <v>39</v>
      </c>
      <c r="C356" s="2" t="s">
        <v>24</v>
      </c>
      <c r="D356" s="2">
        <v>1</v>
      </c>
    </row>
    <row r="357" spans="1:4">
      <c r="A357" s="2" t="s">
        <v>231</v>
      </c>
      <c r="B357" s="2" t="s">
        <v>39</v>
      </c>
      <c r="C357" s="2" t="s">
        <v>24</v>
      </c>
      <c r="D357" s="2">
        <v>1</v>
      </c>
    </row>
    <row r="358" spans="1:4">
      <c r="A358" s="2" t="s">
        <v>3429</v>
      </c>
      <c r="B358" s="2" t="s">
        <v>39</v>
      </c>
      <c r="C358" s="2" t="s">
        <v>24</v>
      </c>
      <c r="D358" s="2">
        <v>1</v>
      </c>
    </row>
    <row r="359" spans="1:4">
      <c r="A359" s="2" t="s">
        <v>2443</v>
      </c>
      <c r="B359" s="2" t="s">
        <v>39</v>
      </c>
      <c r="C359" s="2" t="s">
        <v>24</v>
      </c>
      <c r="D359" s="2">
        <v>1</v>
      </c>
    </row>
    <row r="360" spans="1:4">
      <c r="A360" s="2" t="s">
        <v>990</v>
      </c>
      <c r="B360" s="2" t="s">
        <v>39</v>
      </c>
      <c r="C360" s="2" t="s">
        <v>24</v>
      </c>
      <c r="D360" s="2">
        <v>1</v>
      </c>
    </row>
    <row r="361" spans="1:4">
      <c r="A361" s="2" t="s">
        <v>1088</v>
      </c>
      <c r="B361" s="2" t="s">
        <v>39</v>
      </c>
      <c r="C361" s="2" t="s">
        <v>24</v>
      </c>
      <c r="D361" s="2">
        <v>1</v>
      </c>
    </row>
    <row r="362" spans="1:4">
      <c r="A362" s="2" t="s">
        <v>1090</v>
      </c>
      <c r="B362" s="2" t="s">
        <v>39</v>
      </c>
      <c r="C362" s="2" t="s">
        <v>24</v>
      </c>
      <c r="D362" s="2">
        <v>1</v>
      </c>
    </row>
    <row r="363" spans="1:4">
      <c r="A363" s="2" t="s">
        <v>3448</v>
      </c>
      <c r="B363" s="2" t="s">
        <v>39</v>
      </c>
      <c r="C363" s="2" t="s">
        <v>24</v>
      </c>
      <c r="D363" s="2">
        <v>1</v>
      </c>
    </row>
    <row r="364" spans="1:4">
      <c r="A364" s="2" t="s">
        <v>4256</v>
      </c>
      <c r="B364" s="2" t="s">
        <v>39</v>
      </c>
      <c r="C364" s="2" t="s">
        <v>24</v>
      </c>
      <c r="D364" s="2">
        <v>1</v>
      </c>
    </row>
    <row r="365" spans="1:4">
      <c r="A365" s="2" t="s">
        <v>1039</v>
      </c>
      <c r="B365" s="2" t="s">
        <v>39</v>
      </c>
      <c r="C365" s="2" t="s">
        <v>24</v>
      </c>
      <c r="D365" s="2">
        <v>1</v>
      </c>
    </row>
    <row r="366" spans="1:4">
      <c r="A366" s="2" t="s">
        <v>3858</v>
      </c>
      <c r="B366" s="2" t="s">
        <v>39</v>
      </c>
      <c r="C366" s="2" t="s">
        <v>24</v>
      </c>
      <c r="D366" s="2">
        <v>1</v>
      </c>
    </row>
    <row r="367" spans="1:4">
      <c r="A367" s="2" t="s">
        <v>3884</v>
      </c>
      <c r="B367" s="2" t="s">
        <v>39</v>
      </c>
      <c r="C367" s="2" t="s">
        <v>24</v>
      </c>
      <c r="D367" s="2">
        <v>1</v>
      </c>
    </row>
    <row r="368" spans="1:4">
      <c r="A368" s="2" t="s">
        <v>1885</v>
      </c>
      <c r="B368" s="2" t="s">
        <v>39</v>
      </c>
      <c r="C368" s="2" t="s">
        <v>24</v>
      </c>
      <c r="D368" s="2">
        <v>1</v>
      </c>
    </row>
    <row r="369" spans="1:4">
      <c r="A369" s="2" t="s">
        <v>3812</v>
      </c>
      <c r="B369" s="2" t="s">
        <v>39</v>
      </c>
      <c r="C369" s="2" t="s">
        <v>24</v>
      </c>
      <c r="D369" s="2">
        <v>1</v>
      </c>
    </row>
    <row r="370" spans="1:4">
      <c r="A370" s="2" t="s">
        <v>3814</v>
      </c>
      <c r="B370" s="2" t="s">
        <v>39</v>
      </c>
      <c r="C370" s="2" t="s">
        <v>24</v>
      </c>
      <c r="D370" s="2">
        <v>1</v>
      </c>
    </row>
    <row r="371" spans="1:4">
      <c r="A371" s="2" t="s">
        <v>3886</v>
      </c>
      <c r="B371" s="2" t="s">
        <v>39</v>
      </c>
      <c r="C371" s="2" t="s">
        <v>24</v>
      </c>
      <c r="D371" s="2">
        <v>1</v>
      </c>
    </row>
    <row r="372" spans="1:4">
      <c r="A372" s="2" t="s">
        <v>4258</v>
      </c>
      <c r="B372" s="2" t="s">
        <v>39</v>
      </c>
      <c r="C372" s="2" t="s">
        <v>24</v>
      </c>
      <c r="D372" s="2">
        <v>1</v>
      </c>
    </row>
    <row r="373" spans="1:4">
      <c r="A373" s="2" t="s">
        <v>3888</v>
      </c>
      <c r="B373" s="2" t="s">
        <v>39</v>
      </c>
      <c r="C373" s="2" t="s">
        <v>24</v>
      </c>
      <c r="D373" s="2">
        <v>1</v>
      </c>
    </row>
    <row r="374" spans="1:4">
      <c r="A374" s="2" t="s">
        <v>3890</v>
      </c>
      <c r="B374" s="2" t="s">
        <v>39</v>
      </c>
      <c r="C374" s="2" t="s">
        <v>24</v>
      </c>
      <c r="D374" s="2">
        <v>1</v>
      </c>
    </row>
    <row r="375" spans="1:4">
      <c r="A375" s="2" t="s">
        <v>1924</v>
      </c>
      <c r="B375" s="2" t="s">
        <v>39</v>
      </c>
      <c r="C375" s="2" t="s">
        <v>24</v>
      </c>
      <c r="D375" s="2">
        <v>1</v>
      </c>
    </row>
    <row r="376" spans="1:4">
      <c r="A376" s="2" t="s">
        <v>4498</v>
      </c>
      <c r="B376" s="2" t="s">
        <v>39</v>
      </c>
      <c r="C376" s="2" t="s">
        <v>24</v>
      </c>
      <c r="D376" s="2">
        <v>1</v>
      </c>
    </row>
    <row r="377" spans="1:4">
      <c r="A377" s="2" t="s">
        <v>1041</v>
      </c>
      <c r="B377" s="2" t="s">
        <v>39</v>
      </c>
      <c r="C377" s="2" t="s">
        <v>24</v>
      </c>
      <c r="D377" s="2">
        <v>1</v>
      </c>
    </row>
    <row r="378" spans="1:4">
      <c r="A378" s="2" t="s">
        <v>4523</v>
      </c>
      <c r="B378" s="2" t="s">
        <v>39</v>
      </c>
      <c r="C378" s="2" t="s">
        <v>24</v>
      </c>
      <c r="D378" s="2">
        <v>1</v>
      </c>
    </row>
    <row r="379" spans="1:4">
      <c r="A379" s="2" t="s">
        <v>233</v>
      </c>
      <c r="B379" s="2" t="s">
        <v>39</v>
      </c>
      <c r="C379" s="2" t="s">
        <v>24</v>
      </c>
      <c r="D379" s="2">
        <v>1</v>
      </c>
    </row>
    <row r="380" spans="1:4">
      <c r="A380" s="2" t="s">
        <v>1043</v>
      </c>
      <c r="B380" s="2" t="s">
        <v>39</v>
      </c>
      <c r="C380" s="2" t="s">
        <v>24</v>
      </c>
      <c r="D380" s="2">
        <v>1</v>
      </c>
    </row>
    <row r="381" spans="1:4">
      <c r="A381" s="2" t="s">
        <v>1045</v>
      </c>
      <c r="B381" s="2" t="s">
        <v>39</v>
      </c>
      <c r="C381" s="2" t="s">
        <v>24</v>
      </c>
      <c r="D381" s="2">
        <v>1</v>
      </c>
    </row>
    <row r="382" spans="1:4">
      <c r="A382" s="2" t="s">
        <v>3451</v>
      </c>
      <c r="B382" s="2" t="s">
        <v>39</v>
      </c>
      <c r="C382" s="2" t="s">
        <v>24</v>
      </c>
      <c r="D382" s="2">
        <v>1</v>
      </c>
    </row>
    <row r="383" spans="1:4">
      <c r="A383" s="2" t="s">
        <v>4550</v>
      </c>
      <c r="B383" s="2" t="s">
        <v>39</v>
      </c>
      <c r="C383" s="2" t="s">
        <v>24</v>
      </c>
      <c r="D383" s="2">
        <v>1</v>
      </c>
    </row>
    <row r="384" spans="1:4">
      <c r="A384" s="2" t="s">
        <v>1098</v>
      </c>
      <c r="B384" s="2" t="s">
        <v>39</v>
      </c>
      <c r="C384" s="2" t="s">
        <v>24</v>
      </c>
      <c r="D384" s="2">
        <v>1</v>
      </c>
    </row>
    <row r="385" spans="1:4">
      <c r="A385" s="2" t="s">
        <v>1613</v>
      </c>
      <c r="B385" s="2" t="s">
        <v>39</v>
      </c>
      <c r="C385" s="2" t="s">
        <v>24</v>
      </c>
      <c r="D385" s="2">
        <v>1</v>
      </c>
    </row>
    <row r="386" spans="1:4">
      <c r="A386" s="2" t="s">
        <v>4552</v>
      </c>
      <c r="B386" s="2" t="s">
        <v>39</v>
      </c>
      <c r="C386" s="2" t="s">
        <v>24</v>
      </c>
      <c r="D386" s="2">
        <v>1</v>
      </c>
    </row>
    <row r="387" spans="1:4">
      <c r="A387" s="2" t="s">
        <v>1926</v>
      </c>
      <c r="B387" s="2" t="s">
        <v>39</v>
      </c>
      <c r="C387" s="2" t="s">
        <v>24</v>
      </c>
      <c r="D387" s="2">
        <v>1</v>
      </c>
    </row>
    <row r="388" spans="1:4">
      <c r="A388" s="2" t="s">
        <v>3453</v>
      </c>
      <c r="B388" s="2" t="s">
        <v>39</v>
      </c>
      <c r="C388" s="2" t="s">
        <v>24</v>
      </c>
      <c r="D388" s="2">
        <v>1</v>
      </c>
    </row>
    <row r="389" spans="1:4">
      <c r="A389" s="2" t="s">
        <v>1047</v>
      </c>
      <c r="B389" s="2" t="s">
        <v>39</v>
      </c>
      <c r="C389" s="2" t="s">
        <v>24</v>
      </c>
      <c r="D389" s="2">
        <v>1</v>
      </c>
    </row>
    <row r="390" spans="1:4">
      <c r="A390" s="2" t="s">
        <v>2411</v>
      </c>
      <c r="B390" s="2" t="s">
        <v>39</v>
      </c>
      <c r="C390" s="2" t="s">
        <v>24</v>
      </c>
      <c r="D390" s="2">
        <v>1</v>
      </c>
    </row>
    <row r="391" spans="1:4">
      <c r="A391" s="2" t="s">
        <v>4525</v>
      </c>
      <c r="B391" s="2" t="s">
        <v>39</v>
      </c>
      <c r="C391" s="2" t="s">
        <v>24</v>
      </c>
      <c r="D391" s="2">
        <v>1</v>
      </c>
    </row>
    <row r="392" spans="1:4">
      <c r="A392" s="2" t="s">
        <v>1867</v>
      </c>
      <c r="B392" s="2" t="s">
        <v>39</v>
      </c>
      <c r="C392" s="2" t="s">
        <v>24</v>
      </c>
      <c r="D392" s="2">
        <v>1</v>
      </c>
    </row>
    <row r="393" spans="1:4">
      <c r="A393" s="2" t="s">
        <v>2496</v>
      </c>
      <c r="B393" s="2" t="s">
        <v>39</v>
      </c>
      <c r="C393" s="2" t="s">
        <v>24</v>
      </c>
      <c r="D393" s="2">
        <v>1</v>
      </c>
    </row>
    <row r="394" spans="1:4">
      <c r="A394" s="2" t="s">
        <v>2384</v>
      </c>
      <c r="B394" s="2" t="s">
        <v>39</v>
      </c>
      <c r="C394" s="2" t="s">
        <v>24</v>
      </c>
      <c r="D394" s="2">
        <v>1</v>
      </c>
    </row>
    <row r="395" spans="1:4">
      <c r="A395" s="2" t="s">
        <v>3455</v>
      </c>
      <c r="B395" s="2" t="s">
        <v>39</v>
      </c>
      <c r="C395" s="2" t="s">
        <v>24</v>
      </c>
      <c r="D395" s="2">
        <v>1</v>
      </c>
    </row>
    <row r="396" spans="1:4">
      <c r="A396" s="2" t="s">
        <v>992</v>
      </c>
      <c r="B396" s="2" t="s">
        <v>39</v>
      </c>
      <c r="C396" s="2" t="s">
        <v>24</v>
      </c>
      <c r="D396" s="2">
        <v>1</v>
      </c>
    </row>
    <row r="397" spans="1:4">
      <c r="A397" s="2" t="s">
        <v>1100</v>
      </c>
      <c r="B397" s="2" t="s">
        <v>39</v>
      </c>
      <c r="C397" s="2" t="s">
        <v>24</v>
      </c>
      <c r="D397" s="2">
        <v>1</v>
      </c>
    </row>
    <row r="398" spans="1:4">
      <c r="A398" s="2" t="s">
        <v>4260</v>
      </c>
      <c r="B398" s="2" t="s">
        <v>39</v>
      </c>
      <c r="C398" s="2" t="s">
        <v>24</v>
      </c>
      <c r="D398" s="2">
        <v>1</v>
      </c>
    </row>
    <row r="399" spans="1:4">
      <c r="A399" s="2" t="s">
        <v>2413</v>
      </c>
      <c r="B399" s="2" t="s">
        <v>39</v>
      </c>
      <c r="C399" s="2" t="s">
        <v>24</v>
      </c>
      <c r="D399" s="2">
        <v>1</v>
      </c>
    </row>
    <row r="400" spans="1:4">
      <c r="A400" s="2" t="s">
        <v>206</v>
      </c>
      <c r="B400" s="2" t="s">
        <v>39</v>
      </c>
      <c r="C400" s="2" t="s">
        <v>24</v>
      </c>
      <c r="D400" s="2">
        <v>1</v>
      </c>
    </row>
    <row r="401" spans="1:4">
      <c r="A401" s="2" t="s">
        <v>271</v>
      </c>
      <c r="B401" s="2" t="s">
        <v>39</v>
      </c>
      <c r="C401" s="2" t="s">
        <v>24</v>
      </c>
      <c r="D401" s="2">
        <v>1</v>
      </c>
    </row>
    <row r="402" spans="1:4">
      <c r="A402" s="2" t="s">
        <v>994</v>
      </c>
      <c r="B402" s="2" t="s">
        <v>39</v>
      </c>
      <c r="C402" s="2" t="s">
        <v>24</v>
      </c>
      <c r="D402" s="2">
        <v>1</v>
      </c>
    </row>
    <row r="403" spans="1:4">
      <c r="A403" s="2" t="s">
        <v>4554</v>
      </c>
      <c r="B403" s="2" t="s">
        <v>39</v>
      </c>
      <c r="C403" s="2" t="s">
        <v>24</v>
      </c>
      <c r="D403" s="2">
        <v>1</v>
      </c>
    </row>
    <row r="404" spans="1:4">
      <c r="A404" s="2" t="s">
        <v>2460</v>
      </c>
      <c r="B404" s="2" t="s">
        <v>39</v>
      </c>
      <c r="C404" s="2" t="s">
        <v>24</v>
      </c>
      <c r="D404" s="2">
        <v>1</v>
      </c>
    </row>
    <row r="405" spans="1:4">
      <c r="A405" s="2" t="s">
        <v>4223</v>
      </c>
      <c r="B405" s="2" t="s">
        <v>39</v>
      </c>
      <c r="C405" s="2" t="s">
        <v>24</v>
      </c>
      <c r="D405" s="2">
        <v>1</v>
      </c>
    </row>
    <row r="406" spans="1:4">
      <c r="A406" s="2" t="s">
        <v>1889</v>
      </c>
      <c r="B406" s="2" t="s">
        <v>39</v>
      </c>
      <c r="C406" s="2" t="s">
        <v>24</v>
      </c>
      <c r="D406" s="2">
        <v>1</v>
      </c>
    </row>
    <row r="407" spans="1:4">
      <c r="A407" s="2" t="s">
        <v>167</v>
      </c>
      <c r="B407" s="2" t="s">
        <v>39</v>
      </c>
      <c r="C407" s="2" t="s">
        <v>24</v>
      </c>
      <c r="D407" s="2">
        <v>1</v>
      </c>
    </row>
    <row r="408" spans="1:4">
      <c r="A408" s="2" t="s">
        <v>2479</v>
      </c>
      <c r="B408" s="2" t="s">
        <v>39</v>
      </c>
      <c r="C408" s="2" t="s">
        <v>24</v>
      </c>
      <c r="D408" s="2">
        <v>1</v>
      </c>
    </row>
    <row r="409" spans="1:4">
      <c r="A409" s="2" t="s">
        <v>4262</v>
      </c>
      <c r="B409" s="2" t="s">
        <v>39</v>
      </c>
      <c r="C409" s="2" t="s">
        <v>24</v>
      </c>
      <c r="D409" s="2">
        <v>1</v>
      </c>
    </row>
    <row r="410" spans="1:4">
      <c r="A410" s="2" t="s">
        <v>3457</v>
      </c>
      <c r="B410" s="2" t="s">
        <v>39</v>
      </c>
      <c r="C410" s="2" t="s">
        <v>24</v>
      </c>
      <c r="D410" s="2">
        <v>1</v>
      </c>
    </row>
    <row r="411" spans="1:4">
      <c r="A411" s="2" t="s">
        <v>4556</v>
      </c>
      <c r="B411" s="2" t="s">
        <v>39</v>
      </c>
      <c r="C411" s="2" t="s">
        <v>24</v>
      </c>
      <c r="D411" s="2">
        <v>1</v>
      </c>
    </row>
    <row r="412" spans="1:4">
      <c r="A412" s="2" t="s">
        <v>3459</v>
      </c>
      <c r="B412" s="2" t="s">
        <v>39</v>
      </c>
      <c r="C412" s="2" t="s">
        <v>24</v>
      </c>
      <c r="D412" s="2">
        <v>1</v>
      </c>
    </row>
    <row r="413" spans="1:4">
      <c r="A413" s="2" t="s">
        <v>1858</v>
      </c>
      <c r="B413" s="2" t="s">
        <v>39</v>
      </c>
      <c r="C413" s="2" t="s">
        <v>24</v>
      </c>
      <c r="D413" s="2">
        <v>1</v>
      </c>
    </row>
    <row r="414" spans="1:4">
      <c r="A414" s="2" t="s">
        <v>2436</v>
      </c>
      <c r="B414" s="2" t="s">
        <v>39</v>
      </c>
      <c r="C414" s="2" t="s">
        <v>24</v>
      </c>
      <c r="D414" s="2">
        <v>1</v>
      </c>
    </row>
    <row r="415" spans="1:4">
      <c r="A415" s="2" t="s">
        <v>174</v>
      </c>
      <c r="B415" s="2" t="s">
        <v>39</v>
      </c>
      <c r="C415" s="2" t="s">
        <v>24</v>
      </c>
      <c r="D415" s="2">
        <v>1</v>
      </c>
    </row>
    <row r="416" spans="1:4">
      <c r="A416" s="2" t="s">
        <v>3461</v>
      </c>
      <c r="B416" s="2" t="s">
        <v>39</v>
      </c>
      <c r="C416" s="2" t="s">
        <v>24</v>
      </c>
      <c r="D416" s="2">
        <v>1</v>
      </c>
    </row>
    <row r="417" spans="1:4">
      <c r="A417" s="2" t="s">
        <v>4489</v>
      </c>
      <c r="B417" s="2" t="s">
        <v>39</v>
      </c>
      <c r="C417" s="2" t="s">
        <v>24</v>
      </c>
      <c r="D417" s="2">
        <v>1</v>
      </c>
    </row>
    <row r="418" spans="1:4">
      <c r="A418" s="2" t="s">
        <v>2498</v>
      </c>
      <c r="B418" s="2" t="s">
        <v>39</v>
      </c>
      <c r="C418" s="2" t="s">
        <v>24</v>
      </c>
      <c r="D418" s="2">
        <v>1</v>
      </c>
    </row>
    <row r="419" spans="1:4">
      <c r="A419" s="2" t="s">
        <v>4558</v>
      </c>
      <c r="B419" s="2" t="s">
        <v>39</v>
      </c>
      <c r="C419" s="2" t="s">
        <v>24</v>
      </c>
      <c r="D419" s="2">
        <v>1</v>
      </c>
    </row>
    <row r="420" spans="1:4">
      <c r="A420" s="2" t="s">
        <v>2425</v>
      </c>
      <c r="B420" s="2" t="s">
        <v>39</v>
      </c>
      <c r="C420" s="2" t="s">
        <v>24</v>
      </c>
      <c r="D420" s="2">
        <v>1</v>
      </c>
    </row>
    <row r="421" spans="1:4">
      <c r="A421" s="2" t="s">
        <v>1053</v>
      </c>
      <c r="B421" s="2" t="s">
        <v>39</v>
      </c>
      <c r="C421" s="2" t="s">
        <v>24</v>
      </c>
      <c r="D421" s="2">
        <v>1</v>
      </c>
    </row>
    <row r="422" spans="1:4">
      <c r="A422" s="2" t="s">
        <v>2418</v>
      </c>
      <c r="B422" s="2" t="s">
        <v>39</v>
      </c>
      <c r="C422" s="2" t="s">
        <v>24</v>
      </c>
      <c r="D422" s="2">
        <v>1</v>
      </c>
    </row>
    <row r="423" spans="1:4">
      <c r="A423" s="2" t="s">
        <v>1891</v>
      </c>
      <c r="B423" s="2" t="s">
        <v>39</v>
      </c>
      <c r="C423" s="2" t="s">
        <v>24</v>
      </c>
      <c r="D423" s="2">
        <v>1</v>
      </c>
    </row>
    <row r="424" spans="1:4">
      <c r="A424" s="2" t="s">
        <v>1869</v>
      </c>
      <c r="B424" s="2" t="s">
        <v>39</v>
      </c>
      <c r="C424" s="2" t="s">
        <v>24</v>
      </c>
      <c r="D424" s="2">
        <v>1</v>
      </c>
    </row>
    <row r="425" spans="1:4">
      <c r="A425" s="2" t="s">
        <v>973</v>
      </c>
      <c r="B425" s="2" t="s">
        <v>39</v>
      </c>
      <c r="C425" s="2" t="s">
        <v>24</v>
      </c>
      <c r="D425" s="2">
        <v>1</v>
      </c>
    </row>
    <row r="426" spans="1:4">
      <c r="A426" s="2" t="s">
        <v>3463</v>
      </c>
      <c r="B426" s="2" t="s">
        <v>39</v>
      </c>
      <c r="C426" s="2" t="s">
        <v>24</v>
      </c>
      <c r="D426" s="2">
        <v>1</v>
      </c>
    </row>
    <row r="427" spans="1:4">
      <c r="A427" s="2" t="s">
        <v>1615</v>
      </c>
      <c r="B427" s="2" t="s">
        <v>39</v>
      </c>
      <c r="C427" s="2" t="s">
        <v>24</v>
      </c>
      <c r="D427" s="2">
        <v>1</v>
      </c>
    </row>
    <row r="428" spans="1:4">
      <c r="A428" s="2" t="s">
        <v>3465</v>
      </c>
      <c r="B428" s="2" t="s">
        <v>39</v>
      </c>
      <c r="C428" s="2" t="s">
        <v>24</v>
      </c>
      <c r="D428" s="2">
        <v>1</v>
      </c>
    </row>
    <row r="429" spans="1:4">
      <c r="A429" s="2" t="s">
        <v>1055</v>
      </c>
      <c r="B429" s="2" t="s">
        <v>39</v>
      </c>
      <c r="C429" s="2" t="s">
        <v>24</v>
      </c>
      <c r="D429" s="2">
        <v>1</v>
      </c>
    </row>
    <row r="430" spans="1:4">
      <c r="A430" s="2" t="s">
        <v>3433</v>
      </c>
      <c r="B430" s="2" t="s">
        <v>39</v>
      </c>
      <c r="C430" s="2" t="s">
        <v>24</v>
      </c>
      <c r="D430" s="2">
        <v>1</v>
      </c>
    </row>
    <row r="431" spans="1:4">
      <c r="A431" s="2" t="s">
        <v>208</v>
      </c>
      <c r="B431" s="2" t="s">
        <v>39</v>
      </c>
      <c r="C431" s="2" t="s">
        <v>24</v>
      </c>
      <c r="D431" s="2">
        <v>1</v>
      </c>
    </row>
    <row r="432" spans="1:4">
      <c r="A432" s="2" t="s">
        <v>1102</v>
      </c>
      <c r="B432" s="2" t="s">
        <v>39</v>
      </c>
      <c r="C432" s="2" t="s">
        <v>24</v>
      </c>
      <c r="D432" s="2">
        <v>1</v>
      </c>
    </row>
    <row r="433" spans="1:4">
      <c r="A433" s="2" t="s">
        <v>258</v>
      </c>
      <c r="B433" s="2" t="s">
        <v>39</v>
      </c>
      <c r="C433" s="2" t="s">
        <v>24</v>
      </c>
      <c r="D433" s="2">
        <v>1</v>
      </c>
    </row>
    <row r="434" spans="1:4">
      <c r="A434" s="2" t="s">
        <v>143</v>
      </c>
      <c r="B434" s="2" t="s">
        <v>39</v>
      </c>
      <c r="C434" s="2" t="s">
        <v>24</v>
      </c>
      <c r="D434" s="2">
        <v>1</v>
      </c>
    </row>
    <row r="435" spans="1:4">
      <c r="A435" s="2" t="s">
        <v>94</v>
      </c>
      <c r="B435" s="2" t="s">
        <v>39</v>
      </c>
      <c r="C435" s="2" t="s">
        <v>24</v>
      </c>
      <c r="D435" s="2">
        <v>1</v>
      </c>
    </row>
    <row r="436" spans="1:4">
      <c r="A436" s="2" t="s">
        <v>2453</v>
      </c>
      <c r="B436" s="2" t="s">
        <v>39</v>
      </c>
      <c r="C436" s="2" t="s">
        <v>24</v>
      </c>
      <c r="D436" s="2">
        <v>1</v>
      </c>
    </row>
    <row r="437" spans="1:4">
      <c r="A437" s="2" t="s">
        <v>4560</v>
      </c>
      <c r="B437" s="2" t="s">
        <v>39</v>
      </c>
      <c r="C437" s="2" t="s">
        <v>24</v>
      </c>
      <c r="D437" s="2">
        <v>1</v>
      </c>
    </row>
    <row r="438" spans="1:4">
      <c r="A438" s="2" t="s">
        <v>1057</v>
      </c>
      <c r="B438" s="2" t="s">
        <v>39</v>
      </c>
      <c r="C438" s="2" t="s">
        <v>24</v>
      </c>
      <c r="D438" s="2">
        <v>1</v>
      </c>
    </row>
    <row r="439" spans="1:4">
      <c r="A439" s="2" t="s">
        <v>4266</v>
      </c>
      <c r="B439" s="2" t="s">
        <v>39</v>
      </c>
      <c r="C439" s="2" t="s">
        <v>24</v>
      </c>
      <c r="D439" s="2">
        <v>1</v>
      </c>
    </row>
    <row r="440" spans="1:4">
      <c r="A440" s="2" t="s">
        <v>1059</v>
      </c>
      <c r="B440" s="2" t="s">
        <v>39</v>
      </c>
      <c r="C440" s="2" t="s">
        <v>24</v>
      </c>
      <c r="D440" s="2">
        <v>1</v>
      </c>
    </row>
    <row r="441" spans="1:4">
      <c r="A441" s="2" t="s">
        <v>2393</v>
      </c>
      <c r="B441" s="2" t="s">
        <v>39</v>
      </c>
      <c r="C441" s="2" t="s">
        <v>24</v>
      </c>
      <c r="D441" s="2">
        <v>1</v>
      </c>
    </row>
    <row r="442" spans="1:4">
      <c r="A442" s="2" t="s">
        <v>4562</v>
      </c>
      <c r="B442" s="2" t="s">
        <v>39</v>
      </c>
      <c r="C442" s="2" t="s">
        <v>24</v>
      </c>
      <c r="D442" s="2">
        <v>1</v>
      </c>
    </row>
    <row r="443" spans="1:4">
      <c r="A443" s="2" t="s">
        <v>1061</v>
      </c>
      <c r="B443" s="2" t="s">
        <v>39</v>
      </c>
      <c r="C443" s="2" t="s">
        <v>24</v>
      </c>
      <c r="D443" s="2">
        <v>1</v>
      </c>
    </row>
    <row r="444" spans="1:4">
      <c r="A444" s="2" t="s">
        <v>3007</v>
      </c>
      <c r="B444" s="2" t="s">
        <v>39</v>
      </c>
      <c r="C444" s="2" t="s">
        <v>24</v>
      </c>
      <c r="D444" s="2">
        <v>1</v>
      </c>
    </row>
    <row r="445" spans="1:4">
      <c r="A445" s="2" t="s">
        <v>2964</v>
      </c>
      <c r="B445" s="2" t="s">
        <v>39</v>
      </c>
      <c r="C445" s="2" t="s">
        <v>24</v>
      </c>
      <c r="D445" s="2">
        <v>1</v>
      </c>
    </row>
    <row r="446" spans="1:4">
      <c r="A446" s="2" t="s">
        <v>3009</v>
      </c>
      <c r="B446" s="2" t="s">
        <v>39</v>
      </c>
      <c r="C446" s="2" t="s">
        <v>24</v>
      </c>
      <c r="D446" s="2">
        <v>1</v>
      </c>
    </row>
    <row r="447" spans="1:4">
      <c r="A447" s="2" t="s">
        <v>3416</v>
      </c>
      <c r="B447" s="2" t="s">
        <v>39</v>
      </c>
      <c r="C447" s="2" t="s">
        <v>24</v>
      </c>
      <c r="D447" s="2">
        <v>1</v>
      </c>
    </row>
    <row r="448" spans="1:4">
      <c r="A448" s="2" t="s">
        <v>3426</v>
      </c>
      <c r="B448" s="2" t="s">
        <v>39</v>
      </c>
      <c r="C448" s="2" t="s">
        <v>24</v>
      </c>
      <c r="D448" s="2">
        <v>1</v>
      </c>
    </row>
    <row r="449" spans="1:4">
      <c r="A449" s="2" t="s">
        <v>1955</v>
      </c>
      <c r="B449" s="2" t="s">
        <v>39</v>
      </c>
      <c r="C449" s="2" t="s">
        <v>24</v>
      </c>
      <c r="D449" s="2">
        <v>1</v>
      </c>
    </row>
    <row r="450" spans="1:4">
      <c r="A450" s="2" t="s">
        <v>1843</v>
      </c>
      <c r="B450" s="2" t="s">
        <v>39</v>
      </c>
      <c r="C450" s="2" t="s">
        <v>24</v>
      </c>
      <c r="D450" s="2">
        <v>1</v>
      </c>
    </row>
    <row r="451" spans="1:4">
      <c r="A451" s="2" t="s">
        <v>2427</v>
      </c>
      <c r="B451" s="2" t="s">
        <v>39</v>
      </c>
      <c r="C451" s="2" t="s">
        <v>24</v>
      </c>
      <c r="D451" s="2">
        <v>1</v>
      </c>
    </row>
    <row r="452" spans="1:4">
      <c r="A452" s="2" t="s">
        <v>3860</v>
      </c>
      <c r="B452" s="2" t="s">
        <v>39</v>
      </c>
      <c r="C452" s="2" t="s">
        <v>24</v>
      </c>
      <c r="D452" s="2">
        <v>1</v>
      </c>
    </row>
    <row r="453" spans="1:4">
      <c r="A453" s="2" t="s">
        <v>1106</v>
      </c>
      <c r="B453" s="2" t="s">
        <v>39</v>
      </c>
      <c r="C453" s="2" t="s">
        <v>24</v>
      </c>
      <c r="D453" s="2">
        <v>1</v>
      </c>
    </row>
    <row r="454" spans="1:4">
      <c r="A454" s="2" t="s">
        <v>3809</v>
      </c>
      <c r="B454" s="2" t="s">
        <v>39</v>
      </c>
      <c r="C454" s="2" t="s">
        <v>24</v>
      </c>
      <c r="D454" s="2">
        <v>1</v>
      </c>
    </row>
    <row r="455" spans="1:4">
      <c r="A455" s="2" t="s">
        <v>1108</v>
      </c>
      <c r="B455" s="2" t="s">
        <v>39</v>
      </c>
      <c r="C455" s="2" t="s">
        <v>24</v>
      </c>
      <c r="D455" s="2">
        <v>1</v>
      </c>
    </row>
    <row r="456" spans="1:4">
      <c r="A456" s="2" t="s">
        <v>4564</v>
      </c>
      <c r="B456" s="2" t="s">
        <v>39</v>
      </c>
      <c r="C456" s="2" t="s">
        <v>24</v>
      </c>
      <c r="D456" s="2">
        <v>1</v>
      </c>
    </row>
    <row r="457" spans="1:4">
      <c r="A457" s="2" t="s">
        <v>3816</v>
      </c>
      <c r="B457" s="2" t="s">
        <v>39</v>
      </c>
      <c r="C457" s="2" t="s">
        <v>24</v>
      </c>
      <c r="D457" s="2">
        <v>1</v>
      </c>
    </row>
    <row r="458" spans="1:4">
      <c r="A458" s="2" t="s">
        <v>4237</v>
      </c>
      <c r="B458" s="2" t="s">
        <v>39</v>
      </c>
      <c r="C458" s="2" t="s">
        <v>24</v>
      </c>
      <c r="D458" s="2">
        <v>1</v>
      </c>
    </row>
    <row r="459" spans="1:4">
      <c r="A459" s="2" t="s">
        <v>2500</v>
      </c>
      <c r="B459" s="2" t="s">
        <v>39</v>
      </c>
      <c r="C459" s="2" t="s">
        <v>24</v>
      </c>
      <c r="D459" s="2">
        <v>1</v>
      </c>
    </row>
    <row r="460" spans="1:4">
      <c r="A460" s="2" t="s">
        <v>235</v>
      </c>
      <c r="B460" s="2" t="s">
        <v>39</v>
      </c>
      <c r="C460" s="2" t="s">
        <v>24</v>
      </c>
      <c r="D460" s="2">
        <v>1</v>
      </c>
    </row>
    <row r="461" spans="1:4">
      <c r="A461" s="2" t="s">
        <v>3011</v>
      </c>
      <c r="B461" s="2" t="s">
        <v>39</v>
      </c>
      <c r="C461" s="2" t="s">
        <v>24</v>
      </c>
      <c r="D461" s="2">
        <v>1</v>
      </c>
    </row>
    <row r="462" spans="1:4">
      <c r="A462" s="2" t="s">
        <v>1110</v>
      </c>
      <c r="B462" s="2" t="s">
        <v>39</v>
      </c>
      <c r="C462" s="2" t="s">
        <v>24</v>
      </c>
      <c r="D462" s="2">
        <v>1</v>
      </c>
    </row>
    <row r="463" spans="1:4">
      <c r="A463" s="2" t="s">
        <v>2517</v>
      </c>
      <c r="B463" s="2" t="s">
        <v>39</v>
      </c>
      <c r="C463" s="2" t="s">
        <v>24</v>
      </c>
      <c r="D463" s="2">
        <v>1</v>
      </c>
    </row>
    <row r="464" spans="1:4">
      <c r="A464" s="2" t="s">
        <v>3013</v>
      </c>
      <c r="B464" s="2" t="s">
        <v>39</v>
      </c>
      <c r="C464" s="2" t="s">
        <v>24</v>
      </c>
      <c r="D464" s="2">
        <v>1</v>
      </c>
    </row>
    <row r="465" spans="1:4">
      <c r="A465" s="2" t="s">
        <v>2981</v>
      </c>
      <c r="B465" s="2" t="s">
        <v>39</v>
      </c>
      <c r="C465" s="2" t="s">
        <v>24</v>
      </c>
      <c r="D465" s="2">
        <v>1</v>
      </c>
    </row>
    <row r="466" spans="1:4">
      <c r="A466" s="2" t="s">
        <v>4566</v>
      </c>
      <c r="B466" s="2" t="s">
        <v>39</v>
      </c>
      <c r="C466" s="2" t="s">
        <v>24</v>
      </c>
      <c r="D466" s="2">
        <v>1</v>
      </c>
    </row>
    <row r="467" spans="1:4">
      <c r="A467" s="2" t="s">
        <v>1617</v>
      </c>
      <c r="B467" s="2" t="s">
        <v>39</v>
      </c>
      <c r="C467" s="2" t="s">
        <v>24</v>
      </c>
      <c r="D467" s="2">
        <v>1</v>
      </c>
    </row>
    <row r="468" spans="1:4">
      <c r="A468" s="2" t="s">
        <v>1936</v>
      </c>
      <c r="B468" s="2" t="s">
        <v>39</v>
      </c>
      <c r="C468" s="2" t="s">
        <v>24</v>
      </c>
      <c r="D468" s="2">
        <v>1</v>
      </c>
    </row>
    <row r="469" spans="1:4">
      <c r="A469" s="2" t="s">
        <v>1063</v>
      </c>
      <c r="B469" s="2" t="s">
        <v>39</v>
      </c>
      <c r="C469" s="2" t="s">
        <v>24</v>
      </c>
      <c r="D469" s="2">
        <v>1</v>
      </c>
    </row>
    <row r="470" spans="1:4">
      <c r="A470" s="2" t="s">
        <v>1876</v>
      </c>
      <c r="B470" s="2" t="s">
        <v>39</v>
      </c>
      <c r="C470" s="2" t="s">
        <v>24</v>
      </c>
      <c r="D470" s="2">
        <v>1</v>
      </c>
    </row>
    <row r="471" spans="1:4">
      <c r="A471" s="2" t="s">
        <v>4268</v>
      </c>
      <c r="B471" s="2" t="s">
        <v>39</v>
      </c>
      <c r="C471" s="2" t="s">
        <v>24</v>
      </c>
      <c r="D471" s="2">
        <v>1</v>
      </c>
    </row>
    <row r="472" spans="1:4">
      <c r="A472" s="2" t="s">
        <v>2390</v>
      </c>
      <c r="B472" s="2" t="s">
        <v>39</v>
      </c>
      <c r="C472" s="2" t="s">
        <v>24</v>
      </c>
      <c r="D472" s="2">
        <v>1</v>
      </c>
    </row>
    <row r="473" spans="1:4">
      <c r="A473" s="2" t="s">
        <v>3830</v>
      </c>
      <c r="B473" s="2" t="s">
        <v>39</v>
      </c>
      <c r="C473" s="2" t="s">
        <v>24</v>
      </c>
      <c r="D473" s="2">
        <v>1</v>
      </c>
    </row>
    <row r="474" spans="1:4">
      <c r="A474" s="2" t="s">
        <v>3015</v>
      </c>
      <c r="B474" s="2" t="s">
        <v>39</v>
      </c>
      <c r="C474" s="2" t="s">
        <v>24</v>
      </c>
      <c r="D474" s="2">
        <v>1</v>
      </c>
    </row>
    <row r="475" spans="1:4">
      <c r="A475" s="2" t="s">
        <v>1065</v>
      </c>
      <c r="B475" s="2" t="s">
        <v>39</v>
      </c>
      <c r="C475" s="2" t="s">
        <v>24</v>
      </c>
      <c r="D475" s="2">
        <v>1</v>
      </c>
    </row>
    <row r="476" spans="1:4">
      <c r="A476" s="2" t="s">
        <v>1619</v>
      </c>
      <c r="B476" s="2" t="s">
        <v>39</v>
      </c>
      <c r="C476" s="2" t="s">
        <v>24</v>
      </c>
      <c r="D476" s="2">
        <v>1</v>
      </c>
    </row>
    <row r="477" spans="1:4">
      <c r="A477" s="2" t="s">
        <v>3804</v>
      </c>
      <c r="B477" s="2" t="s">
        <v>39</v>
      </c>
      <c r="C477" s="2" t="s">
        <v>24</v>
      </c>
      <c r="D477" s="2">
        <v>1</v>
      </c>
    </row>
    <row r="478" spans="1:4">
      <c r="A478" s="2" t="s">
        <v>1067</v>
      </c>
      <c r="B478" s="2" t="s">
        <v>39</v>
      </c>
      <c r="C478" s="2" t="s">
        <v>24</v>
      </c>
      <c r="D478" s="2">
        <v>1</v>
      </c>
    </row>
    <row r="479" spans="1:4">
      <c r="A479" s="2" t="s">
        <v>1893</v>
      </c>
      <c r="B479" s="2" t="s">
        <v>39</v>
      </c>
      <c r="C479" s="2" t="s">
        <v>24</v>
      </c>
      <c r="D479" s="2">
        <v>1</v>
      </c>
    </row>
    <row r="480" spans="1:4">
      <c r="A480" s="2" t="s">
        <v>3797</v>
      </c>
      <c r="B480" s="2" t="s">
        <v>39</v>
      </c>
      <c r="C480" s="2" t="s">
        <v>24</v>
      </c>
      <c r="D480" s="2">
        <v>1</v>
      </c>
    </row>
    <row r="481" spans="1:4">
      <c r="A481" s="2" t="s">
        <v>4239</v>
      </c>
      <c r="B481" s="2" t="s">
        <v>39</v>
      </c>
      <c r="C481" s="2" t="s">
        <v>24</v>
      </c>
      <c r="D481" s="2">
        <v>1</v>
      </c>
    </row>
    <row r="482" spans="1:4">
      <c r="A482" s="2" t="s">
        <v>3471</v>
      </c>
      <c r="B482" s="2" t="s">
        <v>39</v>
      </c>
      <c r="C482" s="2" t="s">
        <v>24</v>
      </c>
      <c r="D482" s="2">
        <v>1</v>
      </c>
    </row>
    <row r="483" spans="1:4">
      <c r="A483" s="2" t="s">
        <v>3421</v>
      </c>
      <c r="B483" s="2" t="s">
        <v>39</v>
      </c>
      <c r="C483" s="2" t="s">
        <v>24</v>
      </c>
      <c r="D483" s="2">
        <v>1</v>
      </c>
    </row>
    <row r="484" spans="1:4">
      <c r="A484" s="2" t="s">
        <v>2464</v>
      </c>
      <c r="B484" s="2" t="s">
        <v>39</v>
      </c>
      <c r="C484" s="2" t="s">
        <v>24</v>
      </c>
      <c r="D484" s="2">
        <v>1</v>
      </c>
    </row>
    <row r="485" spans="1:4">
      <c r="A485" s="2" t="s">
        <v>1834</v>
      </c>
      <c r="B485" s="2" t="s">
        <v>39</v>
      </c>
      <c r="C485" s="2" t="s">
        <v>24</v>
      </c>
      <c r="D485" s="2">
        <v>1</v>
      </c>
    </row>
    <row r="486" spans="1:4">
      <c r="A486" s="2" t="s">
        <v>1840</v>
      </c>
      <c r="B486" s="2" t="s">
        <v>39</v>
      </c>
      <c r="C486" s="2" t="s">
        <v>24</v>
      </c>
      <c r="D486" s="2">
        <v>1</v>
      </c>
    </row>
    <row r="487" spans="1:4">
      <c r="A487" s="2" t="s">
        <v>1847</v>
      </c>
      <c r="B487" s="2" t="s">
        <v>39</v>
      </c>
      <c r="C487" s="2" t="s">
        <v>24</v>
      </c>
      <c r="D487" s="2">
        <v>1</v>
      </c>
    </row>
    <row r="488" spans="1:4">
      <c r="A488" s="2" t="s">
        <v>2415</v>
      </c>
      <c r="B488" s="2" t="s">
        <v>39</v>
      </c>
      <c r="C488" s="2" t="s">
        <v>24</v>
      </c>
      <c r="D488" s="2">
        <v>1</v>
      </c>
    </row>
    <row r="489" spans="1:4">
      <c r="A489" s="2" t="s">
        <v>2986</v>
      </c>
      <c r="B489" s="2" t="s">
        <v>39</v>
      </c>
      <c r="C489" s="2" t="s">
        <v>24</v>
      </c>
      <c r="D489" s="2">
        <v>1</v>
      </c>
    </row>
    <row r="490" spans="1:4">
      <c r="A490" s="2" t="s">
        <v>2466</v>
      </c>
      <c r="B490" s="2" t="s">
        <v>39</v>
      </c>
      <c r="C490" s="2" t="s">
        <v>24</v>
      </c>
      <c r="D490" s="2">
        <v>1</v>
      </c>
    </row>
    <row r="491" spans="1:4">
      <c r="A491" s="2" t="s">
        <v>2455</v>
      </c>
      <c r="B491" s="2" t="s">
        <v>39</v>
      </c>
      <c r="C491" s="2" t="s">
        <v>24</v>
      </c>
      <c r="D491" s="2">
        <v>1</v>
      </c>
    </row>
    <row r="492" spans="1:4">
      <c r="A492" s="2" t="s">
        <v>4568</v>
      </c>
      <c r="B492" s="2" t="s">
        <v>39</v>
      </c>
      <c r="C492" s="2" t="s">
        <v>24</v>
      </c>
      <c r="D492" s="2">
        <v>1</v>
      </c>
    </row>
    <row r="493" spans="1:4">
      <c r="A493" s="2" t="s">
        <v>3473</v>
      </c>
      <c r="B493" s="2" t="s">
        <v>39</v>
      </c>
      <c r="C493" s="2" t="s">
        <v>24</v>
      </c>
      <c r="D493" s="2">
        <v>1</v>
      </c>
    </row>
    <row r="494" spans="1:4">
      <c r="A494" s="2" t="s">
        <v>1959</v>
      </c>
      <c r="B494" s="2" t="s">
        <v>39</v>
      </c>
      <c r="C494" s="2" t="s">
        <v>24</v>
      </c>
      <c r="D494" s="2">
        <v>1</v>
      </c>
    </row>
    <row r="495" spans="1:4">
      <c r="A495" s="2" t="s">
        <v>1940</v>
      </c>
      <c r="B495" s="2" t="s">
        <v>39</v>
      </c>
      <c r="C495" s="2" t="s">
        <v>24</v>
      </c>
      <c r="D495" s="2">
        <v>1</v>
      </c>
    </row>
    <row r="496" spans="1:4">
      <c r="A496" s="2" t="s">
        <v>3832</v>
      </c>
      <c r="B496" s="2" t="s">
        <v>39</v>
      </c>
      <c r="C496" s="2" t="s">
        <v>24</v>
      </c>
      <c r="D496" s="2">
        <v>1</v>
      </c>
    </row>
    <row r="497" spans="1:4">
      <c r="A497" s="2" t="s">
        <v>3793</v>
      </c>
      <c r="B497" s="2" t="s">
        <v>39</v>
      </c>
      <c r="C497" s="2" t="s">
        <v>24</v>
      </c>
      <c r="D497" s="2">
        <v>1</v>
      </c>
    </row>
    <row r="498" spans="1:4">
      <c r="A498" s="2" t="s">
        <v>2502</v>
      </c>
      <c r="B498" s="2" t="s">
        <v>39</v>
      </c>
      <c r="C498" s="2" t="s">
        <v>24</v>
      </c>
      <c r="D498" s="2">
        <v>1</v>
      </c>
    </row>
    <row r="499" spans="1:4">
      <c r="A499" s="2" t="s">
        <v>2983</v>
      </c>
      <c r="B499" s="2" t="s">
        <v>39</v>
      </c>
      <c r="C499" s="2" t="s">
        <v>24</v>
      </c>
      <c r="D499" s="2">
        <v>1</v>
      </c>
    </row>
    <row r="500" spans="1:4">
      <c r="A500" s="2" t="s">
        <v>4570</v>
      </c>
      <c r="B500" s="2" t="s">
        <v>39</v>
      </c>
      <c r="C500" s="2" t="s">
        <v>24</v>
      </c>
      <c r="D500" s="2">
        <v>1</v>
      </c>
    </row>
    <row r="501" spans="1:4">
      <c r="A501" s="2" t="s">
        <v>3892</v>
      </c>
      <c r="B501" s="2" t="s">
        <v>39</v>
      </c>
      <c r="C501" s="2" t="s">
        <v>24</v>
      </c>
      <c r="D501" s="2">
        <v>1</v>
      </c>
    </row>
    <row r="502" spans="1:4">
      <c r="A502" s="2" t="s">
        <v>1942</v>
      </c>
      <c r="B502" s="2" t="s">
        <v>39</v>
      </c>
      <c r="C502" s="2" t="s">
        <v>24</v>
      </c>
      <c r="D502" s="2">
        <v>1</v>
      </c>
    </row>
    <row r="503" spans="1:4">
      <c r="A503" s="2" t="s">
        <v>1621</v>
      </c>
      <c r="B503" s="2" t="s">
        <v>39</v>
      </c>
      <c r="C503" s="2" t="s">
        <v>24</v>
      </c>
      <c r="D503" s="2">
        <v>1</v>
      </c>
    </row>
    <row r="504" spans="1:4">
      <c r="A504" s="2" t="s">
        <v>1069</v>
      </c>
      <c r="B504" s="2" t="s">
        <v>39</v>
      </c>
      <c r="C504" s="2" t="s">
        <v>24</v>
      </c>
      <c r="D504" s="2">
        <v>1</v>
      </c>
    </row>
    <row r="505" spans="1:4">
      <c r="A505" s="2" t="s">
        <v>3799</v>
      </c>
      <c r="B505" s="2" t="s">
        <v>39</v>
      </c>
      <c r="C505" s="2" t="s">
        <v>24</v>
      </c>
      <c r="D505" s="2">
        <v>1</v>
      </c>
    </row>
    <row r="506" spans="1:4">
      <c r="A506" s="2" t="s">
        <v>2504</v>
      </c>
      <c r="B506" s="2" t="s">
        <v>39</v>
      </c>
      <c r="C506" s="2" t="s">
        <v>24</v>
      </c>
      <c r="D506" s="2">
        <v>1</v>
      </c>
    </row>
    <row r="507" spans="1:4">
      <c r="A507" s="2" t="s">
        <v>2406</v>
      </c>
      <c r="B507" s="2" t="s">
        <v>39</v>
      </c>
      <c r="C507" s="2" t="s">
        <v>24</v>
      </c>
      <c r="D507" s="2">
        <v>1</v>
      </c>
    </row>
    <row r="508" spans="1:4">
      <c r="A508" s="2" t="s">
        <v>116</v>
      </c>
      <c r="B508" s="2" t="s">
        <v>39</v>
      </c>
      <c r="C508" s="2" t="s">
        <v>24</v>
      </c>
      <c r="D508" s="2">
        <v>1</v>
      </c>
    </row>
    <row r="509" spans="1:4">
      <c r="A509" s="2" t="s">
        <v>1944</v>
      </c>
      <c r="B509" s="2" t="s">
        <v>39</v>
      </c>
      <c r="C509" s="2" t="s">
        <v>24</v>
      </c>
      <c r="D509" s="2">
        <v>1</v>
      </c>
    </row>
    <row r="510" spans="1:4">
      <c r="A510" s="2" t="s">
        <v>4572</v>
      </c>
      <c r="B510" s="2" t="s">
        <v>39</v>
      </c>
      <c r="C510" s="2" t="s">
        <v>24</v>
      </c>
      <c r="D510" s="2">
        <v>1</v>
      </c>
    </row>
    <row r="511" spans="1:4">
      <c r="A511" s="2" t="s">
        <v>3408</v>
      </c>
      <c r="B511" s="2" t="s">
        <v>39</v>
      </c>
      <c r="C511" s="2" t="s">
        <v>24</v>
      </c>
      <c r="D511" s="2">
        <v>1</v>
      </c>
    </row>
    <row r="512" spans="1:4">
      <c r="A512" s="2" t="s">
        <v>3017</v>
      </c>
      <c r="B512" s="2" t="s">
        <v>39</v>
      </c>
      <c r="C512" s="2" t="s">
        <v>24</v>
      </c>
      <c r="D512" s="2">
        <v>1</v>
      </c>
    </row>
    <row r="513" spans="1:4">
      <c r="A513" s="2" t="s">
        <v>4527</v>
      </c>
      <c r="B513" s="2" t="s">
        <v>39</v>
      </c>
      <c r="C513" s="2" t="s">
        <v>24</v>
      </c>
      <c r="D513" s="2">
        <v>1</v>
      </c>
    </row>
    <row r="514" spans="1:4">
      <c r="A514" s="2" t="s">
        <v>4506</v>
      </c>
      <c r="B514" s="2" t="s">
        <v>39</v>
      </c>
      <c r="C514" s="2" t="s">
        <v>24</v>
      </c>
      <c r="D514" s="2">
        <v>1</v>
      </c>
    </row>
    <row r="515" spans="1:4">
      <c r="A515" s="2" t="s">
        <v>4485</v>
      </c>
      <c r="B515" s="2" t="s">
        <v>39</v>
      </c>
      <c r="C515" s="2" t="s">
        <v>24</v>
      </c>
      <c r="D515" s="2">
        <v>1</v>
      </c>
    </row>
    <row r="516" spans="1:4">
      <c r="A516" s="2" t="s">
        <v>4574</v>
      </c>
      <c r="B516" s="2" t="s">
        <v>39</v>
      </c>
      <c r="C516" s="2" t="s">
        <v>24</v>
      </c>
      <c r="D516" s="2">
        <v>1</v>
      </c>
    </row>
    <row r="517" spans="1:4">
      <c r="A517" s="2" t="s">
        <v>4576</v>
      </c>
      <c r="B517" s="2" t="s">
        <v>39</v>
      </c>
      <c r="C517" s="2" t="s">
        <v>24</v>
      </c>
      <c r="D517" s="2">
        <v>1</v>
      </c>
    </row>
    <row r="518" spans="1:4">
      <c r="A518" s="2" t="s">
        <v>3435</v>
      </c>
      <c r="B518" s="2" t="s">
        <v>39</v>
      </c>
      <c r="C518" s="2" t="s">
        <v>24</v>
      </c>
      <c r="D518" s="2">
        <v>1</v>
      </c>
    </row>
    <row r="519" spans="1:4">
      <c r="A519" s="2" t="s">
        <v>139</v>
      </c>
      <c r="B519" s="2" t="s">
        <v>39</v>
      </c>
      <c r="C519" s="2" t="s">
        <v>39</v>
      </c>
      <c r="D519" s="2">
        <v>450</v>
      </c>
    </row>
    <row r="520" spans="1:4">
      <c r="A520" s="2" t="s">
        <v>109</v>
      </c>
      <c r="B520" s="2" t="s">
        <v>39</v>
      </c>
      <c r="C520" s="2" t="s">
        <v>39</v>
      </c>
      <c r="D520" s="2">
        <v>450</v>
      </c>
    </row>
    <row r="521" spans="1:4">
      <c r="A521" s="2" t="s">
        <v>73</v>
      </c>
      <c r="B521" s="2" t="s">
        <v>39</v>
      </c>
      <c r="C521" s="2" t="s">
        <v>39</v>
      </c>
      <c r="D521" s="2">
        <v>450</v>
      </c>
    </row>
    <row r="522" spans="1:4">
      <c r="A522" s="2" t="s">
        <v>82</v>
      </c>
      <c r="B522" s="2" t="s">
        <v>39</v>
      </c>
      <c r="C522" s="2" t="s">
        <v>39</v>
      </c>
      <c r="D522" s="2">
        <v>446</v>
      </c>
    </row>
    <row r="523" spans="1:4">
      <c r="A523" s="2" t="s">
        <v>97</v>
      </c>
      <c r="B523" s="2" t="s">
        <v>39</v>
      </c>
      <c r="C523" s="2" t="s">
        <v>39</v>
      </c>
      <c r="D523" s="2">
        <v>440</v>
      </c>
    </row>
    <row r="524" spans="1:4">
      <c r="A524" s="2" t="s">
        <v>118</v>
      </c>
      <c r="B524" s="2" t="s">
        <v>39</v>
      </c>
      <c r="C524" s="2" t="s">
        <v>39</v>
      </c>
      <c r="D524" s="2">
        <v>435</v>
      </c>
    </row>
    <row r="525" spans="1:4">
      <c r="A525" s="2" t="s">
        <v>61</v>
      </c>
      <c r="B525" s="2" t="s">
        <v>39</v>
      </c>
      <c r="C525" s="2" t="s">
        <v>39</v>
      </c>
      <c r="D525" s="2">
        <v>430</v>
      </c>
    </row>
    <row r="526" spans="1:4">
      <c r="A526" s="2" t="s">
        <v>129</v>
      </c>
      <c r="B526" s="2" t="s">
        <v>39</v>
      </c>
      <c r="C526" s="2" t="s">
        <v>39</v>
      </c>
      <c r="D526" s="2">
        <v>430</v>
      </c>
    </row>
    <row r="527" spans="1:4">
      <c r="A527" s="2" t="s">
        <v>250</v>
      </c>
      <c r="B527" s="2" t="s">
        <v>39</v>
      </c>
      <c r="C527" s="2" t="s">
        <v>39</v>
      </c>
      <c r="D527" s="2">
        <v>430</v>
      </c>
    </row>
    <row r="528" spans="1:4">
      <c r="A528" s="2" t="s">
        <v>100</v>
      </c>
      <c r="B528" s="2" t="s">
        <v>39</v>
      </c>
      <c r="C528" s="2" t="s">
        <v>39</v>
      </c>
      <c r="D528" s="2">
        <v>428</v>
      </c>
    </row>
    <row r="529" spans="1:4">
      <c r="A529" s="2" t="s">
        <v>126</v>
      </c>
      <c r="B529" s="2" t="s">
        <v>39</v>
      </c>
      <c r="C529" s="2" t="s">
        <v>39</v>
      </c>
      <c r="D529" s="2">
        <v>427</v>
      </c>
    </row>
    <row r="530" spans="1:4">
      <c r="A530" s="2" t="s">
        <v>1883</v>
      </c>
      <c r="B530" s="2" t="s">
        <v>39</v>
      </c>
      <c r="C530" s="2" t="s">
        <v>39</v>
      </c>
      <c r="D530" s="2">
        <v>426</v>
      </c>
    </row>
    <row r="531" spans="1:4">
      <c r="A531" s="2" t="s">
        <v>153</v>
      </c>
      <c r="B531" s="2" t="s">
        <v>39</v>
      </c>
      <c r="C531" s="2" t="s">
        <v>39</v>
      </c>
      <c r="D531" s="2">
        <v>426</v>
      </c>
    </row>
    <row r="532" spans="1:4">
      <c r="A532" s="2" t="s">
        <v>185</v>
      </c>
      <c r="B532" s="2" t="s">
        <v>39</v>
      </c>
      <c r="C532" s="2" t="s">
        <v>39</v>
      </c>
      <c r="D532" s="2">
        <v>425</v>
      </c>
    </row>
    <row r="533" spans="1:4">
      <c r="A533" s="2" t="s">
        <v>2991</v>
      </c>
      <c r="B533" s="2" t="s">
        <v>39</v>
      </c>
      <c r="C533" s="2" t="s">
        <v>39</v>
      </c>
      <c r="D533" s="2">
        <v>423</v>
      </c>
    </row>
    <row r="534" spans="1:4">
      <c r="A534" s="2" t="s">
        <v>91</v>
      </c>
      <c r="B534" s="2" t="s">
        <v>39</v>
      </c>
      <c r="C534" s="2" t="s">
        <v>39</v>
      </c>
      <c r="D534" s="2">
        <v>422</v>
      </c>
    </row>
    <row r="535" spans="1:4">
      <c r="A535" s="2" t="s">
        <v>179</v>
      </c>
      <c r="B535" s="2" t="s">
        <v>39</v>
      </c>
      <c r="C535" s="2" t="s">
        <v>39</v>
      </c>
      <c r="D535" s="2">
        <v>421</v>
      </c>
    </row>
    <row r="536" spans="1:4">
      <c r="A536" s="2" t="s">
        <v>2494</v>
      </c>
      <c r="B536" s="2" t="s">
        <v>39</v>
      </c>
      <c r="C536" s="2" t="s">
        <v>39</v>
      </c>
      <c r="D536" s="2">
        <v>421</v>
      </c>
    </row>
    <row r="537" spans="1:4">
      <c r="A537" s="2" t="s">
        <v>4548</v>
      </c>
      <c r="B537" s="2" t="s">
        <v>39</v>
      </c>
      <c r="C537" s="2" t="s">
        <v>39</v>
      </c>
      <c r="D537" s="2">
        <v>419</v>
      </c>
    </row>
    <row r="538" spans="1:4">
      <c r="A538" s="2" t="s">
        <v>156</v>
      </c>
      <c r="B538" s="2" t="s">
        <v>39</v>
      </c>
      <c r="C538" s="2" t="s">
        <v>39</v>
      </c>
      <c r="D538" s="2">
        <v>418</v>
      </c>
    </row>
    <row r="539" spans="1:4">
      <c r="A539" s="2" t="s">
        <v>172</v>
      </c>
      <c r="B539" s="2" t="s">
        <v>39</v>
      </c>
      <c r="C539" s="2" t="s">
        <v>39</v>
      </c>
      <c r="D539" s="2">
        <v>418</v>
      </c>
    </row>
    <row r="540" spans="1:4">
      <c r="A540" s="2" t="s">
        <v>206</v>
      </c>
      <c r="B540" s="2" t="s">
        <v>39</v>
      </c>
      <c r="C540" s="2" t="s">
        <v>39</v>
      </c>
      <c r="D540" s="2">
        <v>417</v>
      </c>
    </row>
    <row r="541" spans="1:4">
      <c r="A541" s="2" t="s">
        <v>161</v>
      </c>
      <c r="B541" s="2" t="s">
        <v>39</v>
      </c>
      <c r="C541" s="2" t="s">
        <v>39</v>
      </c>
      <c r="D541" s="2">
        <v>417</v>
      </c>
    </row>
    <row r="542" spans="1:4">
      <c r="A542" s="2" t="s">
        <v>965</v>
      </c>
      <c r="B542" s="2" t="s">
        <v>39</v>
      </c>
      <c r="C542" s="2" t="s">
        <v>39</v>
      </c>
      <c r="D542" s="2">
        <v>416</v>
      </c>
    </row>
    <row r="543" spans="1:4">
      <c r="A543" s="2" t="s">
        <v>188</v>
      </c>
      <c r="B543" s="2" t="s">
        <v>39</v>
      </c>
      <c r="C543" s="2" t="s">
        <v>39</v>
      </c>
      <c r="D543" s="2">
        <v>416</v>
      </c>
    </row>
    <row r="544" spans="1:4">
      <c r="A544" s="2" t="s">
        <v>2473</v>
      </c>
      <c r="B544" s="2" t="s">
        <v>39</v>
      </c>
      <c r="C544" s="2" t="s">
        <v>39</v>
      </c>
      <c r="D544" s="2">
        <v>415</v>
      </c>
    </row>
    <row r="545" spans="1:4">
      <c r="A545" s="2" t="s">
        <v>292</v>
      </c>
      <c r="B545" s="2" t="s">
        <v>39</v>
      </c>
      <c r="C545" s="2" t="s">
        <v>39</v>
      </c>
      <c r="D545" s="2">
        <v>415</v>
      </c>
    </row>
    <row r="546" spans="1:4">
      <c r="A546" s="2" t="s">
        <v>4562</v>
      </c>
      <c r="B546" s="2" t="s">
        <v>39</v>
      </c>
      <c r="C546" s="2" t="s">
        <v>39</v>
      </c>
      <c r="D546" s="2">
        <v>414</v>
      </c>
    </row>
    <row r="547" spans="1:4">
      <c r="A547" s="2" t="s">
        <v>1934</v>
      </c>
      <c r="B547" s="2" t="s">
        <v>39</v>
      </c>
      <c r="C547" s="2" t="s">
        <v>39</v>
      </c>
      <c r="D547" s="2">
        <v>412</v>
      </c>
    </row>
    <row r="548" spans="1:4">
      <c r="A548" s="2" t="s">
        <v>192</v>
      </c>
      <c r="B548" s="2" t="s">
        <v>39</v>
      </c>
      <c r="C548" s="2" t="s">
        <v>39</v>
      </c>
      <c r="D548" s="2">
        <v>411</v>
      </c>
    </row>
    <row r="549" spans="1:4">
      <c r="A549" s="2" t="s">
        <v>167</v>
      </c>
      <c r="B549" s="2" t="s">
        <v>39</v>
      </c>
      <c r="C549" s="2" t="s">
        <v>39</v>
      </c>
      <c r="D549" s="2">
        <v>409</v>
      </c>
    </row>
    <row r="550" spans="1:4">
      <c r="A550" s="2" t="s">
        <v>1008</v>
      </c>
      <c r="B550" s="2" t="s">
        <v>39</v>
      </c>
      <c r="C550" s="2" t="s">
        <v>39</v>
      </c>
      <c r="D550" s="2">
        <v>409</v>
      </c>
    </row>
    <row r="551" spans="1:4">
      <c r="A551" s="2" t="s">
        <v>194</v>
      </c>
      <c r="B551" s="2" t="s">
        <v>39</v>
      </c>
      <c r="C551" s="2" t="s">
        <v>39</v>
      </c>
      <c r="D551" s="2">
        <v>407</v>
      </c>
    </row>
    <row r="552" spans="1:4">
      <c r="A552" s="2" t="s">
        <v>111</v>
      </c>
      <c r="B552" s="2" t="s">
        <v>39</v>
      </c>
      <c r="C552" s="2" t="s">
        <v>39</v>
      </c>
      <c r="D552" s="2">
        <v>402</v>
      </c>
    </row>
    <row r="553" spans="1:4">
      <c r="A553" s="2" t="s">
        <v>229</v>
      </c>
      <c r="B553" s="2" t="s">
        <v>39</v>
      </c>
      <c r="C553" s="2" t="s">
        <v>39</v>
      </c>
      <c r="D553" s="2">
        <v>402</v>
      </c>
    </row>
    <row r="554" spans="1:4">
      <c r="A554" s="2" t="s">
        <v>199</v>
      </c>
      <c r="B554" s="2" t="s">
        <v>39</v>
      </c>
      <c r="C554" s="2" t="s">
        <v>39</v>
      </c>
      <c r="D554" s="2">
        <v>401</v>
      </c>
    </row>
    <row r="555" spans="1:4">
      <c r="A555" s="2" t="s">
        <v>2464</v>
      </c>
      <c r="B555" s="2" t="s">
        <v>39</v>
      </c>
      <c r="C555" s="2" t="s">
        <v>39</v>
      </c>
      <c r="D555" s="2">
        <v>401</v>
      </c>
    </row>
    <row r="556" spans="1:4">
      <c r="A556" s="2" t="s">
        <v>1878</v>
      </c>
      <c r="B556" s="2" t="s">
        <v>39</v>
      </c>
      <c r="C556" s="2" t="s">
        <v>39</v>
      </c>
      <c r="D556" s="2">
        <v>401</v>
      </c>
    </row>
    <row r="557" spans="1:4">
      <c r="A557" s="2" t="s">
        <v>2445</v>
      </c>
      <c r="B557" s="2" t="s">
        <v>39</v>
      </c>
      <c r="C557" s="2" t="s">
        <v>39</v>
      </c>
      <c r="D557" s="2">
        <v>400</v>
      </c>
    </row>
    <row r="558" spans="1:4">
      <c r="A558" s="2" t="s">
        <v>1887</v>
      </c>
      <c r="B558" s="2" t="s">
        <v>39</v>
      </c>
      <c r="C558" s="2" t="s">
        <v>39</v>
      </c>
      <c r="D558" s="2">
        <v>400</v>
      </c>
    </row>
    <row r="559" spans="1:4">
      <c r="A559" s="2" t="s">
        <v>204</v>
      </c>
      <c r="B559" s="2" t="s">
        <v>39</v>
      </c>
      <c r="C559" s="2" t="s">
        <v>39</v>
      </c>
      <c r="D559" s="2">
        <v>399</v>
      </c>
    </row>
    <row r="560" spans="1:4">
      <c r="A560" s="2" t="s">
        <v>2443</v>
      </c>
      <c r="B560" s="2" t="s">
        <v>39</v>
      </c>
      <c r="C560" s="2" t="s">
        <v>39</v>
      </c>
      <c r="D560" s="2">
        <v>399</v>
      </c>
    </row>
    <row r="561" spans="1:4">
      <c r="A561" s="2" t="s">
        <v>279</v>
      </c>
      <c r="B561" s="2" t="s">
        <v>39</v>
      </c>
      <c r="C561" s="2" t="s">
        <v>39</v>
      </c>
      <c r="D561" s="2">
        <v>398</v>
      </c>
    </row>
    <row r="562" spans="1:4">
      <c r="A562" s="2" t="s">
        <v>283</v>
      </c>
      <c r="B562" s="2" t="s">
        <v>39</v>
      </c>
      <c r="C562" s="2" t="s">
        <v>39</v>
      </c>
      <c r="D562" s="2">
        <v>397</v>
      </c>
    </row>
    <row r="563" spans="1:4">
      <c r="A563" s="2" t="s">
        <v>1912</v>
      </c>
      <c r="B563" s="2" t="s">
        <v>39</v>
      </c>
      <c r="C563" s="2" t="s">
        <v>39</v>
      </c>
      <c r="D563" s="2">
        <v>397</v>
      </c>
    </row>
    <row r="564" spans="1:4">
      <c r="A564" s="2" t="s">
        <v>942</v>
      </c>
      <c r="B564" s="2" t="s">
        <v>39</v>
      </c>
      <c r="C564" s="2" t="s">
        <v>39</v>
      </c>
      <c r="D564" s="2">
        <v>397</v>
      </c>
    </row>
    <row r="565" spans="1:4">
      <c r="A565" s="2" t="s">
        <v>2479</v>
      </c>
      <c r="B565" s="2" t="s">
        <v>39</v>
      </c>
      <c r="C565" s="2" t="s">
        <v>39</v>
      </c>
      <c r="D565" s="2">
        <v>395</v>
      </c>
    </row>
    <row r="566" spans="1:4">
      <c r="A566" s="2" t="s">
        <v>1900</v>
      </c>
      <c r="B566" s="2" t="s">
        <v>39</v>
      </c>
      <c r="C566" s="2" t="s">
        <v>39</v>
      </c>
      <c r="D566" s="2">
        <v>394</v>
      </c>
    </row>
    <row r="567" spans="1:4">
      <c r="A567" s="2" t="s">
        <v>1920</v>
      </c>
      <c r="B567" s="2" t="s">
        <v>39</v>
      </c>
      <c r="C567" s="2" t="s">
        <v>39</v>
      </c>
      <c r="D567" s="2">
        <v>394</v>
      </c>
    </row>
    <row r="568" spans="1:4">
      <c r="A568" s="2" t="s">
        <v>1932</v>
      </c>
      <c r="B568" s="2" t="s">
        <v>39</v>
      </c>
      <c r="C568" s="2" t="s">
        <v>39</v>
      </c>
      <c r="D568" s="2">
        <v>394</v>
      </c>
    </row>
    <row r="569" spans="1:4">
      <c r="A569" s="2" t="s">
        <v>1059</v>
      </c>
      <c r="B569" s="2" t="s">
        <v>39</v>
      </c>
      <c r="C569" s="2" t="s">
        <v>39</v>
      </c>
      <c r="D569" s="2">
        <v>393</v>
      </c>
    </row>
    <row r="570" spans="1:4">
      <c r="A570" s="2" t="s">
        <v>286</v>
      </c>
      <c r="B570" s="2" t="s">
        <v>39</v>
      </c>
      <c r="C570" s="2" t="s">
        <v>39</v>
      </c>
      <c r="D570" s="2">
        <v>392</v>
      </c>
    </row>
    <row r="571" spans="1:4">
      <c r="A571" s="2" t="s">
        <v>1096</v>
      </c>
      <c r="B571" s="2" t="s">
        <v>39</v>
      </c>
      <c r="C571" s="2" t="s">
        <v>39</v>
      </c>
      <c r="D571" s="2">
        <v>392</v>
      </c>
    </row>
    <row r="572" spans="1:4">
      <c r="A572" s="2" t="s">
        <v>1910</v>
      </c>
      <c r="B572" s="2" t="s">
        <v>39</v>
      </c>
      <c r="C572" s="2" t="s">
        <v>39</v>
      </c>
      <c r="D572" s="2">
        <v>390</v>
      </c>
    </row>
    <row r="573" spans="1:4">
      <c r="A573" s="2" t="s">
        <v>1600</v>
      </c>
      <c r="B573" s="2" t="s">
        <v>39</v>
      </c>
      <c r="C573" s="2" t="s">
        <v>39</v>
      </c>
      <c r="D573" s="2">
        <v>390</v>
      </c>
    </row>
    <row r="574" spans="1:4">
      <c r="A574" s="2" t="s">
        <v>2388</v>
      </c>
      <c r="B574" s="2" t="s">
        <v>39</v>
      </c>
      <c r="C574" s="2" t="s">
        <v>39</v>
      </c>
      <c r="D574" s="2">
        <v>389</v>
      </c>
    </row>
    <row r="575" spans="1:4">
      <c r="A575" s="2" t="s">
        <v>3844</v>
      </c>
      <c r="B575" s="2" t="s">
        <v>39</v>
      </c>
      <c r="C575" s="2" t="s">
        <v>39</v>
      </c>
      <c r="D575" s="2">
        <v>388</v>
      </c>
    </row>
    <row r="576" spans="1:4">
      <c r="A576" s="2" t="s">
        <v>1035</v>
      </c>
      <c r="B576" s="2" t="s">
        <v>39</v>
      </c>
      <c r="C576" s="2" t="s">
        <v>39</v>
      </c>
      <c r="D576" s="2">
        <v>388</v>
      </c>
    </row>
    <row r="577" spans="1:4">
      <c r="A577" s="2" t="s">
        <v>1930</v>
      </c>
      <c r="B577" s="2" t="s">
        <v>39</v>
      </c>
      <c r="C577" s="2" t="s">
        <v>39</v>
      </c>
      <c r="D577" s="2">
        <v>388</v>
      </c>
    </row>
    <row r="578" spans="1:4">
      <c r="A578" s="2" t="s">
        <v>1902</v>
      </c>
      <c r="B578" s="2" t="s">
        <v>39</v>
      </c>
      <c r="C578" s="2" t="s">
        <v>39</v>
      </c>
      <c r="D578" s="2">
        <v>387</v>
      </c>
    </row>
    <row r="579" spans="1:4">
      <c r="A579" s="2" t="s">
        <v>1922</v>
      </c>
      <c r="B579" s="2" t="s">
        <v>39</v>
      </c>
      <c r="C579" s="2" t="s">
        <v>39</v>
      </c>
      <c r="D579" s="2">
        <v>387</v>
      </c>
    </row>
    <row r="580" spans="1:4">
      <c r="A580" s="2" t="s">
        <v>2453</v>
      </c>
      <c r="B580" s="2" t="s">
        <v>39</v>
      </c>
      <c r="C580" s="2" t="s">
        <v>39</v>
      </c>
      <c r="D580" s="2">
        <v>387</v>
      </c>
    </row>
    <row r="581" spans="1:4">
      <c r="A581" s="2" t="s">
        <v>239</v>
      </c>
      <c r="B581" s="2" t="s">
        <v>39</v>
      </c>
      <c r="C581" s="2" t="s">
        <v>39</v>
      </c>
      <c r="D581" s="2">
        <v>386</v>
      </c>
    </row>
    <row r="582" spans="1:4">
      <c r="A582" s="2" t="s">
        <v>201</v>
      </c>
      <c r="B582" s="2" t="s">
        <v>39</v>
      </c>
      <c r="C582" s="2" t="s">
        <v>39</v>
      </c>
      <c r="D582" s="2">
        <v>386</v>
      </c>
    </row>
    <row r="583" spans="1:4">
      <c r="A583" s="2" t="s">
        <v>1876</v>
      </c>
      <c r="B583" s="2" t="s">
        <v>39</v>
      </c>
      <c r="C583" s="2" t="s">
        <v>39</v>
      </c>
      <c r="D583" s="2">
        <v>385</v>
      </c>
    </row>
    <row r="584" spans="1:4">
      <c r="A584" s="2" t="s">
        <v>1621</v>
      </c>
      <c r="B584" s="2" t="s">
        <v>39</v>
      </c>
      <c r="C584" s="2" t="s">
        <v>39</v>
      </c>
      <c r="D584" s="2">
        <v>384</v>
      </c>
    </row>
    <row r="585" spans="1:4">
      <c r="A585" s="2" t="s">
        <v>1908</v>
      </c>
      <c r="B585" s="2" t="s">
        <v>39</v>
      </c>
      <c r="C585" s="2" t="s">
        <v>39</v>
      </c>
      <c r="D585" s="2">
        <v>383</v>
      </c>
    </row>
    <row r="586" spans="1:4">
      <c r="A586" s="2" t="s">
        <v>148</v>
      </c>
      <c r="B586" s="2" t="s">
        <v>39</v>
      </c>
      <c r="C586" s="2" t="s">
        <v>39</v>
      </c>
      <c r="D586" s="2">
        <v>383</v>
      </c>
    </row>
    <row r="587" spans="1:4">
      <c r="A587" s="2" t="s">
        <v>973</v>
      </c>
      <c r="B587" s="2" t="s">
        <v>39</v>
      </c>
      <c r="C587" s="2" t="s">
        <v>39</v>
      </c>
      <c r="D587" s="2">
        <v>383</v>
      </c>
    </row>
    <row r="588" spans="1:4">
      <c r="A588" s="2" t="s">
        <v>2411</v>
      </c>
      <c r="B588" s="2" t="s">
        <v>39</v>
      </c>
      <c r="C588" s="2" t="s">
        <v>39</v>
      </c>
      <c r="D588" s="2">
        <v>382</v>
      </c>
    </row>
    <row r="589" spans="1:4">
      <c r="A589" s="2" t="s">
        <v>3013</v>
      </c>
      <c r="B589" s="2" t="s">
        <v>39</v>
      </c>
      <c r="C589" s="2" t="s">
        <v>39</v>
      </c>
      <c r="D589" s="2">
        <v>382</v>
      </c>
    </row>
    <row r="590" spans="1:4">
      <c r="A590" s="2" t="s">
        <v>219</v>
      </c>
      <c r="B590" s="2" t="s">
        <v>39</v>
      </c>
      <c r="C590" s="2" t="s">
        <v>39</v>
      </c>
      <c r="D590" s="2">
        <v>381</v>
      </c>
    </row>
    <row r="591" spans="1:4">
      <c r="A591" s="2" t="s">
        <v>1928</v>
      </c>
      <c r="B591" s="2" t="s">
        <v>39</v>
      </c>
      <c r="C591" s="2" t="s">
        <v>39</v>
      </c>
      <c r="D591" s="2">
        <v>381</v>
      </c>
    </row>
    <row r="592" spans="1:4">
      <c r="A592" s="2" t="s">
        <v>64</v>
      </c>
      <c r="B592" s="2" t="s">
        <v>39</v>
      </c>
      <c r="C592" s="2" t="s">
        <v>39</v>
      </c>
      <c r="D592" s="2">
        <v>380</v>
      </c>
    </row>
    <row r="593" spans="1:4">
      <c r="A593" s="2" t="s">
        <v>945</v>
      </c>
      <c r="B593" s="2" t="s">
        <v>39</v>
      </c>
      <c r="C593" s="2" t="s">
        <v>39</v>
      </c>
      <c r="D593" s="2">
        <v>380</v>
      </c>
    </row>
    <row r="594" spans="1:4">
      <c r="A594" s="2" t="s">
        <v>264</v>
      </c>
      <c r="B594" s="2" t="s">
        <v>39</v>
      </c>
      <c r="C594" s="2" t="s">
        <v>39</v>
      </c>
      <c r="D594" s="2">
        <v>380</v>
      </c>
    </row>
    <row r="595" spans="1:4">
      <c r="A595" s="2" t="s">
        <v>923</v>
      </c>
      <c r="B595" s="2" t="s">
        <v>39</v>
      </c>
      <c r="C595" s="2" t="s">
        <v>39</v>
      </c>
      <c r="D595" s="2">
        <v>379</v>
      </c>
    </row>
    <row r="596" spans="1:4">
      <c r="A596" s="2" t="s">
        <v>2490</v>
      </c>
      <c r="B596" s="2" t="s">
        <v>39</v>
      </c>
      <c r="C596" s="2" t="s">
        <v>39</v>
      </c>
      <c r="D596" s="2">
        <v>378</v>
      </c>
    </row>
    <row r="597" spans="1:4">
      <c r="A597" s="2" t="s">
        <v>4254</v>
      </c>
      <c r="B597" s="2" t="s">
        <v>39</v>
      </c>
      <c r="C597" s="2" t="s">
        <v>39</v>
      </c>
      <c r="D597" s="2">
        <v>378</v>
      </c>
    </row>
    <row r="598" spans="1:4">
      <c r="A598" s="2" t="s">
        <v>4515</v>
      </c>
      <c r="B598" s="2" t="s">
        <v>39</v>
      </c>
      <c r="C598" s="2" t="s">
        <v>39</v>
      </c>
      <c r="D598" s="2">
        <v>377</v>
      </c>
    </row>
    <row r="599" spans="1:4">
      <c r="A599" s="2" t="s">
        <v>124</v>
      </c>
      <c r="B599" s="2" t="s">
        <v>39</v>
      </c>
      <c r="C599" s="2" t="s">
        <v>39</v>
      </c>
      <c r="D599" s="2">
        <v>377</v>
      </c>
    </row>
    <row r="600" spans="1:4">
      <c r="A600" s="2" t="s">
        <v>1867</v>
      </c>
      <c r="B600" s="2" t="s">
        <v>39</v>
      </c>
      <c r="C600" s="2" t="s">
        <v>39</v>
      </c>
      <c r="D600" s="2">
        <v>377</v>
      </c>
    </row>
    <row r="601" spans="1:4">
      <c r="A601" s="2" t="s">
        <v>266</v>
      </c>
      <c r="B601" s="2" t="s">
        <v>39</v>
      </c>
      <c r="C601" s="2" t="s">
        <v>39</v>
      </c>
      <c r="D601" s="2">
        <v>376</v>
      </c>
    </row>
    <row r="602" spans="1:4">
      <c r="A602" s="2" t="s">
        <v>1053</v>
      </c>
      <c r="B602" s="2" t="s">
        <v>39</v>
      </c>
      <c r="C602" s="2" t="s">
        <v>39</v>
      </c>
      <c r="D602" s="2">
        <v>376</v>
      </c>
    </row>
    <row r="603" spans="1:4">
      <c r="A603" s="2" t="s">
        <v>996</v>
      </c>
      <c r="B603" s="2" t="s">
        <v>39</v>
      </c>
      <c r="C603" s="2" t="s">
        <v>39</v>
      </c>
      <c r="D603" s="2">
        <v>373</v>
      </c>
    </row>
    <row r="604" spans="1:4">
      <c r="A604" s="2" t="s">
        <v>4246</v>
      </c>
      <c r="B604" s="2" t="s">
        <v>39</v>
      </c>
      <c r="C604" s="2" t="s">
        <v>39</v>
      </c>
      <c r="D604" s="2">
        <v>372</v>
      </c>
    </row>
    <row r="605" spans="1:4">
      <c r="A605" s="2" t="s">
        <v>2460</v>
      </c>
      <c r="B605" s="2" t="s">
        <v>39</v>
      </c>
      <c r="C605" s="2" t="s">
        <v>39</v>
      </c>
      <c r="D605" s="2">
        <v>372</v>
      </c>
    </row>
    <row r="606" spans="1:4">
      <c r="A606" s="2" t="s">
        <v>2504</v>
      </c>
      <c r="B606" s="2" t="s">
        <v>39</v>
      </c>
      <c r="C606" s="2" t="s">
        <v>39</v>
      </c>
      <c r="D606" s="2">
        <v>372</v>
      </c>
    </row>
    <row r="607" spans="1:4">
      <c r="A607" s="2" t="s">
        <v>2986</v>
      </c>
      <c r="B607" s="2" t="s">
        <v>39</v>
      </c>
      <c r="C607" s="2" t="s">
        <v>39</v>
      </c>
      <c r="D607" s="2">
        <v>371</v>
      </c>
    </row>
    <row r="608" spans="1:4">
      <c r="A608" s="2" t="s">
        <v>70</v>
      </c>
      <c r="B608" s="2" t="s">
        <v>39</v>
      </c>
      <c r="C608" s="2" t="s">
        <v>39</v>
      </c>
      <c r="D608" s="2">
        <v>370</v>
      </c>
    </row>
    <row r="609" spans="1:4">
      <c r="A609" s="2" t="s">
        <v>1918</v>
      </c>
      <c r="B609" s="2" t="s">
        <v>39</v>
      </c>
      <c r="C609" s="2" t="s">
        <v>39</v>
      </c>
      <c r="D609" s="2">
        <v>370</v>
      </c>
    </row>
    <row r="610" spans="1:4">
      <c r="A610" s="2" t="s">
        <v>273</v>
      </c>
      <c r="B610" s="2" t="s">
        <v>39</v>
      </c>
      <c r="C610" s="2" t="s">
        <v>39</v>
      </c>
      <c r="D610" s="2">
        <v>369</v>
      </c>
    </row>
    <row r="611" spans="1:4">
      <c r="A611" s="2" t="s">
        <v>971</v>
      </c>
      <c r="B611" s="2" t="s">
        <v>39</v>
      </c>
      <c r="C611" s="2" t="s">
        <v>39</v>
      </c>
      <c r="D611" s="2">
        <v>367</v>
      </c>
    </row>
    <row r="612" spans="1:4">
      <c r="A612" s="2" t="s">
        <v>256</v>
      </c>
      <c r="B612" s="2" t="s">
        <v>39</v>
      </c>
      <c r="C612" s="2" t="s">
        <v>39</v>
      </c>
      <c r="D612" s="2">
        <v>367</v>
      </c>
    </row>
    <row r="613" spans="1:4">
      <c r="A613" s="2" t="s">
        <v>277</v>
      </c>
      <c r="B613" s="2" t="s">
        <v>39</v>
      </c>
      <c r="C613" s="2" t="s">
        <v>39</v>
      </c>
      <c r="D613" s="2">
        <v>367</v>
      </c>
    </row>
    <row r="614" spans="1:4">
      <c r="A614" s="2" t="s">
        <v>1938</v>
      </c>
      <c r="B614" s="2" t="s">
        <v>39</v>
      </c>
      <c r="C614" s="2" t="s">
        <v>39</v>
      </c>
      <c r="D614" s="2">
        <v>367</v>
      </c>
    </row>
    <row r="615" spans="1:4">
      <c r="A615" s="2" t="s">
        <v>2509</v>
      </c>
      <c r="B615" s="2" t="s">
        <v>39</v>
      </c>
      <c r="C615" s="2" t="s">
        <v>39</v>
      </c>
      <c r="D615" s="2">
        <v>366</v>
      </c>
    </row>
    <row r="616" spans="1:4">
      <c r="A616" s="2" t="s">
        <v>260</v>
      </c>
      <c r="B616" s="2" t="s">
        <v>39</v>
      </c>
      <c r="C616" s="2" t="s">
        <v>39</v>
      </c>
      <c r="D616" s="2">
        <v>366</v>
      </c>
    </row>
    <row r="617" spans="1:4">
      <c r="A617" s="2" t="s">
        <v>2468</v>
      </c>
      <c r="B617" s="2" t="s">
        <v>39</v>
      </c>
      <c r="C617" s="2" t="s">
        <v>39</v>
      </c>
      <c r="D617" s="2">
        <v>366</v>
      </c>
    </row>
    <row r="618" spans="1:4">
      <c r="A618" s="2" t="s">
        <v>159</v>
      </c>
      <c r="B618" s="2" t="s">
        <v>39</v>
      </c>
      <c r="C618" s="2" t="s">
        <v>39</v>
      </c>
      <c r="D618" s="2">
        <v>365</v>
      </c>
    </row>
    <row r="619" spans="1:4">
      <c r="A619" s="2" t="s">
        <v>3475</v>
      </c>
      <c r="B619" s="2" t="s">
        <v>39</v>
      </c>
      <c r="C619" s="2" t="s">
        <v>39</v>
      </c>
      <c r="D619" s="2">
        <v>365</v>
      </c>
    </row>
    <row r="620" spans="1:4">
      <c r="A620" s="2" t="s">
        <v>150</v>
      </c>
      <c r="B620" s="2" t="s">
        <v>39</v>
      </c>
      <c r="C620" s="2" t="s">
        <v>39</v>
      </c>
      <c r="D620" s="2">
        <v>364</v>
      </c>
    </row>
    <row r="621" spans="1:4">
      <c r="A621" s="2" t="s">
        <v>3429</v>
      </c>
      <c r="B621" s="2" t="s">
        <v>39</v>
      </c>
      <c r="C621" s="2" t="s">
        <v>39</v>
      </c>
      <c r="D621" s="2">
        <v>364</v>
      </c>
    </row>
    <row r="622" spans="1:4">
      <c r="A622" s="2" t="s">
        <v>190</v>
      </c>
      <c r="B622" s="2" t="s">
        <v>39</v>
      </c>
      <c r="C622" s="2" t="s">
        <v>39</v>
      </c>
      <c r="D622" s="2">
        <v>363</v>
      </c>
    </row>
    <row r="623" spans="1:4">
      <c r="A623" s="2" t="s">
        <v>1049</v>
      </c>
      <c r="B623" s="2" t="s">
        <v>39</v>
      </c>
      <c r="C623" s="2" t="s">
        <v>39</v>
      </c>
      <c r="D623" s="2">
        <v>363</v>
      </c>
    </row>
    <row r="624" spans="1:4">
      <c r="A624" s="2" t="s">
        <v>2462</v>
      </c>
      <c r="B624" s="2" t="s">
        <v>39</v>
      </c>
      <c r="C624" s="2" t="s">
        <v>39</v>
      </c>
      <c r="D624" s="2">
        <v>363</v>
      </c>
    </row>
    <row r="625" spans="1:4">
      <c r="A625" s="2" t="s">
        <v>262</v>
      </c>
      <c r="B625" s="2" t="s">
        <v>39</v>
      </c>
      <c r="C625" s="2" t="s">
        <v>39</v>
      </c>
      <c r="D625" s="2">
        <v>363</v>
      </c>
    </row>
    <row r="626" spans="1:4">
      <c r="A626" s="2" t="s">
        <v>3440</v>
      </c>
      <c r="B626" s="2" t="s">
        <v>39</v>
      </c>
      <c r="C626" s="2" t="s">
        <v>39</v>
      </c>
      <c r="D626" s="2">
        <v>362</v>
      </c>
    </row>
    <row r="627" spans="1:4">
      <c r="A627" s="2" t="s">
        <v>275</v>
      </c>
      <c r="B627" s="2" t="s">
        <v>39</v>
      </c>
      <c r="C627" s="2" t="s">
        <v>39</v>
      </c>
      <c r="D627" s="2">
        <v>361</v>
      </c>
    </row>
    <row r="628" spans="1:4">
      <c r="A628" s="2" t="s">
        <v>1609</v>
      </c>
      <c r="B628" s="2" t="s">
        <v>39</v>
      </c>
      <c r="C628" s="2" t="s">
        <v>39</v>
      </c>
      <c r="D628" s="2">
        <v>360</v>
      </c>
    </row>
    <row r="629" spans="1:4">
      <c r="A629" s="2" t="s">
        <v>930</v>
      </c>
      <c r="B629" s="2" t="s">
        <v>39</v>
      </c>
      <c r="C629" s="2" t="s">
        <v>39</v>
      </c>
      <c r="D629" s="2">
        <v>360</v>
      </c>
    </row>
    <row r="630" spans="1:4">
      <c r="A630" s="2" t="s">
        <v>114</v>
      </c>
      <c r="B630" s="2" t="s">
        <v>39</v>
      </c>
      <c r="C630" s="2" t="s">
        <v>39</v>
      </c>
      <c r="D630" s="2">
        <v>359</v>
      </c>
    </row>
    <row r="631" spans="1:4">
      <c r="A631" s="2" t="s">
        <v>4536</v>
      </c>
      <c r="B631" s="2" t="s">
        <v>39</v>
      </c>
      <c r="C631" s="2" t="s">
        <v>39</v>
      </c>
      <c r="D631" s="2">
        <v>359</v>
      </c>
    </row>
    <row r="632" spans="1:4">
      <c r="A632" s="2" t="s">
        <v>3809</v>
      </c>
      <c r="B632" s="2" t="s">
        <v>39</v>
      </c>
      <c r="C632" s="2" t="s">
        <v>39</v>
      </c>
      <c r="D632" s="2">
        <v>359</v>
      </c>
    </row>
    <row r="633" spans="1:4">
      <c r="A633" s="2" t="s">
        <v>4501</v>
      </c>
      <c r="B633" s="2" t="s">
        <v>39</v>
      </c>
      <c r="C633" s="2" t="s">
        <v>39</v>
      </c>
      <c r="D633" s="2">
        <v>358</v>
      </c>
    </row>
    <row r="634" spans="1:4">
      <c r="A634" s="2" t="s">
        <v>1002</v>
      </c>
      <c r="B634" s="2" t="s">
        <v>39</v>
      </c>
      <c r="C634" s="2" t="s">
        <v>39</v>
      </c>
      <c r="D634" s="2">
        <v>358</v>
      </c>
    </row>
    <row r="635" spans="1:4">
      <c r="A635" s="2" t="s">
        <v>2427</v>
      </c>
      <c r="B635" s="2" t="s">
        <v>39</v>
      </c>
      <c r="C635" s="2" t="s">
        <v>39</v>
      </c>
      <c r="D635" s="2">
        <v>358</v>
      </c>
    </row>
    <row r="636" spans="1:4">
      <c r="A636" s="2" t="s">
        <v>2513</v>
      </c>
      <c r="B636" s="2" t="s">
        <v>39</v>
      </c>
      <c r="C636" s="2" t="s">
        <v>39</v>
      </c>
      <c r="D636" s="2">
        <v>355</v>
      </c>
    </row>
    <row r="637" spans="1:4">
      <c r="A637" s="2" t="s">
        <v>2381</v>
      </c>
      <c r="B637" s="2" t="s">
        <v>39</v>
      </c>
      <c r="C637" s="2" t="s">
        <v>39</v>
      </c>
      <c r="D637" s="2">
        <v>355</v>
      </c>
    </row>
    <row r="638" spans="1:4">
      <c r="A638" s="2" t="s">
        <v>1074</v>
      </c>
      <c r="B638" s="2" t="s">
        <v>39</v>
      </c>
      <c r="C638" s="2" t="s">
        <v>39</v>
      </c>
      <c r="D638" s="2">
        <v>354</v>
      </c>
    </row>
    <row r="639" spans="1:4">
      <c r="A639" s="2" t="s">
        <v>3467</v>
      </c>
      <c r="B639" s="2" t="s">
        <v>39</v>
      </c>
      <c r="C639" s="2" t="s">
        <v>39</v>
      </c>
      <c r="D639" s="2">
        <v>354</v>
      </c>
    </row>
    <row r="640" spans="1:4">
      <c r="A640" s="2" t="s">
        <v>281</v>
      </c>
      <c r="B640" s="2" t="s">
        <v>39</v>
      </c>
      <c r="C640" s="2" t="s">
        <v>39</v>
      </c>
      <c r="D640" s="2">
        <v>352</v>
      </c>
    </row>
    <row r="641" spans="1:4">
      <c r="A641" s="2" t="s">
        <v>1906</v>
      </c>
      <c r="B641" s="2" t="s">
        <v>39</v>
      </c>
      <c r="C641" s="2" t="s">
        <v>39</v>
      </c>
      <c r="D641" s="2">
        <v>351</v>
      </c>
    </row>
    <row r="642" spans="1:4">
      <c r="A642" s="2" t="s">
        <v>79</v>
      </c>
      <c r="B642" s="2" t="s">
        <v>39</v>
      </c>
      <c r="C642" s="2" t="s">
        <v>39</v>
      </c>
      <c r="D642" s="2">
        <v>351</v>
      </c>
    </row>
    <row r="643" spans="1:4">
      <c r="A643" s="2" t="s">
        <v>1029</v>
      </c>
      <c r="B643" s="2" t="s">
        <v>39</v>
      </c>
      <c r="C643" s="2" t="s">
        <v>39</v>
      </c>
      <c r="D643" s="2">
        <v>350</v>
      </c>
    </row>
    <row r="644" spans="1:4">
      <c r="A644" s="2" t="s">
        <v>2436</v>
      </c>
      <c r="B644" s="2" t="s">
        <v>39</v>
      </c>
      <c r="C644" s="2" t="s">
        <v>39</v>
      </c>
      <c r="D644" s="2">
        <v>350</v>
      </c>
    </row>
    <row r="645" spans="1:4">
      <c r="A645" s="2" t="s">
        <v>1944</v>
      </c>
      <c r="B645" s="2" t="s">
        <v>39</v>
      </c>
      <c r="C645" s="2" t="s">
        <v>39</v>
      </c>
      <c r="D645" s="2">
        <v>350</v>
      </c>
    </row>
    <row r="646" spans="1:4">
      <c r="A646" s="2" t="s">
        <v>246</v>
      </c>
      <c r="B646" s="2" t="s">
        <v>39</v>
      </c>
      <c r="C646" s="2" t="s">
        <v>39</v>
      </c>
      <c r="D646" s="2">
        <v>348</v>
      </c>
    </row>
    <row r="647" spans="1:4">
      <c r="A647" s="2" t="s">
        <v>2423</v>
      </c>
      <c r="B647" s="2" t="s">
        <v>39</v>
      </c>
      <c r="C647" s="2" t="s">
        <v>39</v>
      </c>
      <c r="D647" s="2">
        <v>345</v>
      </c>
    </row>
    <row r="648" spans="1:4">
      <c r="A648" s="2" t="s">
        <v>4489</v>
      </c>
      <c r="B648" s="2" t="s">
        <v>39</v>
      </c>
      <c r="C648" s="2" t="s">
        <v>39</v>
      </c>
      <c r="D648" s="2">
        <v>343</v>
      </c>
    </row>
    <row r="649" spans="1:4">
      <c r="A649" s="2" t="s">
        <v>2425</v>
      </c>
      <c r="B649" s="2" t="s">
        <v>39</v>
      </c>
      <c r="C649" s="2" t="s">
        <v>39</v>
      </c>
      <c r="D649" s="2">
        <v>343</v>
      </c>
    </row>
    <row r="650" spans="1:4">
      <c r="A650" s="2" t="s">
        <v>4504</v>
      </c>
      <c r="B650" s="2" t="s">
        <v>39</v>
      </c>
      <c r="C650" s="2" t="s">
        <v>39</v>
      </c>
      <c r="D650" s="2">
        <v>342</v>
      </c>
    </row>
    <row r="651" spans="1:4">
      <c r="A651" s="2" t="s">
        <v>183</v>
      </c>
      <c r="B651" s="2" t="s">
        <v>39</v>
      </c>
      <c r="C651" s="2" t="s">
        <v>39</v>
      </c>
      <c r="D651" s="2">
        <v>342</v>
      </c>
    </row>
    <row r="652" spans="1:4">
      <c r="A652" s="2" t="s">
        <v>1830</v>
      </c>
      <c r="B652" s="2" t="s">
        <v>39</v>
      </c>
      <c r="C652" s="2" t="s">
        <v>39</v>
      </c>
      <c r="D652" s="2">
        <v>341</v>
      </c>
    </row>
    <row r="653" spans="1:4">
      <c r="A653" s="2" t="s">
        <v>169</v>
      </c>
      <c r="B653" s="2" t="s">
        <v>39</v>
      </c>
      <c r="C653" s="2" t="s">
        <v>39</v>
      </c>
      <c r="D653" s="2">
        <v>340</v>
      </c>
    </row>
    <row r="654" spans="1:4">
      <c r="A654" s="2" t="s">
        <v>4546</v>
      </c>
      <c r="B654" s="2" t="s">
        <v>39</v>
      </c>
      <c r="C654" s="2" t="s">
        <v>39</v>
      </c>
      <c r="D654" s="2">
        <v>340</v>
      </c>
    </row>
    <row r="655" spans="1:4">
      <c r="A655" s="2" t="s">
        <v>3455</v>
      </c>
      <c r="B655" s="2" t="s">
        <v>39</v>
      </c>
      <c r="C655" s="2" t="s">
        <v>39</v>
      </c>
      <c r="D655" s="2">
        <v>338</v>
      </c>
    </row>
    <row r="656" spans="1:4">
      <c r="A656" s="2" t="s">
        <v>2981</v>
      </c>
      <c r="B656" s="2" t="s">
        <v>39</v>
      </c>
      <c r="C656" s="2" t="s">
        <v>39</v>
      </c>
      <c r="D656" s="2">
        <v>338</v>
      </c>
    </row>
    <row r="657" spans="1:4">
      <c r="A657" s="2" t="s">
        <v>2432</v>
      </c>
      <c r="B657" s="2" t="s">
        <v>39</v>
      </c>
      <c r="C657" s="2" t="s">
        <v>39</v>
      </c>
      <c r="D657" s="2">
        <v>335</v>
      </c>
    </row>
    <row r="658" spans="1:4">
      <c r="A658" s="2" t="s">
        <v>1004</v>
      </c>
      <c r="B658" s="2" t="s">
        <v>39</v>
      </c>
      <c r="C658" s="2" t="s">
        <v>39</v>
      </c>
      <c r="D658" s="2">
        <v>334</v>
      </c>
    </row>
    <row r="659" spans="1:4">
      <c r="A659" s="2" t="s">
        <v>1865</v>
      </c>
      <c r="B659" s="2" t="s">
        <v>39</v>
      </c>
      <c r="C659" s="2" t="s">
        <v>39</v>
      </c>
      <c r="D659" s="2">
        <v>333</v>
      </c>
    </row>
    <row r="660" spans="1:4">
      <c r="A660" s="2" t="s">
        <v>3431</v>
      </c>
      <c r="B660" s="2" t="s">
        <v>39</v>
      </c>
      <c r="C660" s="2" t="s">
        <v>39</v>
      </c>
      <c r="D660" s="2">
        <v>333</v>
      </c>
    </row>
    <row r="661" spans="1:4">
      <c r="A661" s="2" t="s">
        <v>248</v>
      </c>
      <c r="B661" s="2" t="s">
        <v>39</v>
      </c>
      <c r="C661" s="2" t="s">
        <v>39</v>
      </c>
      <c r="D661" s="2">
        <v>332</v>
      </c>
    </row>
    <row r="662" spans="1:4">
      <c r="A662" s="2" t="s">
        <v>969</v>
      </c>
      <c r="B662" s="2" t="s">
        <v>39</v>
      </c>
      <c r="C662" s="2" t="s">
        <v>39</v>
      </c>
      <c r="D662" s="2">
        <v>332</v>
      </c>
    </row>
    <row r="663" spans="1:4">
      <c r="A663" s="2" t="s">
        <v>271</v>
      </c>
      <c r="B663" s="2" t="s">
        <v>39</v>
      </c>
      <c r="C663" s="2" t="s">
        <v>39</v>
      </c>
      <c r="D663" s="2">
        <v>332</v>
      </c>
    </row>
    <row r="664" spans="1:4">
      <c r="A664" s="2" t="s">
        <v>1847</v>
      </c>
      <c r="B664" s="2" t="s">
        <v>39</v>
      </c>
      <c r="C664" s="2" t="s">
        <v>39</v>
      </c>
      <c r="D664" s="2">
        <v>332</v>
      </c>
    </row>
    <row r="665" spans="1:4">
      <c r="A665" s="2" t="s">
        <v>1598</v>
      </c>
      <c r="B665" s="2" t="s">
        <v>39</v>
      </c>
      <c r="C665" s="2" t="s">
        <v>39</v>
      </c>
      <c r="D665" s="2">
        <v>331</v>
      </c>
    </row>
    <row r="666" spans="1:4">
      <c r="A666" s="2" t="s">
        <v>934</v>
      </c>
      <c r="B666" s="2" t="s">
        <v>39</v>
      </c>
      <c r="C666" s="2" t="s">
        <v>39</v>
      </c>
      <c r="D666" s="2">
        <v>331</v>
      </c>
    </row>
    <row r="667" spans="1:4">
      <c r="A667" s="2" t="s">
        <v>254</v>
      </c>
      <c r="B667" s="2" t="s">
        <v>39</v>
      </c>
      <c r="C667" s="2" t="s">
        <v>39</v>
      </c>
      <c r="D667" s="2">
        <v>330</v>
      </c>
    </row>
    <row r="668" spans="1:4">
      <c r="A668" s="2" t="s">
        <v>1615</v>
      </c>
      <c r="B668" s="2" t="s">
        <v>39</v>
      </c>
      <c r="C668" s="2" t="s">
        <v>39</v>
      </c>
      <c r="D668" s="2">
        <v>330</v>
      </c>
    </row>
    <row r="669" spans="1:4">
      <c r="A669" s="2" t="s">
        <v>1607</v>
      </c>
      <c r="B669" s="2" t="s">
        <v>39</v>
      </c>
      <c r="C669" s="2" t="s">
        <v>39</v>
      </c>
      <c r="D669" s="2">
        <v>328</v>
      </c>
    </row>
    <row r="670" spans="1:4">
      <c r="A670" s="2" t="s">
        <v>4538</v>
      </c>
      <c r="B670" s="2" t="s">
        <v>39</v>
      </c>
      <c r="C670" s="2" t="s">
        <v>39</v>
      </c>
      <c r="D670" s="2">
        <v>328</v>
      </c>
    </row>
    <row r="671" spans="1:4">
      <c r="A671" s="2" t="s">
        <v>3876</v>
      </c>
      <c r="B671" s="2" t="s">
        <v>39</v>
      </c>
      <c r="C671" s="2" t="s">
        <v>39</v>
      </c>
      <c r="D671" s="2">
        <v>327</v>
      </c>
    </row>
    <row r="672" spans="1:4">
      <c r="A672" s="2" t="s">
        <v>2408</v>
      </c>
      <c r="B672" s="2" t="s">
        <v>39</v>
      </c>
      <c r="C672" s="2" t="s">
        <v>39</v>
      </c>
      <c r="D672" s="2">
        <v>327</v>
      </c>
    </row>
    <row r="673" spans="1:4">
      <c r="A673" s="2" t="s">
        <v>1037</v>
      </c>
      <c r="B673" s="2" t="s">
        <v>39</v>
      </c>
      <c r="C673" s="2" t="s">
        <v>39</v>
      </c>
      <c r="D673" s="2">
        <v>326</v>
      </c>
    </row>
    <row r="674" spans="1:4">
      <c r="A674" s="2" t="s">
        <v>4570</v>
      </c>
      <c r="B674" s="2" t="s">
        <v>39</v>
      </c>
      <c r="C674" s="2" t="s">
        <v>39</v>
      </c>
      <c r="D674" s="2">
        <v>326</v>
      </c>
    </row>
    <row r="675" spans="1:4">
      <c r="A675" s="2" t="s">
        <v>1946</v>
      </c>
      <c r="B675" s="2" t="s">
        <v>39</v>
      </c>
      <c r="C675" s="2" t="s">
        <v>39</v>
      </c>
      <c r="D675" s="2">
        <v>326</v>
      </c>
    </row>
    <row r="676" spans="1:4">
      <c r="A676" s="2" t="s">
        <v>2507</v>
      </c>
      <c r="B676" s="2" t="s">
        <v>39</v>
      </c>
      <c r="C676" s="2" t="s">
        <v>39</v>
      </c>
      <c r="D676" s="2">
        <v>325</v>
      </c>
    </row>
    <row r="677" spans="1:4">
      <c r="A677" s="2" t="s">
        <v>1936</v>
      </c>
      <c r="B677" s="2" t="s">
        <v>39</v>
      </c>
      <c r="C677" s="2" t="s">
        <v>39</v>
      </c>
      <c r="D677" s="2">
        <v>325</v>
      </c>
    </row>
    <row r="678" spans="1:4">
      <c r="A678" s="2" t="s">
        <v>1895</v>
      </c>
      <c r="B678" s="2" t="s">
        <v>39</v>
      </c>
      <c r="C678" s="2" t="s">
        <v>39</v>
      </c>
      <c r="D678" s="2">
        <v>324</v>
      </c>
    </row>
    <row r="679" spans="1:4">
      <c r="A679" s="2" t="s">
        <v>982</v>
      </c>
      <c r="B679" s="2" t="s">
        <v>39</v>
      </c>
      <c r="C679" s="2" t="s">
        <v>39</v>
      </c>
      <c r="D679" s="2">
        <v>324</v>
      </c>
    </row>
    <row r="680" spans="1:4">
      <c r="A680" s="2" t="s">
        <v>290</v>
      </c>
      <c r="B680" s="2" t="s">
        <v>39</v>
      </c>
      <c r="C680" s="2" t="s">
        <v>39</v>
      </c>
      <c r="D680" s="2">
        <v>323</v>
      </c>
    </row>
    <row r="681" spans="1:4">
      <c r="A681" s="2" t="s">
        <v>3880</v>
      </c>
      <c r="B681" s="2" t="s">
        <v>39</v>
      </c>
      <c r="C681" s="2" t="s">
        <v>39</v>
      </c>
      <c r="D681" s="2">
        <v>323</v>
      </c>
    </row>
    <row r="682" spans="1:4">
      <c r="A682" s="2" t="s">
        <v>1889</v>
      </c>
      <c r="B682" s="2" t="s">
        <v>39</v>
      </c>
      <c r="C682" s="2" t="s">
        <v>39</v>
      </c>
      <c r="D682" s="2">
        <v>323</v>
      </c>
    </row>
    <row r="683" spans="1:4">
      <c r="A683" s="2" t="s">
        <v>134</v>
      </c>
      <c r="B683" s="2" t="s">
        <v>39</v>
      </c>
      <c r="C683" s="2" t="s">
        <v>39</v>
      </c>
      <c r="D683" s="2">
        <v>323</v>
      </c>
    </row>
    <row r="684" spans="1:4">
      <c r="A684" s="2" t="s">
        <v>1855</v>
      </c>
      <c r="B684" s="2" t="s">
        <v>39</v>
      </c>
      <c r="C684" s="2" t="s">
        <v>39</v>
      </c>
      <c r="D684" s="2">
        <v>323</v>
      </c>
    </row>
    <row r="685" spans="1:4">
      <c r="A685" s="2" t="s">
        <v>136</v>
      </c>
      <c r="B685" s="2" t="s">
        <v>39</v>
      </c>
      <c r="C685" s="2" t="s">
        <v>39</v>
      </c>
      <c r="D685" s="2">
        <v>322</v>
      </c>
    </row>
    <row r="686" spans="1:4">
      <c r="A686" s="2" t="s">
        <v>986</v>
      </c>
      <c r="B686" s="2" t="s">
        <v>39</v>
      </c>
      <c r="C686" s="2" t="s">
        <v>39</v>
      </c>
      <c r="D686" s="2">
        <v>322</v>
      </c>
    </row>
    <row r="687" spans="1:4">
      <c r="A687" s="2" t="s">
        <v>2441</v>
      </c>
      <c r="B687" s="2" t="s">
        <v>39</v>
      </c>
      <c r="C687" s="2" t="s">
        <v>39</v>
      </c>
      <c r="D687" s="2">
        <v>322</v>
      </c>
    </row>
    <row r="688" spans="1:4">
      <c r="A688" s="2" t="s">
        <v>3814</v>
      </c>
      <c r="B688" s="2" t="s">
        <v>39</v>
      </c>
      <c r="C688" s="2" t="s">
        <v>39</v>
      </c>
      <c r="D688" s="2">
        <v>322</v>
      </c>
    </row>
    <row r="689" spans="1:4">
      <c r="A689" s="2" t="s">
        <v>967</v>
      </c>
      <c r="B689" s="2" t="s">
        <v>39</v>
      </c>
      <c r="C689" s="2" t="s">
        <v>39</v>
      </c>
      <c r="D689" s="2">
        <v>321</v>
      </c>
    </row>
    <row r="690" spans="1:4">
      <c r="A690" s="2" t="s">
        <v>2477</v>
      </c>
      <c r="B690" s="2" t="s">
        <v>39</v>
      </c>
      <c r="C690" s="2" t="s">
        <v>39</v>
      </c>
      <c r="D690" s="2">
        <v>321</v>
      </c>
    </row>
    <row r="691" spans="1:4">
      <c r="A691" s="2" t="s">
        <v>3882</v>
      </c>
      <c r="B691" s="2" t="s">
        <v>39</v>
      </c>
      <c r="C691" s="2" t="s">
        <v>39</v>
      </c>
      <c r="D691" s="2">
        <v>321</v>
      </c>
    </row>
    <row r="692" spans="1:4">
      <c r="A692" s="2" t="s">
        <v>2451</v>
      </c>
      <c r="B692" s="2" t="s">
        <v>39</v>
      </c>
      <c r="C692" s="2" t="s">
        <v>39</v>
      </c>
      <c r="D692" s="2">
        <v>320</v>
      </c>
    </row>
    <row r="693" spans="1:4">
      <c r="A693" s="2" t="s">
        <v>998</v>
      </c>
      <c r="B693" s="2" t="s">
        <v>39</v>
      </c>
      <c r="C693" s="2" t="s">
        <v>39</v>
      </c>
      <c r="D693" s="2">
        <v>320</v>
      </c>
    </row>
    <row r="694" spans="1:4">
      <c r="A694" s="2" t="s">
        <v>76</v>
      </c>
      <c r="B694" s="2" t="s">
        <v>39</v>
      </c>
      <c r="C694" s="2" t="s">
        <v>39</v>
      </c>
      <c r="D694" s="2">
        <v>319</v>
      </c>
    </row>
    <row r="695" spans="1:4">
      <c r="A695" s="2" t="s">
        <v>937</v>
      </c>
      <c r="B695" s="2" t="s">
        <v>39</v>
      </c>
      <c r="C695" s="2" t="s">
        <v>39</v>
      </c>
      <c r="D695" s="2">
        <v>318</v>
      </c>
    </row>
    <row r="696" spans="1:4">
      <c r="A696" s="2" t="s">
        <v>176</v>
      </c>
      <c r="B696" s="2" t="s">
        <v>39</v>
      </c>
      <c r="C696" s="2" t="s">
        <v>39</v>
      </c>
      <c r="D696" s="2">
        <v>318</v>
      </c>
    </row>
    <row r="697" spans="1:4">
      <c r="A697" s="2" t="s">
        <v>4519</v>
      </c>
      <c r="B697" s="2" t="s">
        <v>39</v>
      </c>
      <c r="C697" s="2" t="s">
        <v>39</v>
      </c>
      <c r="D697" s="2">
        <v>318</v>
      </c>
    </row>
    <row r="698" spans="1:4">
      <c r="A698" s="2" t="s">
        <v>1027</v>
      </c>
      <c r="B698" s="2" t="s">
        <v>39</v>
      </c>
      <c r="C698" s="2" t="s">
        <v>39</v>
      </c>
      <c r="D698" s="2">
        <v>318</v>
      </c>
    </row>
    <row r="699" spans="1:4">
      <c r="A699" s="2" t="s">
        <v>4530</v>
      </c>
      <c r="B699" s="2" t="s">
        <v>39</v>
      </c>
      <c r="C699" s="2" t="s">
        <v>39</v>
      </c>
      <c r="D699" s="2">
        <v>317</v>
      </c>
    </row>
    <row r="700" spans="1:4">
      <c r="A700" s="2" t="s">
        <v>927</v>
      </c>
      <c r="B700" s="2" t="s">
        <v>39</v>
      </c>
      <c r="C700" s="2" t="s">
        <v>39</v>
      </c>
      <c r="D700" s="2">
        <v>317</v>
      </c>
    </row>
    <row r="701" spans="1:4">
      <c r="A701" s="2" t="s">
        <v>1926</v>
      </c>
      <c r="B701" s="2" t="s">
        <v>39</v>
      </c>
      <c r="C701" s="2" t="s">
        <v>39</v>
      </c>
      <c r="D701" s="2">
        <v>315</v>
      </c>
    </row>
    <row r="702" spans="1:4">
      <c r="A702" s="2" t="s">
        <v>1021</v>
      </c>
      <c r="B702" s="2" t="s">
        <v>39</v>
      </c>
      <c r="C702" s="2" t="s">
        <v>39</v>
      </c>
      <c r="D702" s="2">
        <v>314</v>
      </c>
    </row>
    <row r="703" spans="1:4">
      <c r="A703" s="2" t="s">
        <v>3408</v>
      </c>
      <c r="B703" s="2" t="s">
        <v>39</v>
      </c>
      <c r="C703" s="2" t="s">
        <v>39</v>
      </c>
      <c r="D703" s="2">
        <v>312</v>
      </c>
    </row>
    <row r="704" spans="1:4">
      <c r="A704" s="2" t="s">
        <v>181</v>
      </c>
      <c r="B704" s="2" t="s">
        <v>39</v>
      </c>
      <c r="C704" s="2" t="s">
        <v>39</v>
      </c>
      <c r="D704" s="2">
        <v>310</v>
      </c>
    </row>
    <row r="705" spans="1:4">
      <c r="A705" s="2" t="s">
        <v>2398</v>
      </c>
      <c r="B705" s="2" t="s">
        <v>39</v>
      </c>
      <c r="C705" s="2" t="s">
        <v>39</v>
      </c>
      <c r="D705" s="2">
        <v>310</v>
      </c>
    </row>
    <row r="706" spans="1:4">
      <c r="A706" s="2" t="s">
        <v>1045</v>
      </c>
      <c r="B706" s="2" t="s">
        <v>39</v>
      </c>
      <c r="C706" s="2" t="s">
        <v>39</v>
      </c>
      <c r="D706" s="2">
        <v>309</v>
      </c>
    </row>
    <row r="707" spans="1:4">
      <c r="A707" s="2" t="s">
        <v>2448</v>
      </c>
      <c r="B707" s="2" t="s">
        <v>39</v>
      </c>
      <c r="C707" s="2" t="s">
        <v>39</v>
      </c>
      <c r="D707" s="2">
        <v>308</v>
      </c>
    </row>
    <row r="708" spans="1:4">
      <c r="A708" s="2" t="s">
        <v>103</v>
      </c>
      <c r="B708" s="2" t="s">
        <v>39</v>
      </c>
      <c r="C708" s="2" t="s">
        <v>39</v>
      </c>
      <c r="D708" s="2">
        <v>307</v>
      </c>
    </row>
    <row r="709" spans="1:4">
      <c r="A709" s="2" t="s">
        <v>1063</v>
      </c>
      <c r="B709" s="2" t="s">
        <v>39</v>
      </c>
      <c r="C709" s="2" t="s">
        <v>39</v>
      </c>
      <c r="D709" s="2">
        <v>307</v>
      </c>
    </row>
    <row r="710" spans="1:4">
      <c r="A710" s="2" t="s">
        <v>1880</v>
      </c>
      <c r="B710" s="2" t="s">
        <v>39</v>
      </c>
      <c r="C710" s="2" t="s">
        <v>39</v>
      </c>
      <c r="D710" s="2">
        <v>306</v>
      </c>
    </row>
    <row r="711" spans="1:4">
      <c r="A711" s="2" t="s">
        <v>1874</v>
      </c>
      <c r="B711" s="2" t="s">
        <v>39</v>
      </c>
      <c r="C711" s="2" t="s">
        <v>39</v>
      </c>
      <c r="D711" s="2">
        <v>306</v>
      </c>
    </row>
    <row r="712" spans="1:4">
      <c r="A712" s="2" t="s">
        <v>121</v>
      </c>
      <c r="B712" s="2" t="s">
        <v>39</v>
      </c>
      <c r="C712" s="2" t="s">
        <v>39</v>
      </c>
      <c r="D712" s="2">
        <v>305</v>
      </c>
    </row>
    <row r="713" spans="1:4">
      <c r="A713" s="2" t="s">
        <v>227</v>
      </c>
      <c r="B713" s="2" t="s">
        <v>39</v>
      </c>
      <c r="C713" s="2" t="s">
        <v>39</v>
      </c>
      <c r="D713" s="2">
        <v>304</v>
      </c>
    </row>
    <row r="714" spans="1:4">
      <c r="A714" s="2" t="s">
        <v>4523</v>
      </c>
      <c r="B714" s="2" t="s">
        <v>39</v>
      </c>
      <c r="C714" s="2" t="s">
        <v>39</v>
      </c>
      <c r="D714" s="2">
        <v>304</v>
      </c>
    </row>
    <row r="715" spans="1:4">
      <c r="A715" s="2" t="s">
        <v>1084</v>
      </c>
      <c r="B715" s="2" t="s">
        <v>39</v>
      </c>
      <c r="C715" s="2" t="s">
        <v>39</v>
      </c>
      <c r="D715" s="2">
        <v>303</v>
      </c>
    </row>
    <row r="716" spans="1:4">
      <c r="A716" s="2" t="s">
        <v>4525</v>
      </c>
      <c r="B716" s="2" t="s">
        <v>39</v>
      </c>
      <c r="C716" s="2" t="s">
        <v>39</v>
      </c>
      <c r="D716" s="2">
        <v>302</v>
      </c>
    </row>
    <row r="717" spans="1:4">
      <c r="A717" s="2" t="s">
        <v>1067</v>
      </c>
      <c r="B717" s="2" t="s">
        <v>39</v>
      </c>
      <c r="C717" s="2" t="s">
        <v>39</v>
      </c>
      <c r="D717" s="2">
        <v>302</v>
      </c>
    </row>
    <row r="718" spans="1:4">
      <c r="A718" s="2" t="s">
        <v>1837</v>
      </c>
      <c r="B718" s="2" t="s">
        <v>39</v>
      </c>
      <c r="C718" s="2" t="s">
        <v>39</v>
      </c>
      <c r="D718" s="2">
        <v>301</v>
      </c>
    </row>
    <row r="719" spans="1:4">
      <c r="A719" s="2" t="s">
        <v>3433</v>
      </c>
      <c r="B719" s="2" t="s">
        <v>39</v>
      </c>
      <c r="C719" s="2" t="s">
        <v>39</v>
      </c>
      <c r="D719" s="2">
        <v>301</v>
      </c>
    </row>
    <row r="720" spans="1:4">
      <c r="A720" s="2" t="s">
        <v>3856</v>
      </c>
      <c r="B720" s="2" t="s">
        <v>39</v>
      </c>
      <c r="C720" s="2" t="s">
        <v>39</v>
      </c>
      <c r="D720" s="2">
        <v>300</v>
      </c>
    </row>
    <row r="721" spans="1:4">
      <c r="A721" s="2" t="s">
        <v>2455</v>
      </c>
      <c r="B721" s="2" t="s">
        <v>39</v>
      </c>
      <c r="C721" s="2" t="s">
        <v>39</v>
      </c>
      <c r="D721" s="2">
        <v>299</v>
      </c>
    </row>
    <row r="722" spans="1:4">
      <c r="A722" s="2" t="s">
        <v>1951</v>
      </c>
      <c r="B722" s="2" t="s">
        <v>39</v>
      </c>
      <c r="C722" s="2" t="s">
        <v>39</v>
      </c>
      <c r="D722" s="2">
        <v>298</v>
      </c>
    </row>
    <row r="723" spans="1:4">
      <c r="A723" s="2" t="s">
        <v>1092</v>
      </c>
      <c r="B723" s="2" t="s">
        <v>39</v>
      </c>
      <c r="C723" s="2" t="s">
        <v>39</v>
      </c>
      <c r="D723" s="2">
        <v>297</v>
      </c>
    </row>
    <row r="724" spans="1:4">
      <c r="A724" s="2" t="s">
        <v>1104</v>
      </c>
      <c r="B724" s="2" t="s">
        <v>39</v>
      </c>
      <c r="C724" s="2" t="s">
        <v>39</v>
      </c>
      <c r="D724" s="2">
        <v>297</v>
      </c>
    </row>
    <row r="725" spans="1:4">
      <c r="A725" s="2" t="s">
        <v>2999</v>
      </c>
      <c r="B725" s="2" t="s">
        <v>39</v>
      </c>
      <c r="C725" s="2" t="s">
        <v>39</v>
      </c>
      <c r="D725" s="2">
        <v>296</v>
      </c>
    </row>
    <row r="726" spans="1:4">
      <c r="A726" s="2" t="s">
        <v>3007</v>
      </c>
      <c r="B726" s="2" t="s">
        <v>39</v>
      </c>
      <c r="C726" s="2" t="s">
        <v>39</v>
      </c>
      <c r="D726" s="2">
        <v>296</v>
      </c>
    </row>
    <row r="727" spans="1:4">
      <c r="A727" s="2" t="s">
        <v>4237</v>
      </c>
      <c r="B727" s="2" t="s">
        <v>39</v>
      </c>
      <c r="C727" s="2" t="s">
        <v>39</v>
      </c>
      <c r="D727" s="2">
        <v>296</v>
      </c>
    </row>
    <row r="728" spans="1:4">
      <c r="A728" s="2" t="s">
        <v>2484</v>
      </c>
      <c r="B728" s="2" t="s">
        <v>39</v>
      </c>
      <c r="C728" s="2" t="s">
        <v>39</v>
      </c>
      <c r="D728" s="2">
        <v>294</v>
      </c>
    </row>
    <row r="729" spans="1:4">
      <c r="A729" s="2" t="s">
        <v>3438</v>
      </c>
      <c r="B729" s="2" t="s">
        <v>39</v>
      </c>
      <c r="C729" s="2" t="s">
        <v>39</v>
      </c>
      <c r="D729" s="2">
        <v>294</v>
      </c>
    </row>
    <row r="730" spans="1:4">
      <c r="A730" s="2" t="s">
        <v>237</v>
      </c>
      <c r="B730" s="2" t="s">
        <v>39</v>
      </c>
      <c r="C730" s="2" t="s">
        <v>39</v>
      </c>
      <c r="D730" s="2">
        <v>294</v>
      </c>
    </row>
    <row r="731" spans="1:4">
      <c r="A731" s="2" t="s">
        <v>3463</v>
      </c>
      <c r="B731" s="2" t="s">
        <v>39</v>
      </c>
      <c r="C731" s="2" t="s">
        <v>39</v>
      </c>
      <c r="D731" s="2">
        <v>293</v>
      </c>
    </row>
    <row r="732" spans="1:4">
      <c r="A732" s="2" t="s">
        <v>1094</v>
      </c>
      <c r="B732" s="2" t="s">
        <v>39</v>
      </c>
      <c r="C732" s="2" t="s">
        <v>39</v>
      </c>
      <c r="D732" s="2">
        <v>292</v>
      </c>
    </row>
    <row r="733" spans="1:4">
      <c r="A733" s="2" t="s">
        <v>1051</v>
      </c>
      <c r="B733" s="2" t="s">
        <v>39</v>
      </c>
      <c r="C733" s="2" t="s">
        <v>39</v>
      </c>
      <c r="D733" s="2">
        <v>292</v>
      </c>
    </row>
    <row r="734" spans="1:4">
      <c r="A734" s="2" t="s">
        <v>2415</v>
      </c>
      <c r="B734" s="2" t="s">
        <v>39</v>
      </c>
      <c r="C734" s="2" t="s">
        <v>39</v>
      </c>
      <c r="D734" s="2">
        <v>292</v>
      </c>
    </row>
    <row r="735" spans="1:4">
      <c r="A735" s="2" t="s">
        <v>1914</v>
      </c>
      <c r="B735" s="2" t="s">
        <v>39</v>
      </c>
      <c r="C735" s="2" t="s">
        <v>39</v>
      </c>
      <c r="D735" s="2">
        <v>291</v>
      </c>
    </row>
    <row r="736" spans="1:4">
      <c r="A736" s="2" t="s">
        <v>3852</v>
      </c>
      <c r="B736" s="2" t="s">
        <v>39</v>
      </c>
      <c r="C736" s="2" t="s">
        <v>39</v>
      </c>
      <c r="D736" s="2">
        <v>291</v>
      </c>
    </row>
    <row r="737" spans="1:4">
      <c r="A737" s="2" t="s">
        <v>4554</v>
      </c>
      <c r="B737" s="2" t="s">
        <v>39</v>
      </c>
      <c r="C737" s="2" t="s">
        <v>39</v>
      </c>
      <c r="D737" s="2">
        <v>291</v>
      </c>
    </row>
    <row r="738" spans="1:4">
      <c r="A738" s="2" t="s">
        <v>3832</v>
      </c>
      <c r="B738" s="2" t="s">
        <v>39</v>
      </c>
      <c r="C738" s="2" t="s">
        <v>39</v>
      </c>
      <c r="D738" s="2">
        <v>290</v>
      </c>
    </row>
    <row r="739" spans="1:4">
      <c r="A739" s="2" t="s">
        <v>288</v>
      </c>
      <c r="B739" s="2" t="s">
        <v>39</v>
      </c>
      <c r="C739" s="2" t="s">
        <v>39</v>
      </c>
      <c r="D739" s="2">
        <v>289</v>
      </c>
    </row>
    <row r="740" spans="1:4">
      <c r="A740" s="2" t="s">
        <v>3850</v>
      </c>
      <c r="B740" s="2" t="s">
        <v>39</v>
      </c>
      <c r="C740" s="2" t="s">
        <v>39</v>
      </c>
      <c r="D740" s="2">
        <v>289</v>
      </c>
    </row>
    <row r="741" spans="1:4">
      <c r="A741" s="2" t="s">
        <v>2470</v>
      </c>
      <c r="B741" s="2" t="s">
        <v>39</v>
      </c>
      <c r="C741" s="2" t="s">
        <v>39</v>
      </c>
      <c r="D741" s="2">
        <v>288</v>
      </c>
    </row>
    <row r="742" spans="1:4">
      <c r="A742" s="2" t="s">
        <v>2496</v>
      </c>
      <c r="B742" s="2" t="s">
        <v>39</v>
      </c>
      <c r="C742" s="2" t="s">
        <v>39</v>
      </c>
      <c r="D742" s="2">
        <v>288</v>
      </c>
    </row>
    <row r="743" spans="1:4">
      <c r="A743" s="2" t="s">
        <v>3473</v>
      </c>
      <c r="B743" s="2" t="s">
        <v>39</v>
      </c>
      <c r="C743" s="2" t="s">
        <v>39</v>
      </c>
      <c r="D743" s="2">
        <v>288</v>
      </c>
    </row>
    <row r="744" spans="1:4">
      <c r="A744" s="2" t="s">
        <v>2438</v>
      </c>
      <c r="B744" s="2" t="s">
        <v>39</v>
      </c>
      <c r="C744" s="2" t="s">
        <v>39</v>
      </c>
      <c r="D744" s="2">
        <v>287</v>
      </c>
    </row>
    <row r="745" spans="1:4">
      <c r="A745" s="2" t="s">
        <v>1863</v>
      </c>
      <c r="B745" s="2" t="s">
        <v>39</v>
      </c>
      <c r="C745" s="2" t="s">
        <v>39</v>
      </c>
      <c r="D745" s="2">
        <v>287</v>
      </c>
    </row>
    <row r="746" spans="1:4">
      <c r="A746" s="2" t="s">
        <v>1015</v>
      </c>
      <c r="B746" s="2" t="s">
        <v>39</v>
      </c>
      <c r="C746" s="2" t="s">
        <v>39</v>
      </c>
      <c r="D746" s="2">
        <v>286</v>
      </c>
    </row>
    <row r="747" spans="1:4">
      <c r="A747" s="2" t="s">
        <v>2429</v>
      </c>
      <c r="B747" s="2" t="s">
        <v>39</v>
      </c>
      <c r="C747" s="2" t="s">
        <v>39</v>
      </c>
      <c r="D747" s="2">
        <v>286</v>
      </c>
    </row>
    <row r="748" spans="1:4">
      <c r="A748" s="2" t="s">
        <v>1861</v>
      </c>
      <c r="B748" s="2" t="s">
        <v>39</v>
      </c>
      <c r="C748" s="2" t="s">
        <v>39</v>
      </c>
      <c r="D748" s="2">
        <v>285</v>
      </c>
    </row>
    <row r="749" spans="1:4">
      <c r="A749" s="2" t="s">
        <v>1611</v>
      </c>
      <c r="B749" s="2" t="s">
        <v>39</v>
      </c>
      <c r="C749" s="2" t="s">
        <v>39</v>
      </c>
      <c r="D749" s="2">
        <v>285</v>
      </c>
    </row>
    <row r="750" spans="1:4">
      <c r="A750" s="2" t="s">
        <v>85</v>
      </c>
      <c r="B750" s="2" t="s">
        <v>39</v>
      </c>
      <c r="C750" s="2" t="s">
        <v>39</v>
      </c>
      <c r="D750" s="2">
        <v>285</v>
      </c>
    </row>
    <row r="751" spans="1:4">
      <c r="A751" s="2" t="s">
        <v>948</v>
      </c>
      <c r="B751" s="2" t="s">
        <v>39</v>
      </c>
      <c r="C751" s="2" t="s">
        <v>39</v>
      </c>
      <c r="D751" s="2">
        <v>285</v>
      </c>
    </row>
    <row r="752" spans="1:4">
      <c r="A752" s="2" t="s">
        <v>1591</v>
      </c>
      <c r="B752" s="2" t="s">
        <v>39</v>
      </c>
      <c r="C752" s="2" t="s">
        <v>39</v>
      </c>
      <c r="D752" s="2">
        <v>284</v>
      </c>
    </row>
    <row r="753" spans="1:4">
      <c r="A753" s="2" t="s">
        <v>1953</v>
      </c>
      <c r="B753" s="2" t="s">
        <v>39</v>
      </c>
      <c r="C753" s="2" t="s">
        <v>39</v>
      </c>
      <c r="D753" s="2">
        <v>283</v>
      </c>
    </row>
    <row r="754" spans="1:4">
      <c r="A754" s="2" t="s">
        <v>116</v>
      </c>
      <c r="B754" s="2" t="s">
        <v>39</v>
      </c>
      <c r="C754" s="2" t="s">
        <v>39</v>
      </c>
      <c r="D754" s="2">
        <v>282</v>
      </c>
    </row>
    <row r="755" spans="1:4">
      <c r="A755" s="2" t="s">
        <v>2434</v>
      </c>
      <c r="B755" s="2" t="s">
        <v>39</v>
      </c>
      <c r="C755" s="2" t="s">
        <v>39</v>
      </c>
      <c r="D755" s="2">
        <v>281</v>
      </c>
    </row>
    <row r="756" spans="1:4">
      <c r="A756" s="2" t="s">
        <v>1898</v>
      </c>
      <c r="B756" s="2" t="s">
        <v>39</v>
      </c>
      <c r="C756" s="2" t="s">
        <v>39</v>
      </c>
      <c r="D756" s="2">
        <v>280</v>
      </c>
    </row>
    <row r="757" spans="1:4">
      <c r="A757" s="2" t="s">
        <v>235</v>
      </c>
      <c r="B757" s="2" t="s">
        <v>39</v>
      </c>
      <c r="C757" s="2" t="s">
        <v>39</v>
      </c>
      <c r="D757" s="2">
        <v>280</v>
      </c>
    </row>
    <row r="758" spans="1:4">
      <c r="A758" s="2" t="s">
        <v>3017</v>
      </c>
      <c r="B758" s="2" t="s">
        <v>39</v>
      </c>
      <c r="C758" s="2" t="s">
        <v>39</v>
      </c>
      <c r="D758" s="2">
        <v>280</v>
      </c>
    </row>
    <row r="759" spans="1:4">
      <c r="A759" s="2" t="s">
        <v>4235</v>
      </c>
      <c r="B759" s="2" t="s">
        <v>39</v>
      </c>
      <c r="C759" s="2" t="s">
        <v>39</v>
      </c>
      <c r="D759" s="2">
        <v>279</v>
      </c>
    </row>
    <row r="760" spans="1:4">
      <c r="A760" s="2" t="s">
        <v>1108</v>
      </c>
      <c r="B760" s="2" t="s">
        <v>39</v>
      </c>
      <c r="C760" s="2" t="s">
        <v>39</v>
      </c>
      <c r="D760" s="2">
        <v>279</v>
      </c>
    </row>
    <row r="761" spans="1:4">
      <c r="A761" s="2" t="s">
        <v>3830</v>
      </c>
      <c r="B761" s="2" t="s">
        <v>39</v>
      </c>
      <c r="C761" s="2" t="s">
        <v>39</v>
      </c>
      <c r="D761" s="2">
        <v>278</v>
      </c>
    </row>
    <row r="762" spans="1:4">
      <c r="A762" s="2" t="s">
        <v>1019</v>
      </c>
      <c r="B762" s="2" t="s">
        <v>39</v>
      </c>
      <c r="C762" s="2" t="s">
        <v>39</v>
      </c>
      <c r="D762" s="2">
        <v>277</v>
      </c>
    </row>
    <row r="763" spans="1:4">
      <c r="A763" s="2" t="s">
        <v>1078</v>
      </c>
      <c r="B763" s="2" t="s">
        <v>39</v>
      </c>
      <c r="C763" s="2" t="s">
        <v>39</v>
      </c>
      <c r="D763" s="2">
        <v>277</v>
      </c>
    </row>
    <row r="764" spans="1:4">
      <c r="A764" s="2" t="s">
        <v>141</v>
      </c>
      <c r="B764" s="2" t="s">
        <v>39</v>
      </c>
      <c r="C764" s="2" t="s">
        <v>39</v>
      </c>
      <c r="D764" s="2">
        <v>277</v>
      </c>
    </row>
    <row r="765" spans="1:4">
      <c r="A765" s="2" t="s">
        <v>258</v>
      </c>
      <c r="B765" s="2" t="s">
        <v>39</v>
      </c>
      <c r="C765" s="2" t="s">
        <v>39</v>
      </c>
      <c r="D765" s="2">
        <v>277</v>
      </c>
    </row>
    <row r="766" spans="1:4">
      <c r="A766" s="2" t="s">
        <v>174</v>
      </c>
      <c r="B766" s="2" t="s">
        <v>39</v>
      </c>
      <c r="C766" s="2" t="s">
        <v>39</v>
      </c>
      <c r="D766" s="2">
        <v>276</v>
      </c>
    </row>
    <row r="767" spans="1:4">
      <c r="A767" s="2" t="s">
        <v>1904</v>
      </c>
      <c r="B767" s="2" t="s">
        <v>39</v>
      </c>
      <c r="C767" s="2" t="s">
        <v>39</v>
      </c>
      <c r="D767" s="2">
        <v>274</v>
      </c>
    </row>
    <row r="768" spans="1:4">
      <c r="A768" s="2" t="s">
        <v>1039</v>
      </c>
      <c r="B768" s="2" t="s">
        <v>39</v>
      </c>
      <c r="C768" s="2" t="s">
        <v>39</v>
      </c>
      <c r="D768" s="2">
        <v>273</v>
      </c>
    </row>
    <row r="769" spans="1:4">
      <c r="A769" s="2" t="s">
        <v>269</v>
      </c>
      <c r="B769" s="2" t="s">
        <v>39</v>
      </c>
      <c r="C769" s="2" t="s">
        <v>39</v>
      </c>
      <c r="D769" s="2">
        <v>273</v>
      </c>
    </row>
    <row r="770" spans="1:4">
      <c r="A770" s="2" t="s">
        <v>1055</v>
      </c>
      <c r="B770" s="2" t="s">
        <v>39</v>
      </c>
      <c r="C770" s="2" t="s">
        <v>39</v>
      </c>
      <c r="D770" s="2">
        <v>272</v>
      </c>
    </row>
    <row r="771" spans="1:4">
      <c r="A771" s="2" t="s">
        <v>4485</v>
      </c>
      <c r="B771" s="2" t="s">
        <v>39</v>
      </c>
      <c r="C771" s="2" t="s">
        <v>39</v>
      </c>
      <c r="D771" s="2">
        <v>272</v>
      </c>
    </row>
    <row r="772" spans="1:4">
      <c r="A772" s="2" t="s">
        <v>2515</v>
      </c>
      <c r="B772" s="2" t="s">
        <v>39</v>
      </c>
      <c r="C772" s="2" t="s">
        <v>39</v>
      </c>
      <c r="D772" s="2">
        <v>270</v>
      </c>
    </row>
    <row r="773" spans="1:4">
      <c r="A773" s="2" t="s">
        <v>3451</v>
      </c>
      <c r="B773" s="2" t="s">
        <v>39</v>
      </c>
      <c r="C773" s="2" t="s">
        <v>39</v>
      </c>
      <c r="D773" s="2">
        <v>270</v>
      </c>
    </row>
    <row r="774" spans="1:4">
      <c r="A774" s="2" t="s">
        <v>2511</v>
      </c>
      <c r="B774" s="2" t="s">
        <v>39</v>
      </c>
      <c r="C774" s="2" t="s">
        <v>39</v>
      </c>
      <c r="D774" s="2">
        <v>269</v>
      </c>
    </row>
    <row r="775" spans="1:4">
      <c r="A775" s="2" t="s">
        <v>2978</v>
      </c>
      <c r="B775" s="2" t="s">
        <v>39</v>
      </c>
      <c r="C775" s="2" t="s">
        <v>39</v>
      </c>
      <c r="D775" s="2">
        <v>269</v>
      </c>
    </row>
    <row r="776" spans="1:4">
      <c r="A776" s="2" t="s">
        <v>3793</v>
      </c>
      <c r="B776" s="2" t="s">
        <v>39</v>
      </c>
      <c r="C776" s="2" t="s">
        <v>39</v>
      </c>
      <c r="D776" s="2">
        <v>267</v>
      </c>
    </row>
    <row r="777" spans="1:4">
      <c r="A777" s="2" t="s">
        <v>3842</v>
      </c>
      <c r="B777" s="2" t="s">
        <v>39</v>
      </c>
      <c r="C777" s="2" t="s">
        <v>39</v>
      </c>
      <c r="D777" s="2">
        <v>266</v>
      </c>
    </row>
    <row r="778" spans="1:4">
      <c r="A778" s="2" t="s">
        <v>223</v>
      </c>
      <c r="B778" s="2" t="s">
        <v>39</v>
      </c>
      <c r="C778" s="2" t="s">
        <v>39</v>
      </c>
      <c r="D778" s="2">
        <v>266</v>
      </c>
    </row>
    <row r="779" spans="1:4">
      <c r="A779" s="2" t="s">
        <v>143</v>
      </c>
      <c r="B779" s="2" t="s">
        <v>39</v>
      </c>
      <c r="C779" s="2" t="s">
        <v>39</v>
      </c>
      <c r="D779" s="2">
        <v>265</v>
      </c>
    </row>
    <row r="780" spans="1:4">
      <c r="A780" s="2" t="s">
        <v>4229</v>
      </c>
      <c r="B780" s="2" t="s">
        <v>39</v>
      </c>
      <c r="C780" s="2" t="s">
        <v>39</v>
      </c>
      <c r="D780" s="2">
        <v>264</v>
      </c>
    </row>
    <row r="781" spans="1:4">
      <c r="A781" s="2" t="s">
        <v>231</v>
      </c>
      <c r="B781" s="2" t="s">
        <v>39</v>
      </c>
      <c r="C781" s="2" t="s">
        <v>39</v>
      </c>
      <c r="D781" s="2">
        <v>264</v>
      </c>
    </row>
    <row r="782" spans="1:4">
      <c r="A782" s="2" t="s">
        <v>994</v>
      </c>
      <c r="B782" s="2" t="s">
        <v>39</v>
      </c>
      <c r="C782" s="2" t="s">
        <v>39</v>
      </c>
      <c r="D782" s="2">
        <v>264</v>
      </c>
    </row>
    <row r="783" spans="1:4">
      <c r="A783" s="2" t="s">
        <v>1088</v>
      </c>
      <c r="B783" s="2" t="s">
        <v>39</v>
      </c>
      <c r="C783" s="2" t="s">
        <v>39</v>
      </c>
      <c r="D783" s="2">
        <v>263</v>
      </c>
    </row>
    <row r="784" spans="1:4">
      <c r="A784" s="2" t="s">
        <v>2983</v>
      </c>
      <c r="B784" s="2" t="s">
        <v>39</v>
      </c>
      <c r="C784" s="2" t="s">
        <v>39</v>
      </c>
      <c r="D784" s="2">
        <v>263</v>
      </c>
    </row>
    <row r="785" spans="1:4">
      <c r="A785" s="2" t="s">
        <v>1069</v>
      </c>
      <c r="B785" s="2" t="s">
        <v>39</v>
      </c>
      <c r="C785" s="2" t="s">
        <v>39</v>
      </c>
      <c r="D785" s="2">
        <v>259</v>
      </c>
    </row>
    <row r="786" spans="1:4">
      <c r="A786" s="2" t="s">
        <v>1959</v>
      </c>
      <c r="B786" s="2" t="s">
        <v>39</v>
      </c>
      <c r="C786" s="2" t="s">
        <v>39</v>
      </c>
      <c r="D786" s="2">
        <v>257</v>
      </c>
    </row>
    <row r="787" spans="1:4">
      <c r="A787" s="2" t="s">
        <v>4513</v>
      </c>
      <c r="B787" s="2" t="s">
        <v>39</v>
      </c>
      <c r="C787" s="2" t="s">
        <v>39</v>
      </c>
      <c r="D787" s="2">
        <v>256</v>
      </c>
    </row>
    <row r="788" spans="1:4">
      <c r="A788" s="2" t="s">
        <v>2475</v>
      </c>
      <c r="B788" s="2" t="s">
        <v>39</v>
      </c>
      <c r="C788" s="2" t="s">
        <v>39</v>
      </c>
      <c r="D788" s="2">
        <v>256</v>
      </c>
    </row>
    <row r="789" spans="1:4">
      <c r="A789" s="2" t="s">
        <v>4544</v>
      </c>
      <c r="B789" s="2" t="s">
        <v>39</v>
      </c>
      <c r="C789" s="2" t="s">
        <v>39</v>
      </c>
      <c r="D789" s="2">
        <v>255</v>
      </c>
    </row>
    <row r="790" spans="1:4">
      <c r="A790" s="2" t="s">
        <v>2517</v>
      </c>
      <c r="B790" s="2" t="s">
        <v>39</v>
      </c>
      <c r="C790" s="2" t="s">
        <v>39</v>
      </c>
      <c r="D790" s="2">
        <v>255</v>
      </c>
    </row>
    <row r="791" spans="1:4">
      <c r="A791" s="2" t="s">
        <v>3823</v>
      </c>
      <c r="B791" s="2" t="s">
        <v>39</v>
      </c>
      <c r="C791" s="2" t="s">
        <v>39</v>
      </c>
      <c r="D791" s="2">
        <v>254</v>
      </c>
    </row>
    <row r="792" spans="1:4">
      <c r="A792" s="2" t="s">
        <v>4492</v>
      </c>
      <c r="B792" s="2" t="s">
        <v>39</v>
      </c>
      <c r="C792" s="2" t="s">
        <v>39</v>
      </c>
      <c r="D792" s="2">
        <v>254</v>
      </c>
    </row>
    <row r="793" spans="1:4">
      <c r="A793" s="2" t="s">
        <v>217</v>
      </c>
      <c r="B793" s="2" t="s">
        <v>39</v>
      </c>
      <c r="C793" s="2" t="s">
        <v>39</v>
      </c>
      <c r="D793" s="2">
        <v>253</v>
      </c>
    </row>
    <row r="794" spans="1:4">
      <c r="A794" s="2" t="s">
        <v>1090</v>
      </c>
      <c r="B794" s="2" t="s">
        <v>39</v>
      </c>
      <c r="C794" s="2" t="s">
        <v>39</v>
      </c>
      <c r="D794" s="2">
        <v>253</v>
      </c>
    </row>
    <row r="795" spans="1:4">
      <c r="A795" s="2" t="s">
        <v>4566</v>
      </c>
      <c r="B795" s="2" t="s">
        <v>39</v>
      </c>
      <c r="C795" s="2" t="s">
        <v>39</v>
      </c>
      <c r="D795" s="2">
        <v>253</v>
      </c>
    </row>
    <row r="796" spans="1:4">
      <c r="A796" s="2" t="s">
        <v>4560</v>
      </c>
      <c r="B796" s="2" t="s">
        <v>39</v>
      </c>
      <c r="C796" s="2" t="s">
        <v>39</v>
      </c>
      <c r="D796" s="2">
        <v>252</v>
      </c>
    </row>
    <row r="797" spans="1:4">
      <c r="A797" s="2" t="s">
        <v>3453</v>
      </c>
      <c r="B797" s="2" t="s">
        <v>39</v>
      </c>
      <c r="C797" s="2" t="s">
        <v>39</v>
      </c>
      <c r="D797" s="2">
        <v>249</v>
      </c>
    </row>
    <row r="798" spans="1:4">
      <c r="A798" s="2" t="s">
        <v>1858</v>
      </c>
      <c r="B798" s="2" t="s">
        <v>39</v>
      </c>
      <c r="C798" s="2" t="s">
        <v>39</v>
      </c>
      <c r="D798" s="2">
        <v>249</v>
      </c>
    </row>
    <row r="799" spans="1:4">
      <c r="A799" s="2" t="s">
        <v>2964</v>
      </c>
      <c r="B799" s="2" t="s">
        <v>39</v>
      </c>
      <c r="C799" s="2" t="s">
        <v>39</v>
      </c>
      <c r="D799" s="2">
        <v>249</v>
      </c>
    </row>
    <row r="800" spans="1:4">
      <c r="A800" s="2" t="s">
        <v>4481</v>
      </c>
      <c r="B800" s="2" t="s">
        <v>39</v>
      </c>
      <c r="C800" s="2" t="s">
        <v>39</v>
      </c>
      <c r="D800" s="2">
        <v>248</v>
      </c>
    </row>
    <row r="801" spans="1:4">
      <c r="A801" s="2" t="s">
        <v>3890</v>
      </c>
      <c r="B801" s="2" t="s">
        <v>39</v>
      </c>
      <c r="C801" s="2" t="s">
        <v>39</v>
      </c>
      <c r="D801" s="2">
        <v>247</v>
      </c>
    </row>
    <row r="802" spans="1:4">
      <c r="A802" s="2" t="s">
        <v>2502</v>
      </c>
      <c r="B802" s="2" t="s">
        <v>39</v>
      </c>
      <c r="C802" s="2" t="s">
        <v>39</v>
      </c>
      <c r="D802" s="2">
        <v>246</v>
      </c>
    </row>
    <row r="803" spans="1:4">
      <c r="A803" s="2" t="s">
        <v>4506</v>
      </c>
      <c r="B803" s="2" t="s">
        <v>39</v>
      </c>
      <c r="C803" s="2" t="s">
        <v>39</v>
      </c>
      <c r="D803" s="2">
        <v>246</v>
      </c>
    </row>
    <row r="804" spans="1:4">
      <c r="A804" s="2" t="s">
        <v>963</v>
      </c>
      <c r="B804" s="2" t="s">
        <v>39</v>
      </c>
      <c r="C804" s="2" t="s">
        <v>39</v>
      </c>
      <c r="D804" s="2">
        <v>245</v>
      </c>
    </row>
    <row r="805" spans="1:4">
      <c r="A805" s="2" t="s">
        <v>1071</v>
      </c>
      <c r="B805" s="2" t="s">
        <v>39</v>
      </c>
      <c r="C805" s="2" t="s">
        <v>39</v>
      </c>
      <c r="D805" s="2">
        <v>245</v>
      </c>
    </row>
    <row r="806" spans="1:4">
      <c r="A806" s="2" t="s">
        <v>3884</v>
      </c>
      <c r="B806" s="2" t="s">
        <v>39</v>
      </c>
      <c r="C806" s="2" t="s">
        <v>39</v>
      </c>
      <c r="D806" s="2">
        <v>245</v>
      </c>
    </row>
    <row r="807" spans="1:4">
      <c r="A807" s="2" t="s">
        <v>1586</v>
      </c>
      <c r="B807" s="2" t="s">
        <v>39</v>
      </c>
      <c r="C807" s="2" t="s">
        <v>39</v>
      </c>
      <c r="D807" s="2">
        <v>244</v>
      </c>
    </row>
    <row r="808" spans="1:4">
      <c r="A808" s="2" t="s">
        <v>1080</v>
      </c>
      <c r="B808" s="2" t="s">
        <v>39</v>
      </c>
      <c r="C808" s="2" t="s">
        <v>39</v>
      </c>
      <c r="D808" s="2">
        <v>244</v>
      </c>
    </row>
    <row r="809" spans="1:4">
      <c r="A809" s="2" t="s">
        <v>3848</v>
      </c>
      <c r="B809" s="2" t="s">
        <v>39</v>
      </c>
      <c r="C809" s="2" t="s">
        <v>39</v>
      </c>
      <c r="D809" s="2">
        <v>244</v>
      </c>
    </row>
    <row r="810" spans="1:4">
      <c r="A810" s="2" t="s">
        <v>3812</v>
      </c>
      <c r="B810" s="2" t="s">
        <v>39</v>
      </c>
      <c r="C810" s="2" t="s">
        <v>39</v>
      </c>
      <c r="D810" s="2">
        <v>244</v>
      </c>
    </row>
    <row r="811" spans="1:4">
      <c r="A811" s="2" t="s">
        <v>4264</v>
      </c>
      <c r="B811" s="2" t="s">
        <v>39</v>
      </c>
      <c r="C811" s="2" t="s">
        <v>39</v>
      </c>
      <c r="D811" s="2">
        <v>241</v>
      </c>
    </row>
    <row r="812" spans="1:4">
      <c r="A812" s="2" t="s">
        <v>2973</v>
      </c>
      <c r="B812" s="2" t="s">
        <v>39</v>
      </c>
      <c r="C812" s="2" t="s">
        <v>39</v>
      </c>
      <c r="D812" s="2">
        <v>240</v>
      </c>
    </row>
    <row r="813" spans="1:4">
      <c r="A813" s="2" t="s">
        <v>3816</v>
      </c>
      <c r="B813" s="2" t="s">
        <v>39</v>
      </c>
      <c r="C813" s="2" t="s">
        <v>39</v>
      </c>
      <c r="D813" s="2">
        <v>239</v>
      </c>
    </row>
    <row r="814" spans="1:4">
      <c r="A814" s="2" t="s">
        <v>1581</v>
      </c>
      <c r="B814" s="2" t="s">
        <v>39</v>
      </c>
      <c r="C814" s="2" t="s">
        <v>39</v>
      </c>
      <c r="D814" s="2">
        <v>239</v>
      </c>
    </row>
    <row r="815" spans="1:4">
      <c r="A815" s="2" t="s">
        <v>252</v>
      </c>
      <c r="B815" s="2" t="s">
        <v>39</v>
      </c>
      <c r="C815" s="2" t="s">
        <v>39</v>
      </c>
      <c r="D815" s="2">
        <v>237</v>
      </c>
    </row>
    <row r="816" spans="1:4">
      <c r="A816" s="2" t="s">
        <v>2393</v>
      </c>
      <c r="B816" s="2" t="s">
        <v>39</v>
      </c>
      <c r="C816" s="2" t="s">
        <v>39</v>
      </c>
      <c r="D816" s="2">
        <v>237</v>
      </c>
    </row>
    <row r="817" spans="1:4">
      <c r="A817" s="2" t="s">
        <v>980</v>
      </c>
      <c r="B817" s="2" t="s">
        <v>39</v>
      </c>
      <c r="C817" s="2" t="s">
        <v>39</v>
      </c>
      <c r="D817" s="2">
        <v>236</v>
      </c>
    </row>
    <row r="818" spans="1:4">
      <c r="A818" s="2" t="s">
        <v>215</v>
      </c>
      <c r="B818" s="2" t="s">
        <v>39</v>
      </c>
      <c r="C818" s="2" t="s">
        <v>39</v>
      </c>
      <c r="D818" s="2">
        <v>236</v>
      </c>
    </row>
    <row r="819" spans="1:4">
      <c r="A819" s="2" t="s">
        <v>4521</v>
      </c>
      <c r="B819" s="2" t="s">
        <v>39</v>
      </c>
      <c r="C819" s="2" t="s">
        <v>39</v>
      </c>
      <c r="D819" s="2">
        <v>236</v>
      </c>
    </row>
    <row r="820" spans="1:4">
      <c r="A820" s="2" t="s">
        <v>58</v>
      </c>
      <c r="B820" s="2" t="s">
        <v>39</v>
      </c>
      <c r="C820" s="2" t="s">
        <v>39</v>
      </c>
      <c r="D820" s="2">
        <v>236</v>
      </c>
    </row>
    <row r="821" spans="1:4">
      <c r="A821" s="2" t="s">
        <v>4540</v>
      </c>
      <c r="B821" s="2" t="s">
        <v>39</v>
      </c>
      <c r="C821" s="2" t="s">
        <v>39</v>
      </c>
      <c r="D821" s="2">
        <v>235</v>
      </c>
    </row>
    <row r="822" spans="1:4">
      <c r="A822" s="2" t="s">
        <v>4252</v>
      </c>
      <c r="B822" s="2" t="s">
        <v>39</v>
      </c>
      <c r="C822" s="2" t="s">
        <v>39</v>
      </c>
      <c r="D822" s="2">
        <v>235</v>
      </c>
    </row>
    <row r="823" spans="1:4">
      <c r="A823" s="2" t="s">
        <v>2989</v>
      </c>
      <c r="B823" s="2" t="s">
        <v>39</v>
      </c>
      <c r="C823" s="2" t="s">
        <v>39</v>
      </c>
      <c r="D823" s="2">
        <v>234</v>
      </c>
    </row>
    <row r="824" spans="1:4">
      <c r="A824" s="2" t="s">
        <v>3435</v>
      </c>
      <c r="B824" s="2" t="s">
        <v>39</v>
      </c>
      <c r="C824" s="2" t="s">
        <v>39</v>
      </c>
      <c r="D824" s="2">
        <v>233</v>
      </c>
    </row>
    <row r="825" spans="1:4">
      <c r="A825" s="2" t="s">
        <v>164</v>
      </c>
      <c r="B825" s="2" t="s">
        <v>39</v>
      </c>
      <c r="C825" s="2" t="s">
        <v>39</v>
      </c>
      <c r="D825" s="2">
        <v>232</v>
      </c>
    </row>
    <row r="826" spans="1:4">
      <c r="A826" s="2" t="s">
        <v>3874</v>
      </c>
      <c r="B826" s="2" t="s">
        <v>39</v>
      </c>
      <c r="C826" s="2" t="s">
        <v>39</v>
      </c>
      <c r="D826" s="2">
        <v>232</v>
      </c>
    </row>
    <row r="827" spans="1:4">
      <c r="A827" s="2" t="s">
        <v>2970</v>
      </c>
      <c r="B827" s="2" t="s">
        <v>39</v>
      </c>
      <c r="C827" s="2" t="s">
        <v>39</v>
      </c>
      <c r="D827" s="2">
        <v>230</v>
      </c>
    </row>
    <row r="828" spans="1:4">
      <c r="A828" s="2" t="s">
        <v>3001</v>
      </c>
      <c r="B828" s="2" t="s">
        <v>39</v>
      </c>
      <c r="C828" s="2" t="s">
        <v>39</v>
      </c>
      <c r="D828" s="2">
        <v>230</v>
      </c>
    </row>
    <row r="829" spans="1:4">
      <c r="A829" s="2" t="s">
        <v>1025</v>
      </c>
      <c r="B829" s="2" t="s">
        <v>39</v>
      </c>
      <c r="C829" s="2" t="s">
        <v>39</v>
      </c>
      <c r="D829" s="2">
        <v>229</v>
      </c>
    </row>
    <row r="830" spans="1:4">
      <c r="A830" s="2" t="s">
        <v>3005</v>
      </c>
      <c r="B830" s="2" t="s">
        <v>39</v>
      </c>
      <c r="C830" s="2" t="s">
        <v>39</v>
      </c>
      <c r="D830" s="2">
        <v>229</v>
      </c>
    </row>
    <row r="831" spans="1:4">
      <c r="A831" s="2" t="s">
        <v>4260</v>
      </c>
      <c r="B831" s="2" t="s">
        <v>39</v>
      </c>
      <c r="C831" s="2" t="s">
        <v>39</v>
      </c>
      <c r="D831" s="2">
        <v>229</v>
      </c>
    </row>
    <row r="832" spans="1:4">
      <c r="A832" s="2" t="s">
        <v>2390</v>
      </c>
      <c r="B832" s="2" t="s">
        <v>39</v>
      </c>
      <c r="C832" s="2" t="s">
        <v>39</v>
      </c>
      <c r="D832" s="2">
        <v>228</v>
      </c>
    </row>
    <row r="833" spans="1:4">
      <c r="A833" s="2" t="s">
        <v>132</v>
      </c>
      <c r="B833" s="2" t="s">
        <v>39</v>
      </c>
      <c r="C833" s="2" t="s">
        <v>39</v>
      </c>
      <c r="D833" s="2">
        <v>227</v>
      </c>
    </row>
    <row r="834" spans="1:4">
      <c r="A834" s="2" t="s">
        <v>4258</v>
      </c>
      <c r="B834" s="2" t="s">
        <v>39</v>
      </c>
      <c r="C834" s="2" t="s">
        <v>39</v>
      </c>
      <c r="D834" s="2">
        <v>227</v>
      </c>
    </row>
    <row r="835" spans="1:4">
      <c r="A835" s="2" t="s">
        <v>1047</v>
      </c>
      <c r="B835" s="2" t="s">
        <v>39</v>
      </c>
      <c r="C835" s="2" t="s">
        <v>39</v>
      </c>
      <c r="D835" s="2">
        <v>224</v>
      </c>
    </row>
    <row r="836" spans="1:4">
      <c r="A836" s="2" t="s">
        <v>94</v>
      </c>
      <c r="B836" s="2" t="s">
        <v>39</v>
      </c>
      <c r="C836" s="2" t="s">
        <v>39</v>
      </c>
      <c r="D836" s="2">
        <v>222</v>
      </c>
    </row>
    <row r="837" spans="1:4">
      <c r="A837" s="2" t="s">
        <v>3469</v>
      </c>
      <c r="B837" s="2" t="s">
        <v>39</v>
      </c>
      <c r="C837" s="2" t="s">
        <v>39</v>
      </c>
      <c r="D837" s="2">
        <v>221</v>
      </c>
    </row>
    <row r="838" spans="1:4">
      <c r="A838" s="2" t="s">
        <v>1619</v>
      </c>
      <c r="B838" s="2" t="s">
        <v>39</v>
      </c>
      <c r="C838" s="2" t="s">
        <v>39</v>
      </c>
      <c r="D838" s="2">
        <v>220</v>
      </c>
    </row>
    <row r="839" spans="1:4">
      <c r="A839" s="2" t="s">
        <v>1605</v>
      </c>
      <c r="B839" s="2" t="s">
        <v>39</v>
      </c>
      <c r="C839" s="2" t="s">
        <v>39</v>
      </c>
      <c r="D839" s="2">
        <v>219</v>
      </c>
    </row>
    <row r="840" spans="1:4">
      <c r="A840" s="2" t="s">
        <v>3461</v>
      </c>
      <c r="B840" s="2" t="s">
        <v>39</v>
      </c>
      <c r="C840" s="2" t="s">
        <v>39</v>
      </c>
      <c r="D840" s="2">
        <v>219</v>
      </c>
    </row>
    <row r="841" spans="1:4">
      <c r="A841" s="2" t="s">
        <v>3416</v>
      </c>
      <c r="B841" s="2" t="s">
        <v>39</v>
      </c>
      <c r="C841" s="2" t="s">
        <v>39</v>
      </c>
      <c r="D841" s="2">
        <v>219</v>
      </c>
    </row>
    <row r="842" spans="1:4">
      <c r="A842" s="2" t="s">
        <v>4556</v>
      </c>
      <c r="B842" s="2" t="s">
        <v>39</v>
      </c>
      <c r="C842" s="2" t="s">
        <v>39</v>
      </c>
      <c r="D842" s="2">
        <v>215</v>
      </c>
    </row>
    <row r="843" spans="1:4">
      <c r="A843" s="2" t="s">
        <v>3868</v>
      </c>
      <c r="B843" s="2" t="s">
        <v>39</v>
      </c>
      <c r="C843" s="2" t="s">
        <v>39</v>
      </c>
      <c r="D843" s="2">
        <v>214</v>
      </c>
    </row>
    <row r="844" spans="1:4">
      <c r="A844" s="2" t="s">
        <v>225</v>
      </c>
      <c r="B844" s="2" t="s">
        <v>39</v>
      </c>
      <c r="C844" s="2" t="s">
        <v>39</v>
      </c>
      <c r="D844" s="2">
        <v>214</v>
      </c>
    </row>
    <row r="845" spans="1:4">
      <c r="A845" s="2" t="s">
        <v>975</v>
      </c>
      <c r="B845" s="2" t="s">
        <v>39</v>
      </c>
      <c r="C845" s="2" t="s">
        <v>39</v>
      </c>
      <c r="D845" s="2">
        <v>214</v>
      </c>
    </row>
    <row r="846" spans="1:4">
      <c r="A846" s="2" t="s">
        <v>961</v>
      </c>
      <c r="B846" s="2" t="s">
        <v>39</v>
      </c>
      <c r="C846" s="2" t="s">
        <v>39</v>
      </c>
      <c r="D846" s="2">
        <v>212</v>
      </c>
    </row>
    <row r="847" spans="1:4">
      <c r="A847" s="2" t="s">
        <v>1017</v>
      </c>
      <c r="B847" s="2" t="s">
        <v>39</v>
      </c>
      <c r="C847" s="2" t="s">
        <v>39</v>
      </c>
      <c r="D847" s="2">
        <v>211</v>
      </c>
    </row>
    <row r="848" spans="1:4">
      <c r="A848" s="2" t="s">
        <v>3886</v>
      </c>
      <c r="B848" s="2" t="s">
        <v>39</v>
      </c>
      <c r="C848" s="2" t="s">
        <v>39</v>
      </c>
      <c r="D848" s="2">
        <v>211</v>
      </c>
    </row>
    <row r="849" spans="1:4">
      <c r="A849" s="2" t="s">
        <v>1872</v>
      </c>
      <c r="B849" s="2" t="s">
        <v>39</v>
      </c>
      <c r="C849" s="2" t="s">
        <v>39</v>
      </c>
      <c r="D849" s="2">
        <v>210</v>
      </c>
    </row>
    <row r="850" spans="1:4">
      <c r="A850" s="2" t="s">
        <v>4508</v>
      </c>
      <c r="B850" s="2" t="s">
        <v>39</v>
      </c>
      <c r="C850" s="2" t="s">
        <v>39</v>
      </c>
      <c r="D850" s="2">
        <v>209</v>
      </c>
    </row>
    <row r="851" spans="1:4">
      <c r="A851" s="2" t="s">
        <v>3840</v>
      </c>
      <c r="B851" s="2" t="s">
        <v>39</v>
      </c>
      <c r="C851" s="2" t="s">
        <v>39</v>
      </c>
      <c r="D851" s="2">
        <v>209</v>
      </c>
    </row>
    <row r="852" spans="1:4">
      <c r="A852" s="2" t="s">
        <v>1885</v>
      </c>
      <c r="B852" s="2" t="s">
        <v>39</v>
      </c>
      <c r="C852" s="2" t="s">
        <v>39</v>
      </c>
      <c r="D852" s="2">
        <v>208</v>
      </c>
    </row>
    <row r="853" spans="1:4">
      <c r="A853" s="2" t="s">
        <v>1043</v>
      </c>
      <c r="B853" s="2" t="s">
        <v>39</v>
      </c>
      <c r="C853" s="2" t="s">
        <v>39</v>
      </c>
      <c r="D853" s="2">
        <v>208</v>
      </c>
    </row>
    <row r="854" spans="1:4">
      <c r="A854" s="2" t="s">
        <v>1617</v>
      </c>
      <c r="B854" s="2" t="s">
        <v>39</v>
      </c>
      <c r="C854" s="2" t="s">
        <v>39</v>
      </c>
      <c r="D854" s="2">
        <v>208</v>
      </c>
    </row>
    <row r="855" spans="1:4">
      <c r="A855" s="2" t="s">
        <v>145</v>
      </c>
      <c r="B855" s="2" t="s">
        <v>39</v>
      </c>
      <c r="C855" s="2" t="s">
        <v>39</v>
      </c>
      <c r="D855" s="2">
        <v>207</v>
      </c>
    </row>
    <row r="856" spans="1:4">
      <c r="A856" s="2" t="s">
        <v>3471</v>
      </c>
      <c r="B856" s="2" t="s">
        <v>39</v>
      </c>
      <c r="C856" s="2" t="s">
        <v>39</v>
      </c>
      <c r="D856" s="2">
        <v>206</v>
      </c>
    </row>
    <row r="857" spans="1:4">
      <c r="A857" s="2" t="s">
        <v>55</v>
      </c>
      <c r="B857" s="2" t="s">
        <v>39</v>
      </c>
      <c r="C857" s="2" t="s">
        <v>39</v>
      </c>
      <c r="D857" s="2">
        <v>204</v>
      </c>
    </row>
    <row r="858" spans="1:4">
      <c r="A858" s="2" t="s">
        <v>2413</v>
      </c>
      <c r="B858" s="2" t="s">
        <v>39</v>
      </c>
      <c r="C858" s="2" t="s">
        <v>39</v>
      </c>
      <c r="D858" s="2">
        <v>204</v>
      </c>
    </row>
    <row r="859" spans="1:4">
      <c r="A859" s="2" t="s">
        <v>4248</v>
      </c>
      <c r="B859" s="2" t="s">
        <v>39</v>
      </c>
      <c r="C859" s="2" t="s">
        <v>39</v>
      </c>
      <c r="D859" s="2">
        <v>203</v>
      </c>
    </row>
    <row r="860" spans="1:4">
      <c r="A860" s="2" t="s">
        <v>2995</v>
      </c>
      <c r="B860" s="2" t="s">
        <v>39</v>
      </c>
      <c r="C860" s="2" t="s">
        <v>39</v>
      </c>
      <c r="D860" s="2">
        <v>202</v>
      </c>
    </row>
    <row r="861" spans="1:4">
      <c r="A861" s="2" t="s">
        <v>3015</v>
      </c>
      <c r="B861" s="2" t="s">
        <v>39</v>
      </c>
      <c r="C861" s="2" t="s">
        <v>39</v>
      </c>
      <c r="D861" s="2">
        <v>200</v>
      </c>
    </row>
    <row r="862" spans="1:4">
      <c r="A862" s="2" t="s">
        <v>1948</v>
      </c>
      <c r="B862" s="2" t="s">
        <v>39</v>
      </c>
      <c r="C862" s="2" t="s">
        <v>39</v>
      </c>
      <c r="D862" s="2">
        <v>199</v>
      </c>
    </row>
    <row r="863" spans="1:4">
      <c r="A863" s="2" t="s">
        <v>4511</v>
      </c>
      <c r="B863" s="2" t="s">
        <v>39</v>
      </c>
      <c r="C863" s="2" t="s">
        <v>39</v>
      </c>
      <c r="D863" s="2">
        <v>199</v>
      </c>
    </row>
    <row r="864" spans="1:4">
      <c r="A864" s="2" t="s">
        <v>2498</v>
      </c>
      <c r="B864" s="2" t="s">
        <v>39</v>
      </c>
      <c r="C864" s="2" t="s">
        <v>39</v>
      </c>
      <c r="D864" s="2">
        <v>198</v>
      </c>
    </row>
    <row r="865" spans="1:4">
      <c r="A865" s="2" t="s">
        <v>244</v>
      </c>
      <c r="B865" s="2" t="s">
        <v>39</v>
      </c>
      <c r="C865" s="2" t="s">
        <v>39</v>
      </c>
      <c r="D865" s="2">
        <v>196</v>
      </c>
    </row>
    <row r="866" spans="1:4">
      <c r="A866" s="2" t="s">
        <v>2993</v>
      </c>
      <c r="B866" s="2" t="s">
        <v>39</v>
      </c>
      <c r="C866" s="2" t="s">
        <v>39</v>
      </c>
      <c r="D866" s="2">
        <v>195</v>
      </c>
    </row>
    <row r="867" spans="1:4">
      <c r="A867" s="2" t="s">
        <v>2384</v>
      </c>
      <c r="B867" s="2" t="s">
        <v>39</v>
      </c>
      <c r="C867" s="2" t="s">
        <v>39</v>
      </c>
      <c r="D867" s="2">
        <v>195</v>
      </c>
    </row>
    <row r="868" spans="1:4">
      <c r="A868" s="2" t="s">
        <v>1057</v>
      </c>
      <c r="B868" s="2" t="s">
        <v>39</v>
      </c>
      <c r="C868" s="2" t="s">
        <v>39</v>
      </c>
      <c r="D868" s="2">
        <v>195</v>
      </c>
    </row>
    <row r="869" spans="1:4">
      <c r="A869" s="2" t="s">
        <v>2418</v>
      </c>
      <c r="B869" s="2" t="s">
        <v>39</v>
      </c>
      <c r="C869" s="2" t="s">
        <v>39</v>
      </c>
      <c r="D869" s="2">
        <v>194</v>
      </c>
    </row>
    <row r="870" spans="1:4">
      <c r="A870" s="2" t="s">
        <v>3870</v>
      </c>
      <c r="B870" s="2" t="s">
        <v>39</v>
      </c>
      <c r="C870" s="2" t="s">
        <v>39</v>
      </c>
      <c r="D870" s="2">
        <v>193</v>
      </c>
    </row>
    <row r="871" spans="1:4">
      <c r="A871" s="2" t="s">
        <v>1086</v>
      </c>
      <c r="B871" s="2" t="s">
        <v>39</v>
      </c>
      <c r="C871" s="2" t="s">
        <v>39</v>
      </c>
      <c r="D871" s="2">
        <v>193</v>
      </c>
    </row>
    <row r="872" spans="1:4">
      <c r="A872" s="2" t="s">
        <v>1924</v>
      </c>
      <c r="B872" s="2" t="s">
        <v>39</v>
      </c>
      <c r="C872" s="2" t="s">
        <v>39</v>
      </c>
      <c r="D872" s="2">
        <v>193</v>
      </c>
    </row>
    <row r="873" spans="1:4">
      <c r="A873" s="2" t="s">
        <v>2406</v>
      </c>
      <c r="B873" s="2" t="s">
        <v>39</v>
      </c>
      <c r="C873" s="2" t="s">
        <v>39</v>
      </c>
      <c r="D873" s="2">
        <v>193</v>
      </c>
    </row>
    <row r="874" spans="1:4">
      <c r="A874" s="2" t="s">
        <v>1106</v>
      </c>
      <c r="B874" s="2" t="s">
        <v>39</v>
      </c>
      <c r="C874" s="2" t="s">
        <v>39</v>
      </c>
      <c r="D874" s="2">
        <v>189</v>
      </c>
    </row>
    <row r="875" spans="1:4">
      <c r="A875" s="2" t="s">
        <v>1006</v>
      </c>
      <c r="B875" s="2" t="s">
        <v>39</v>
      </c>
      <c r="C875" s="2" t="s">
        <v>39</v>
      </c>
      <c r="D875" s="2">
        <v>189</v>
      </c>
    </row>
    <row r="876" spans="1:4">
      <c r="A876" s="2" t="s">
        <v>4266</v>
      </c>
      <c r="B876" s="2" t="s">
        <v>39</v>
      </c>
      <c r="C876" s="2" t="s">
        <v>39</v>
      </c>
      <c r="D876" s="2">
        <v>187</v>
      </c>
    </row>
    <row r="877" spans="1:4">
      <c r="A877" s="2" t="s">
        <v>3878</v>
      </c>
      <c r="B877" s="2" t="s">
        <v>39</v>
      </c>
      <c r="C877" s="2" t="s">
        <v>39</v>
      </c>
      <c r="D877" s="2">
        <v>186</v>
      </c>
    </row>
    <row r="878" spans="1:4">
      <c r="A878" s="2" t="s">
        <v>1013</v>
      </c>
      <c r="B878" s="2" t="s">
        <v>39</v>
      </c>
      <c r="C878" s="2" t="s">
        <v>39</v>
      </c>
      <c r="D878" s="2">
        <v>185</v>
      </c>
    </row>
    <row r="879" spans="1:4">
      <c r="A879" s="2" t="s">
        <v>984</v>
      </c>
      <c r="B879" s="2" t="s">
        <v>39</v>
      </c>
      <c r="C879" s="2" t="s">
        <v>39</v>
      </c>
      <c r="D879" s="2">
        <v>185</v>
      </c>
    </row>
    <row r="880" spans="1:4">
      <c r="A880" s="2" t="s">
        <v>3872</v>
      </c>
      <c r="B880" s="2" t="s">
        <v>39</v>
      </c>
      <c r="C880" s="2" t="s">
        <v>39</v>
      </c>
      <c r="D880" s="2">
        <v>183</v>
      </c>
    </row>
    <row r="881" spans="1:4">
      <c r="A881" s="2" t="s">
        <v>2492</v>
      </c>
      <c r="B881" s="2" t="s">
        <v>39</v>
      </c>
      <c r="C881" s="2" t="s">
        <v>39</v>
      </c>
      <c r="D881" s="2">
        <v>182</v>
      </c>
    </row>
    <row r="882" spans="1:4">
      <c r="A882" s="2" t="s">
        <v>1031</v>
      </c>
      <c r="B882" s="2" t="s">
        <v>39</v>
      </c>
      <c r="C882" s="2" t="s">
        <v>39</v>
      </c>
      <c r="D882" s="2">
        <v>182</v>
      </c>
    </row>
    <row r="883" spans="1:4">
      <c r="A883" s="2" t="s">
        <v>3465</v>
      </c>
      <c r="B883" s="2" t="s">
        <v>39</v>
      </c>
      <c r="C883" s="2" t="s">
        <v>39</v>
      </c>
      <c r="D883" s="2">
        <v>181</v>
      </c>
    </row>
    <row r="884" spans="1:4">
      <c r="A884" s="2" t="s">
        <v>4532</v>
      </c>
      <c r="B884" s="2" t="s">
        <v>39</v>
      </c>
      <c r="C884" s="2" t="s">
        <v>39</v>
      </c>
      <c r="D884" s="2">
        <v>180</v>
      </c>
    </row>
    <row r="885" spans="1:4">
      <c r="A885" s="2" t="s">
        <v>3860</v>
      </c>
      <c r="B885" s="2" t="s">
        <v>39</v>
      </c>
      <c r="C885" s="2" t="s">
        <v>39</v>
      </c>
      <c r="D885" s="2">
        <v>180</v>
      </c>
    </row>
    <row r="886" spans="1:4">
      <c r="A886" s="2" t="s">
        <v>3421</v>
      </c>
      <c r="B886" s="2" t="s">
        <v>39</v>
      </c>
      <c r="C886" s="2" t="s">
        <v>39</v>
      </c>
      <c r="D886" s="2">
        <v>180</v>
      </c>
    </row>
    <row r="887" spans="1:4">
      <c r="A887" s="2" t="s">
        <v>3846</v>
      </c>
      <c r="B887" s="2" t="s">
        <v>39</v>
      </c>
      <c r="C887" s="2" t="s">
        <v>39</v>
      </c>
      <c r="D887" s="2">
        <v>178</v>
      </c>
    </row>
    <row r="888" spans="1:4">
      <c r="A888" s="2" t="s">
        <v>1834</v>
      </c>
      <c r="B888" s="2" t="s">
        <v>39</v>
      </c>
      <c r="C888" s="2" t="s">
        <v>39</v>
      </c>
      <c r="D888" s="2">
        <v>178</v>
      </c>
    </row>
    <row r="889" spans="1:4">
      <c r="A889" s="2" t="s">
        <v>1102</v>
      </c>
      <c r="B889" s="2" t="s">
        <v>39</v>
      </c>
      <c r="C889" s="2" t="s">
        <v>39</v>
      </c>
      <c r="D889" s="2">
        <v>176</v>
      </c>
    </row>
    <row r="890" spans="1:4">
      <c r="A890" s="2" t="s">
        <v>3801</v>
      </c>
      <c r="B890" s="2" t="s">
        <v>39</v>
      </c>
      <c r="C890" s="2" t="s">
        <v>39</v>
      </c>
      <c r="D890" s="2">
        <v>175</v>
      </c>
    </row>
    <row r="891" spans="1:4">
      <c r="A891" s="2" t="s">
        <v>1082</v>
      </c>
      <c r="B891" s="2" t="s">
        <v>39</v>
      </c>
      <c r="C891" s="2" t="s">
        <v>39</v>
      </c>
      <c r="D891" s="2">
        <v>175</v>
      </c>
    </row>
    <row r="892" spans="1:4">
      <c r="A892" s="2" t="s">
        <v>3457</v>
      </c>
      <c r="B892" s="2" t="s">
        <v>39</v>
      </c>
      <c r="C892" s="2" t="s">
        <v>39</v>
      </c>
      <c r="D892" s="2">
        <v>175</v>
      </c>
    </row>
    <row r="893" spans="1:4">
      <c r="A893" s="2" t="s">
        <v>956</v>
      </c>
      <c r="B893" s="2" t="s">
        <v>39</v>
      </c>
      <c r="C893" s="2" t="s">
        <v>39</v>
      </c>
      <c r="D893" s="2">
        <v>172</v>
      </c>
    </row>
    <row r="894" spans="1:4">
      <c r="A894" s="2" t="s">
        <v>954</v>
      </c>
      <c r="B894" s="2" t="s">
        <v>39</v>
      </c>
      <c r="C894" s="2" t="s">
        <v>39</v>
      </c>
      <c r="D894" s="2">
        <v>171</v>
      </c>
    </row>
    <row r="895" spans="1:4">
      <c r="A895" s="2" t="s">
        <v>2481</v>
      </c>
      <c r="B895" s="2" t="s">
        <v>39</v>
      </c>
      <c r="C895" s="2" t="s">
        <v>39</v>
      </c>
      <c r="D895" s="2">
        <v>170</v>
      </c>
    </row>
    <row r="896" spans="1:4">
      <c r="A896" s="2" t="s">
        <v>4574</v>
      </c>
      <c r="B896" s="2" t="s">
        <v>39</v>
      </c>
      <c r="C896" s="2" t="s">
        <v>39</v>
      </c>
      <c r="D896" s="2">
        <v>168</v>
      </c>
    </row>
    <row r="897" spans="1:4">
      <c r="A897" s="2" t="s">
        <v>3003</v>
      </c>
      <c r="B897" s="2" t="s">
        <v>39</v>
      </c>
      <c r="C897" s="2" t="s">
        <v>39</v>
      </c>
      <c r="D897" s="2">
        <v>167</v>
      </c>
    </row>
    <row r="898" spans="1:4">
      <c r="A898" s="2" t="s">
        <v>210</v>
      </c>
      <c r="B898" s="2" t="s">
        <v>39</v>
      </c>
      <c r="C898" s="2" t="s">
        <v>39</v>
      </c>
      <c r="D898" s="2">
        <v>167</v>
      </c>
    </row>
    <row r="899" spans="1:4">
      <c r="A899" s="2" t="s">
        <v>3858</v>
      </c>
      <c r="B899" s="2" t="s">
        <v>39</v>
      </c>
      <c r="C899" s="2" t="s">
        <v>39</v>
      </c>
      <c r="D899" s="2">
        <v>165</v>
      </c>
    </row>
    <row r="900" spans="1:4">
      <c r="A900" s="2" t="s">
        <v>2967</v>
      </c>
      <c r="B900" s="2" t="s">
        <v>39</v>
      </c>
      <c r="C900" s="2" t="s">
        <v>39</v>
      </c>
      <c r="D900" s="2">
        <v>164</v>
      </c>
    </row>
    <row r="901" spans="1:4">
      <c r="A901" s="2" t="s">
        <v>221</v>
      </c>
      <c r="B901" s="2" t="s">
        <v>39</v>
      </c>
      <c r="C901" s="2" t="s">
        <v>39</v>
      </c>
      <c r="D901" s="2">
        <v>162</v>
      </c>
    </row>
    <row r="902" spans="1:4">
      <c r="A902" s="2" t="s">
        <v>4568</v>
      </c>
      <c r="B902" s="2" t="s">
        <v>39</v>
      </c>
      <c r="C902" s="2" t="s">
        <v>39</v>
      </c>
      <c r="D902" s="2">
        <v>162</v>
      </c>
    </row>
    <row r="903" spans="1:4">
      <c r="A903" s="2" t="s">
        <v>3820</v>
      </c>
      <c r="B903" s="2" t="s">
        <v>39</v>
      </c>
      <c r="C903" s="2" t="s">
        <v>39</v>
      </c>
      <c r="D903" s="2">
        <v>161</v>
      </c>
    </row>
    <row r="904" spans="1:4">
      <c r="A904" s="2" t="s">
        <v>4534</v>
      </c>
      <c r="B904" s="2" t="s">
        <v>39</v>
      </c>
      <c r="C904" s="2" t="s">
        <v>39</v>
      </c>
      <c r="D904" s="2">
        <v>161</v>
      </c>
    </row>
    <row r="905" spans="1:4">
      <c r="A905" s="2" t="s">
        <v>2488</v>
      </c>
      <c r="B905" s="2" t="s">
        <v>39</v>
      </c>
      <c r="C905" s="2" t="s">
        <v>39</v>
      </c>
      <c r="D905" s="2">
        <v>161</v>
      </c>
    </row>
    <row r="906" spans="1:4">
      <c r="A906" s="2" t="s">
        <v>988</v>
      </c>
      <c r="B906" s="2" t="s">
        <v>39</v>
      </c>
      <c r="C906" s="2" t="s">
        <v>39</v>
      </c>
      <c r="D906" s="2">
        <v>160</v>
      </c>
    </row>
    <row r="907" spans="1:4">
      <c r="A907" s="2" t="s">
        <v>3426</v>
      </c>
      <c r="B907" s="2" t="s">
        <v>39</v>
      </c>
      <c r="C907" s="2" t="s">
        <v>39</v>
      </c>
      <c r="D907" s="2">
        <v>158</v>
      </c>
    </row>
    <row r="908" spans="1:4">
      <c r="A908" s="2" t="s">
        <v>2457</v>
      </c>
      <c r="B908" s="2" t="s">
        <v>39</v>
      </c>
      <c r="C908" s="2" t="s">
        <v>39</v>
      </c>
      <c r="D908" s="2">
        <v>157</v>
      </c>
    </row>
    <row r="909" spans="1:4">
      <c r="A909" s="2" t="s">
        <v>4262</v>
      </c>
      <c r="B909" s="2" t="s">
        <v>39</v>
      </c>
      <c r="C909" s="2" t="s">
        <v>39</v>
      </c>
      <c r="D909" s="2">
        <v>157</v>
      </c>
    </row>
    <row r="910" spans="1:4">
      <c r="A910" s="2" t="s">
        <v>4550</v>
      </c>
      <c r="B910" s="2" t="s">
        <v>39</v>
      </c>
      <c r="C910" s="2" t="s">
        <v>39</v>
      </c>
      <c r="D910" s="2">
        <v>156</v>
      </c>
    </row>
    <row r="911" spans="1:4">
      <c r="A911" s="2" t="s">
        <v>2401</v>
      </c>
      <c r="B911" s="2" t="s">
        <v>39</v>
      </c>
      <c r="C911" s="2" t="s">
        <v>39</v>
      </c>
      <c r="D911" s="2">
        <v>156</v>
      </c>
    </row>
    <row r="912" spans="1:4">
      <c r="A912" s="2" t="s">
        <v>2997</v>
      </c>
      <c r="B912" s="2" t="s">
        <v>39</v>
      </c>
      <c r="C912" s="2" t="s">
        <v>39</v>
      </c>
      <c r="D912" s="2">
        <v>153</v>
      </c>
    </row>
    <row r="913" spans="1:4">
      <c r="A913" s="2" t="s">
        <v>951</v>
      </c>
      <c r="B913" s="2" t="s">
        <v>39</v>
      </c>
      <c r="C913" s="2" t="s">
        <v>39</v>
      </c>
      <c r="D913" s="2">
        <v>151</v>
      </c>
    </row>
    <row r="914" spans="1:4">
      <c r="A914" s="2" t="s">
        <v>3442</v>
      </c>
      <c r="B914" s="2" t="s">
        <v>39</v>
      </c>
      <c r="C914" s="2" t="s">
        <v>39</v>
      </c>
      <c r="D914" s="2">
        <v>151</v>
      </c>
    </row>
    <row r="915" spans="1:4">
      <c r="A915" s="2" t="s">
        <v>1851</v>
      </c>
      <c r="B915" s="2" t="s">
        <v>39</v>
      </c>
      <c r="C915" s="2" t="s">
        <v>39</v>
      </c>
      <c r="D915" s="2">
        <v>151</v>
      </c>
    </row>
    <row r="916" spans="1:4">
      <c r="A916" s="2" t="s">
        <v>106</v>
      </c>
      <c r="B916" s="2" t="s">
        <v>39</v>
      </c>
      <c r="C916" s="2" t="s">
        <v>39</v>
      </c>
      <c r="D916" s="2">
        <v>149</v>
      </c>
    </row>
    <row r="917" spans="1:4">
      <c r="A917" s="2" t="s">
        <v>1893</v>
      </c>
      <c r="B917" s="2" t="s">
        <v>39</v>
      </c>
      <c r="C917" s="2" t="s">
        <v>39</v>
      </c>
      <c r="D917" s="2">
        <v>149</v>
      </c>
    </row>
    <row r="918" spans="1:4">
      <c r="A918" s="2" t="s">
        <v>3799</v>
      </c>
      <c r="B918" s="2" t="s">
        <v>39</v>
      </c>
      <c r="C918" s="2" t="s">
        <v>39</v>
      </c>
      <c r="D918" s="2">
        <v>147</v>
      </c>
    </row>
    <row r="919" spans="1:4">
      <c r="A919" s="2" t="s">
        <v>3444</v>
      </c>
      <c r="B919" s="2" t="s">
        <v>39</v>
      </c>
      <c r="C919" s="2" t="s">
        <v>39</v>
      </c>
      <c r="D919" s="2">
        <v>145</v>
      </c>
    </row>
    <row r="920" spans="1:4">
      <c r="A920" s="2" t="s">
        <v>197</v>
      </c>
      <c r="B920" s="2" t="s">
        <v>39</v>
      </c>
      <c r="C920" s="2" t="s">
        <v>39</v>
      </c>
      <c r="D920" s="2">
        <v>144</v>
      </c>
    </row>
    <row r="921" spans="1:4">
      <c r="A921" s="2" t="s">
        <v>212</v>
      </c>
      <c r="B921" s="2" t="s">
        <v>39</v>
      </c>
      <c r="C921" s="2" t="s">
        <v>39</v>
      </c>
      <c r="D921" s="2">
        <v>141</v>
      </c>
    </row>
    <row r="922" spans="1:4">
      <c r="A922" s="2" t="s">
        <v>1613</v>
      </c>
      <c r="B922" s="2" t="s">
        <v>39</v>
      </c>
      <c r="C922" s="2" t="s">
        <v>39</v>
      </c>
      <c r="D922" s="2">
        <v>140</v>
      </c>
    </row>
    <row r="923" spans="1:4">
      <c r="A923" s="2" t="s">
        <v>977</v>
      </c>
      <c r="B923" s="2" t="s">
        <v>39</v>
      </c>
      <c r="C923" s="2" t="s">
        <v>39</v>
      </c>
      <c r="D923" s="2">
        <v>137</v>
      </c>
    </row>
    <row r="924" spans="1:4">
      <c r="A924" s="2" t="s">
        <v>1110</v>
      </c>
      <c r="B924" s="2" t="s">
        <v>39</v>
      </c>
      <c r="C924" s="2" t="s">
        <v>39</v>
      </c>
      <c r="D924" s="2">
        <v>137</v>
      </c>
    </row>
    <row r="925" spans="1:4">
      <c r="A925" s="2" t="s">
        <v>208</v>
      </c>
      <c r="B925" s="2" t="s">
        <v>39</v>
      </c>
      <c r="C925" s="2" t="s">
        <v>39</v>
      </c>
      <c r="D925" s="2">
        <v>136</v>
      </c>
    </row>
    <row r="926" spans="1:4">
      <c r="A926" s="2" t="s">
        <v>1061</v>
      </c>
      <c r="B926" s="2" t="s">
        <v>39</v>
      </c>
      <c r="C926" s="2" t="s">
        <v>39</v>
      </c>
      <c r="D926" s="2">
        <v>135</v>
      </c>
    </row>
    <row r="927" spans="1:4">
      <c r="A927" s="2" t="s">
        <v>1033</v>
      </c>
      <c r="B927" s="2" t="s">
        <v>39</v>
      </c>
      <c r="C927" s="2" t="s">
        <v>39</v>
      </c>
      <c r="D927" s="2">
        <v>134</v>
      </c>
    </row>
    <row r="928" spans="1:4">
      <c r="A928" s="2" t="s">
        <v>4250</v>
      </c>
      <c r="B928" s="2" t="s">
        <v>39</v>
      </c>
      <c r="C928" s="2" t="s">
        <v>39</v>
      </c>
      <c r="D928" s="2">
        <v>131</v>
      </c>
    </row>
    <row r="929" spans="1:4">
      <c r="A929" s="2" t="s">
        <v>88</v>
      </c>
      <c r="B929" s="2" t="s">
        <v>39</v>
      </c>
      <c r="C929" s="2" t="s">
        <v>39</v>
      </c>
      <c r="D929" s="2">
        <v>130</v>
      </c>
    </row>
    <row r="930" spans="1:4">
      <c r="A930" s="2" t="s">
        <v>3009</v>
      </c>
      <c r="B930" s="2" t="s">
        <v>39</v>
      </c>
      <c r="C930" s="2" t="s">
        <v>39</v>
      </c>
      <c r="D930" s="2">
        <v>125</v>
      </c>
    </row>
    <row r="931" spans="1:4">
      <c r="A931" s="2" t="s">
        <v>2500</v>
      </c>
      <c r="B931" s="2" t="s">
        <v>39</v>
      </c>
      <c r="C931" s="2" t="s">
        <v>39</v>
      </c>
      <c r="D931" s="2">
        <v>124</v>
      </c>
    </row>
    <row r="932" spans="1:4">
      <c r="A932" s="2" t="s">
        <v>4241</v>
      </c>
      <c r="B932" s="2" t="s">
        <v>39</v>
      </c>
      <c r="C932" s="2" t="s">
        <v>39</v>
      </c>
      <c r="D932" s="2">
        <v>122</v>
      </c>
    </row>
    <row r="933" spans="1:4">
      <c r="A933" s="2" t="s">
        <v>3888</v>
      </c>
      <c r="B933" s="2" t="s">
        <v>39</v>
      </c>
      <c r="C933" s="2" t="s">
        <v>39</v>
      </c>
      <c r="D933" s="2">
        <v>119</v>
      </c>
    </row>
    <row r="934" spans="1:4">
      <c r="A934" s="2" t="s">
        <v>4232</v>
      </c>
      <c r="B934" s="2" t="s">
        <v>39</v>
      </c>
      <c r="C934" s="2" t="s">
        <v>39</v>
      </c>
      <c r="D934" s="2">
        <v>117</v>
      </c>
    </row>
    <row r="935" spans="1:4">
      <c r="A935" s="2" t="s">
        <v>3807</v>
      </c>
      <c r="B935" s="2" t="s">
        <v>39</v>
      </c>
      <c r="C935" s="2" t="s">
        <v>39</v>
      </c>
      <c r="D935" s="2">
        <v>114</v>
      </c>
    </row>
    <row r="936" spans="1:4">
      <c r="A936" s="2" t="s">
        <v>242</v>
      </c>
      <c r="B936" s="2" t="s">
        <v>39</v>
      </c>
      <c r="C936" s="2" t="s">
        <v>39</v>
      </c>
      <c r="D936" s="2">
        <v>111</v>
      </c>
    </row>
    <row r="937" spans="1:4">
      <c r="A937" s="2" t="s">
        <v>1595</v>
      </c>
      <c r="B937" s="2" t="s">
        <v>39</v>
      </c>
      <c r="C937" s="2" t="s">
        <v>39</v>
      </c>
      <c r="D937" s="2">
        <v>111</v>
      </c>
    </row>
    <row r="938" spans="1:4">
      <c r="A938" s="2" t="s">
        <v>1010</v>
      </c>
      <c r="B938" s="2" t="s">
        <v>39</v>
      </c>
      <c r="C938" s="2" t="s">
        <v>39</v>
      </c>
      <c r="D938" s="2">
        <v>110</v>
      </c>
    </row>
    <row r="939" spans="1:4">
      <c r="A939" s="2" t="s">
        <v>3866</v>
      </c>
      <c r="B939" s="2" t="s">
        <v>39</v>
      </c>
      <c r="C939" s="2" t="s">
        <v>39</v>
      </c>
      <c r="D939" s="2">
        <v>108</v>
      </c>
    </row>
    <row r="940" spans="1:4">
      <c r="A940" s="2" t="s">
        <v>4239</v>
      </c>
      <c r="B940" s="2" t="s">
        <v>39</v>
      </c>
      <c r="C940" s="2" t="s">
        <v>39</v>
      </c>
      <c r="D940" s="2">
        <v>108</v>
      </c>
    </row>
    <row r="941" spans="1:4">
      <c r="A941" s="2" t="s">
        <v>1891</v>
      </c>
      <c r="B941" s="2" t="s">
        <v>39</v>
      </c>
      <c r="C941" s="2" t="s">
        <v>39</v>
      </c>
      <c r="D941" s="2">
        <v>106</v>
      </c>
    </row>
    <row r="942" spans="1:4">
      <c r="A942" s="2" t="s">
        <v>4542</v>
      </c>
      <c r="B942" s="2" t="s">
        <v>39</v>
      </c>
      <c r="C942" s="2" t="s">
        <v>39</v>
      </c>
      <c r="D942" s="2">
        <v>102</v>
      </c>
    </row>
    <row r="943" spans="1:4">
      <c r="A943" s="2" t="s">
        <v>3011</v>
      </c>
      <c r="B943" s="2" t="s">
        <v>39</v>
      </c>
      <c r="C943" s="2" t="s">
        <v>39</v>
      </c>
      <c r="D943" s="2">
        <v>99</v>
      </c>
    </row>
    <row r="944" spans="1:4">
      <c r="A944" s="2" t="s">
        <v>958</v>
      </c>
      <c r="B944" s="2" t="s">
        <v>39</v>
      </c>
      <c r="C944" s="2" t="s">
        <v>39</v>
      </c>
      <c r="D944" s="2">
        <v>98</v>
      </c>
    </row>
    <row r="945" spans="1:4">
      <c r="A945" s="2" t="s">
        <v>4572</v>
      </c>
      <c r="B945" s="2" t="s">
        <v>39</v>
      </c>
      <c r="C945" s="2" t="s">
        <v>39</v>
      </c>
      <c r="D945" s="2">
        <v>98</v>
      </c>
    </row>
    <row r="946" spans="1:4">
      <c r="A946" s="2" t="s">
        <v>233</v>
      </c>
      <c r="B946" s="2" t="s">
        <v>39</v>
      </c>
      <c r="C946" s="2" t="s">
        <v>39</v>
      </c>
      <c r="D946" s="2">
        <v>97</v>
      </c>
    </row>
    <row r="947" spans="1:4">
      <c r="A947" s="2" t="s">
        <v>3818</v>
      </c>
      <c r="B947" s="2" t="s">
        <v>39</v>
      </c>
      <c r="C947" s="2" t="s">
        <v>39</v>
      </c>
      <c r="D947" s="2">
        <v>97</v>
      </c>
    </row>
    <row r="948" spans="1:4">
      <c r="A948" s="2" t="s">
        <v>1023</v>
      </c>
      <c r="B948" s="2" t="s">
        <v>39</v>
      </c>
      <c r="C948" s="2" t="s">
        <v>39</v>
      </c>
      <c r="D948" s="2">
        <v>94</v>
      </c>
    </row>
    <row r="949" spans="1:4">
      <c r="A949" s="2" t="s">
        <v>1602</v>
      </c>
      <c r="B949" s="2" t="s">
        <v>39</v>
      </c>
      <c r="C949" s="2" t="s">
        <v>39</v>
      </c>
      <c r="D949" s="2">
        <v>93</v>
      </c>
    </row>
    <row r="950" spans="1:4">
      <c r="A950" s="2" t="s">
        <v>1076</v>
      </c>
      <c r="B950" s="2" t="s">
        <v>39</v>
      </c>
      <c r="C950" s="2" t="s">
        <v>39</v>
      </c>
      <c r="D950" s="2">
        <v>90</v>
      </c>
    </row>
    <row r="951" spans="1:4">
      <c r="A951" s="2" t="s">
        <v>1940</v>
      </c>
      <c r="B951" s="2" t="s">
        <v>39</v>
      </c>
      <c r="C951" s="2" t="s">
        <v>39</v>
      </c>
      <c r="D951" s="2">
        <v>90</v>
      </c>
    </row>
    <row r="952" spans="1:4">
      <c r="A952" s="2" t="s">
        <v>1000</v>
      </c>
      <c r="B952" s="2" t="s">
        <v>39</v>
      </c>
      <c r="C952" s="2" t="s">
        <v>39</v>
      </c>
      <c r="D952" s="2">
        <v>89</v>
      </c>
    </row>
    <row r="953" spans="1:4">
      <c r="A953" s="2" t="s">
        <v>1942</v>
      </c>
      <c r="B953" s="2" t="s">
        <v>39</v>
      </c>
      <c r="C953" s="2" t="s">
        <v>39</v>
      </c>
      <c r="D953" s="2">
        <v>89</v>
      </c>
    </row>
    <row r="954" spans="1:4">
      <c r="A954" s="2" t="s">
        <v>2976</v>
      </c>
      <c r="B954" s="2" t="s">
        <v>39</v>
      </c>
      <c r="C954" s="2" t="s">
        <v>39</v>
      </c>
      <c r="D954" s="2">
        <v>84</v>
      </c>
    </row>
    <row r="955" spans="1:4">
      <c r="A955" s="2" t="s">
        <v>4552</v>
      </c>
      <c r="B955" s="2" t="s">
        <v>39</v>
      </c>
      <c r="C955" s="2" t="s">
        <v>39</v>
      </c>
      <c r="D955" s="2">
        <v>84</v>
      </c>
    </row>
    <row r="956" spans="1:4">
      <c r="A956" s="2" t="s">
        <v>3825</v>
      </c>
      <c r="B956" s="2" t="s">
        <v>39</v>
      </c>
      <c r="C956" s="2" t="s">
        <v>39</v>
      </c>
      <c r="D956" s="2">
        <v>81</v>
      </c>
    </row>
    <row r="957" spans="1:4">
      <c r="A957" s="2" t="s">
        <v>3804</v>
      </c>
      <c r="B957" s="2" t="s">
        <v>39</v>
      </c>
      <c r="C957" s="2" t="s">
        <v>39</v>
      </c>
      <c r="D957" s="2">
        <v>81</v>
      </c>
    </row>
    <row r="958" spans="1:4">
      <c r="A958" s="2" t="s">
        <v>3862</v>
      </c>
      <c r="B958" s="2" t="s">
        <v>39</v>
      </c>
      <c r="C958" s="2" t="s">
        <v>39</v>
      </c>
      <c r="D958" s="2">
        <v>79</v>
      </c>
    </row>
    <row r="959" spans="1:4">
      <c r="A959" s="2" t="s">
        <v>4244</v>
      </c>
      <c r="B959" s="2" t="s">
        <v>39</v>
      </c>
      <c r="C959" s="2" t="s">
        <v>39</v>
      </c>
      <c r="D959" s="2">
        <v>79</v>
      </c>
    </row>
    <row r="960" spans="1:4">
      <c r="A960" s="2" t="s">
        <v>1041</v>
      </c>
      <c r="B960" s="2" t="s">
        <v>39</v>
      </c>
      <c r="C960" s="2" t="s">
        <v>39</v>
      </c>
      <c r="D960" s="2">
        <v>79</v>
      </c>
    </row>
    <row r="961" spans="1:4">
      <c r="A961" s="2" t="s">
        <v>1098</v>
      </c>
      <c r="B961" s="2" t="s">
        <v>39</v>
      </c>
      <c r="C961" s="2" t="s">
        <v>39</v>
      </c>
      <c r="D961" s="2">
        <v>77</v>
      </c>
    </row>
    <row r="962" spans="1:4">
      <c r="A962" s="2" t="s">
        <v>1100</v>
      </c>
      <c r="B962" s="2" t="s">
        <v>39</v>
      </c>
      <c r="C962" s="2" t="s">
        <v>39</v>
      </c>
      <c r="D962" s="2">
        <v>74</v>
      </c>
    </row>
    <row r="963" spans="1:4">
      <c r="A963" s="2" t="s">
        <v>2403</v>
      </c>
      <c r="B963" s="2" t="s">
        <v>39</v>
      </c>
      <c r="C963" s="2" t="s">
        <v>39</v>
      </c>
      <c r="D963" s="2">
        <v>74</v>
      </c>
    </row>
    <row r="964" spans="1:4">
      <c r="A964" s="2" t="s">
        <v>3446</v>
      </c>
      <c r="B964" s="2" t="s">
        <v>39</v>
      </c>
      <c r="C964" s="2" t="s">
        <v>39</v>
      </c>
      <c r="D964" s="2">
        <v>68</v>
      </c>
    </row>
    <row r="965" spans="1:4">
      <c r="A965" s="2" t="s">
        <v>4268</v>
      </c>
      <c r="B965" s="2" t="s">
        <v>39</v>
      </c>
      <c r="C965" s="2" t="s">
        <v>39</v>
      </c>
      <c r="D965" s="2">
        <v>68</v>
      </c>
    </row>
    <row r="966" spans="1:4">
      <c r="A966" s="2" t="s">
        <v>1957</v>
      </c>
      <c r="B966" s="2" t="s">
        <v>39</v>
      </c>
      <c r="C966" s="2" t="s">
        <v>39</v>
      </c>
      <c r="D966" s="2">
        <v>68</v>
      </c>
    </row>
    <row r="967" spans="1:4">
      <c r="A967" s="2" t="s">
        <v>3892</v>
      </c>
      <c r="B967" s="2" t="s">
        <v>39</v>
      </c>
      <c r="C967" s="2" t="s">
        <v>39</v>
      </c>
      <c r="D967" s="2">
        <v>68</v>
      </c>
    </row>
    <row r="968" spans="1:4">
      <c r="A968" s="2" t="s">
        <v>4576</v>
      </c>
      <c r="B968" s="2" t="s">
        <v>39</v>
      </c>
      <c r="C968" s="2" t="s">
        <v>39</v>
      </c>
      <c r="D968" s="2">
        <v>67</v>
      </c>
    </row>
    <row r="969" spans="1:4">
      <c r="A969" s="2" t="s">
        <v>4558</v>
      </c>
      <c r="B969" s="2" t="s">
        <v>39</v>
      </c>
      <c r="C969" s="2" t="s">
        <v>39</v>
      </c>
      <c r="D969" s="2">
        <v>66</v>
      </c>
    </row>
    <row r="970" spans="1:4">
      <c r="A970" s="2" t="s">
        <v>1955</v>
      </c>
      <c r="B970" s="2" t="s">
        <v>39</v>
      </c>
      <c r="C970" s="2" t="s">
        <v>39</v>
      </c>
      <c r="D970" s="2">
        <v>64</v>
      </c>
    </row>
    <row r="971" spans="1:4">
      <c r="A971" s="2" t="s">
        <v>4527</v>
      </c>
      <c r="B971" s="2" t="s">
        <v>39</v>
      </c>
      <c r="C971" s="2" t="s">
        <v>39</v>
      </c>
      <c r="D971" s="2">
        <v>63</v>
      </c>
    </row>
    <row r="972" spans="1:4">
      <c r="A972" s="2" t="s">
        <v>3854</v>
      </c>
      <c r="B972" s="2" t="s">
        <v>39</v>
      </c>
      <c r="C972" s="2" t="s">
        <v>39</v>
      </c>
      <c r="D972" s="2">
        <v>61</v>
      </c>
    </row>
    <row r="973" spans="1:4">
      <c r="A973" s="2" t="s">
        <v>3837</v>
      </c>
      <c r="B973" s="2" t="s">
        <v>39</v>
      </c>
      <c r="C973" s="2" t="s">
        <v>39</v>
      </c>
      <c r="D973" s="2">
        <v>58</v>
      </c>
    </row>
    <row r="974" spans="1:4">
      <c r="A974" s="2" t="s">
        <v>4226</v>
      </c>
      <c r="B974" s="2" t="s">
        <v>39</v>
      </c>
      <c r="C974" s="2" t="s">
        <v>39</v>
      </c>
      <c r="D974" s="2">
        <v>53</v>
      </c>
    </row>
    <row r="975" spans="1:4">
      <c r="A975" s="2" t="s">
        <v>67</v>
      </c>
      <c r="B975" s="2" t="s">
        <v>39</v>
      </c>
      <c r="C975" s="2" t="s">
        <v>39</v>
      </c>
      <c r="D975" s="2">
        <v>49</v>
      </c>
    </row>
    <row r="976" spans="1:4">
      <c r="A976" s="2" t="s">
        <v>1869</v>
      </c>
      <c r="B976" s="2" t="s">
        <v>39</v>
      </c>
      <c r="C976" s="2" t="s">
        <v>39</v>
      </c>
      <c r="D976" s="2">
        <v>47</v>
      </c>
    </row>
    <row r="977" spans="1:4">
      <c r="A977" s="2" t="s">
        <v>1065</v>
      </c>
      <c r="B977" s="2" t="s">
        <v>39</v>
      </c>
      <c r="C977" s="2" t="s">
        <v>39</v>
      </c>
      <c r="D977" s="2">
        <v>46</v>
      </c>
    </row>
    <row r="978" spans="1:4">
      <c r="A978" s="2" t="s">
        <v>4223</v>
      </c>
      <c r="B978" s="2" t="s">
        <v>39</v>
      </c>
      <c r="C978" s="2" t="s">
        <v>39</v>
      </c>
      <c r="D978" s="2">
        <v>42</v>
      </c>
    </row>
    <row r="979" spans="1:4">
      <c r="A979" s="2" t="s">
        <v>2486</v>
      </c>
      <c r="B979" s="2" t="s">
        <v>39</v>
      </c>
      <c r="C979" s="2" t="s">
        <v>39</v>
      </c>
      <c r="D979" s="2">
        <v>38</v>
      </c>
    </row>
    <row r="980" spans="1:4">
      <c r="A980" s="2" t="s">
        <v>2466</v>
      </c>
      <c r="B980" s="2" t="s">
        <v>39</v>
      </c>
      <c r="C980" s="2" t="s">
        <v>39</v>
      </c>
      <c r="D980" s="2">
        <v>38</v>
      </c>
    </row>
    <row r="981" spans="1:4">
      <c r="A981" s="2" t="s">
        <v>992</v>
      </c>
      <c r="B981" s="2" t="s">
        <v>39</v>
      </c>
      <c r="C981" s="2" t="s">
        <v>39</v>
      </c>
      <c r="D981" s="2">
        <v>34</v>
      </c>
    </row>
    <row r="982" spans="1:4">
      <c r="A982" s="2" t="s">
        <v>1843</v>
      </c>
      <c r="B982" s="2" t="s">
        <v>39</v>
      </c>
      <c r="C982" s="2" t="s">
        <v>39</v>
      </c>
      <c r="D982" s="2">
        <v>34</v>
      </c>
    </row>
    <row r="983" spans="1:4">
      <c r="A983" s="2" t="s">
        <v>1840</v>
      </c>
      <c r="B983" s="2" t="s">
        <v>39</v>
      </c>
      <c r="C983" s="2" t="s">
        <v>39</v>
      </c>
      <c r="D983" s="2">
        <v>32</v>
      </c>
    </row>
    <row r="984" spans="1:4">
      <c r="A984" s="2" t="s">
        <v>3828</v>
      </c>
      <c r="B984" s="2" t="s">
        <v>39</v>
      </c>
      <c r="C984" s="2" t="s">
        <v>39</v>
      </c>
      <c r="D984" s="2">
        <v>31</v>
      </c>
    </row>
    <row r="985" spans="1:4">
      <c r="A985" s="2" t="s">
        <v>3797</v>
      </c>
      <c r="B985" s="2" t="s">
        <v>39</v>
      </c>
      <c r="C985" s="2" t="s">
        <v>39</v>
      </c>
      <c r="D985" s="2">
        <v>31</v>
      </c>
    </row>
    <row r="986" spans="1:4">
      <c r="A986" s="2" t="s">
        <v>1916</v>
      </c>
      <c r="B986" s="2" t="s">
        <v>39</v>
      </c>
      <c r="C986" s="2" t="s">
        <v>39</v>
      </c>
      <c r="D986" s="2">
        <v>30</v>
      </c>
    </row>
    <row r="987" spans="1:4">
      <c r="A987" s="2" t="s">
        <v>4256</v>
      </c>
      <c r="B987" s="2" t="s">
        <v>39</v>
      </c>
      <c r="C987" s="2" t="s">
        <v>39</v>
      </c>
      <c r="D987" s="2">
        <v>30</v>
      </c>
    </row>
    <row r="988" spans="1:4">
      <c r="A988" s="2" t="s">
        <v>4517</v>
      </c>
      <c r="B988" s="2" t="s">
        <v>39</v>
      </c>
      <c r="C988" s="2" t="s">
        <v>39</v>
      </c>
      <c r="D988" s="2">
        <v>29</v>
      </c>
    </row>
    <row r="989" spans="1:4">
      <c r="A989" s="2" t="s">
        <v>3448</v>
      </c>
      <c r="B989" s="2" t="s">
        <v>39</v>
      </c>
      <c r="C989" s="2" t="s">
        <v>39</v>
      </c>
      <c r="D989" s="2">
        <v>24</v>
      </c>
    </row>
    <row r="990" spans="1:4">
      <c r="A990" s="2" t="s">
        <v>990</v>
      </c>
      <c r="B990" s="2" t="s">
        <v>39</v>
      </c>
      <c r="C990" s="2" t="s">
        <v>39</v>
      </c>
      <c r="D990" s="2">
        <v>22</v>
      </c>
    </row>
    <row r="991" spans="1:4">
      <c r="A991" s="2" t="s">
        <v>4564</v>
      </c>
      <c r="B991" s="2" t="s">
        <v>39</v>
      </c>
      <c r="C991" s="2" t="s">
        <v>39</v>
      </c>
      <c r="D991" s="2">
        <v>18</v>
      </c>
    </row>
    <row r="992" spans="1:4">
      <c r="A992" s="2" t="s">
        <v>3423</v>
      </c>
      <c r="B992" s="2" t="s">
        <v>39</v>
      </c>
      <c r="C992" s="2" t="s">
        <v>39</v>
      </c>
      <c r="D992" s="2">
        <v>16</v>
      </c>
    </row>
    <row r="993" spans="1:4">
      <c r="A993" s="2" t="s">
        <v>4498</v>
      </c>
      <c r="B993" s="2" t="s">
        <v>39</v>
      </c>
      <c r="C993" s="2" t="s">
        <v>39</v>
      </c>
      <c r="D993" s="2">
        <v>13</v>
      </c>
    </row>
    <row r="994" spans="1:4">
      <c r="A994" s="2" t="s">
        <v>3459</v>
      </c>
      <c r="B994" s="2" t="s">
        <v>39</v>
      </c>
      <c r="C994" s="2" t="s">
        <v>39</v>
      </c>
      <c r="D994" s="2">
        <v>9</v>
      </c>
    </row>
    <row r="995" spans="1:4">
      <c r="A995" s="2" t="s">
        <v>3834</v>
      </c>
      <c r="B995" s="2" t="s">
        <v>39</v>
      </c>
      <c r="C995" s="2" t="s">
        <v>39</v>
      </c>
      <c r="D995" s="2">
        <v>8</v>
      </c>
    </row>
    <row r="996" spans="1:4">
      <c r="A996" s="2" t="s">
        <v>139</v>
      </c>
      <c r="B996" s="2" t="s">
        <v>39</v>
      </c>
      <c r="C996" s="2" t="s">
        <v>36</v>
      </c>
      <c r="D996" s="2">
        <v>617</v>
      </c>
    </row>
    <row r="997" spans="1:4">
      <c r="A997" s="2" t="s">
        <v>118</v>
      </c>
      <c r="B997" s="2" t="s">
        <v>39</v>
      </c>
      <c r="C997" s="2" t="s">
        <v>36</v>
      </c>
      <c r="D997" s="2">
        <v>608</v>
      </c>
    </row>
    <row r="998" spans="1:4">
      <c r="A998" s="2" t="s">
        <v>153</v>
      </c>
      <c r="B998" s="2" t="s">
        <v>39</v>
      </c>
      <c r="C998" s="2" t="s">
        <v>36</v>
      </c>
      <c r="D998" s="2">
        <v>608</v>
      </c>
    </row>
    <row r="999" spans="1:4">
      <c r="A999" s="2" t="s">
        <v>91</v>
      </c>
      <c r="B999" s="2" t="s">
        <v>39</v>
      </c>
      <c r="C999" s="2" t="s">
        <v>36</v>
      </c>
      <c r="D999" s="2">
        <v>604</v>
      </c>
    </row>
    <row r="1000" spans="1:4">
      <c r="A1000" s="2" t="s">
        <v>109</v>
      </c>
      <c r="B1000" s="2" t="s">
        <v>39</v>
      </c>
      <c r="C1000" s="2" t="s">
        <v>36</v>
      </c>
      <c r="D1000" s="2">
        <v>599</v>
      </c>
    </row>
    <row r="1001" spans="1:4">
      <c r="A1001" s="2" t="s">
        <v>82</v>
      </c>
      <c r="B1001" s="2" t="s">
        <v>39</v>
      </c>
      <c r="C1001" s="2" t="s">
        <v>36</v>
      </c>
      <c r="D1001" s="2">
        <v>561</v>
      </c>
    </row>
    <row r="1002" spans="1:4">
      <c r="A1002" s="2" t="s">
        <v>73</v>
      </c>
      <c r="B1002" s="2" t="s">
        <v>39</v>
      </c>
      <c r="C1002" s="2" t="s">
        <v>36</v>
      </c>
      <c r="D1002" s="2">
        <v>555</v>
      </c>
    </row>
    <row r="1003" spans="1:4">
      <c r="A1003" s="2" t="s">
        <v>172</v>
      </c>
      <c r="B1003" s="2" t="s">
        <v>39</v>
      </c>
      <c r="C1003" s="2" t="s">
        <v>36</v>
      </c>
      <c r="D1003" s="2">
        <v>534</v>
      </c>
    </row>
    <row r="1004" spans="1:4">
      <c r="A1004" s="2" t="s">
        <v>161</v>
      </c>
      <c r="B1004" s="2" t="s">
        <v>39</v>
      </c>
      <c r="C1004" s="2" t="s">
        <v>36</v>
      </c>
      <c r="D1004" s="2">
        <v>516</v>
      </c>
    </row>
    <row r="1005" spans="1:4">
      <c r="A1005" s="2" t="s">
        <v>100</v>
      </c>
      <c r="B1005" s="2" t="s">
        <v>39</v>
      </c>
      <c r="C1005" s="2" t="s">
        <v>36</v>
      </c>
      <c r="D1005" s="2">
        <v>515</v>
      </c>
    </row>
    <row r="1006" spans="1:4">
      <c r="A1006" s="2" t="s">
        <v>129</v>
      </c>
      <c r="B1006" s="2" t="s">
        <v>39</v>
      </c>
      <c r="C1006" s="2" t="s">
        <v>36</v>
      </c>
      <c r="D1006" s="2">
        <v>506</v>
      </c>
    </row>
    <row r="1007" spans="1:4">
      <c r="A1007" s="2" t="s">
        <v>156</v>
      </c>
      <c r="B1007" s="2" t="s">
        <v>39</v>
      </c>
      <c r="C1007" s="2" t="s">
        <v>36</v>
      </c>
      <c r="D1007" s="2">
        <v>501</v>
      </c>
    </row>
    <row r="1008" spans="1:4">
      <c r="A1008" s="2" t="s">
        <v>185</v>
      </c>
      <c r="B1008" s="2" t="s">
        <v>39</v>
      </c>
      <c r="C1008" s="2" t="s">
        <v>36</v>
      </c>
      <c r="D1008" s="2">
        <v>493</v>
      </c>
    </row>
    <row r="1009" spans="1:4">
      <c r="A1009" s="2" t="s">
        <v>4562</v>
      </c>
      <c r="B1009" s="2" t="s">
        <v>39</v>
      </c>
      <c r="C1009" s="2" t="s">
        <v>36</v>
      </c>
      <c r="D1009" s="2">
        <v>492</v>
      </c>
    </row>
    <row r="1010" spans="1:4">
      <c r="A1010" s="2" t="s">
        <v>61</v>
      </c>
      <c r="B1010" s="2" t="s">
        <v>39</v>
      </c>
      <c r="C1010" s="2" t="s">
        <v>36</v>
      </c>
      <c r="D1010" s="2">
        <v>487</v>
      </c>
    </row>
    <row r="1011" spans="1:4">
      <c r="A1011" s="2" t="s">
        <v>283</v>
      </c>
      <c r="B1011" s="2" t="s">
        <v>39</v>
      </c>
      <c r="C1011" s="2" t="s">
        <v>36</v>
      </c>
      <c r="D1011" s="2">
        <v>486</v>
      </c>
    </row>
    <row r="1012" spans="1:4">
      <c r="A1012" s="2" t="s">
        <v>204</v>
      </c>
      <c r="B1012" s="2" t="s">
        <v>39</v>
      </c>
      <c r="C1012" s="2" t="s">
        <v>36</v>
      </c>
      <c r="D1012" s="2">
        <v>484</v>
      </c>
    </row>
    <row r="1013" spans="1:4">
      <c r="A1013" s="2" t="s">
        <v>4515</v>
      </c>
      <c r="B1013" s="2" t="s">
        <v>39</v>
      </c>
      <c r="C1013" s="2" t="s">
        <v>36</v>
      </c>
      <c r="D1013" s="2">
        <v>483</v>
      </c>
    </row>
    <row r="1014" spans="1:4">
      <c r="A1014" s="2" t="s">
        <v>126</v>
      </c>
      <c r="B1014" s="2" t="s">
        <v>39</v>
      </c>
      <c r="C1014" s="2" t="s">
        <v>36</v>
      </c>
      <c r="D1014" s="2">
        <v>483</v>
      </c>
    </row>
    <row r="1015" spans="1:4">
      <c r="A1015" s="2" t="s">
        <v>1920</v>
      </c>
      <c r="B1015" s="2" t="s">
        <v>39</v>
      </c>
      <c r="C1015" s="2" t="s">
        <v>36</v>
      </c>
      <c r="D1015" s="2">
        <v>482</v>
      </c>
    </row>
    <row r="1016" spans="1:4">
      <c r="A1016" s="2" t="s">
        <v>262</v>
      </c>
      <c r="B1016" s="2" t="s">
        <v>39</v>
      </c>
      <c r="C1016" s="2" t="s">
        <v>36</v>
      </c>
      <c r="D1016" s="2">
        <v>480</v>
      </c>
    </row>
    <row r="1017" spans="1:4">
      <c r="A1017" s="2" t="s">
        <v>97</v>
      </c>
      <c r="B1017" s="2" t="s">
        <v>39</v>
      </c>
      <c r="C1017" s="2" t="s">
        <v>36</v>
      </c>
      <c r="D1017" s="2">
        <v>477</v>
      </c>
    </row>
    <row r="1018" spans="1:4">
      <c r="A1018" s="2" t="s">
        <v>1008</v>
      </c>
      <c r="B1018" s="2" t="s">
        <v>39</v>
      </c>
      <c r="C1018" s="2" t="s">
        <v>36</v>
      </c>
      <c r="D1018" s="2">
        <v>476</v>
      </c>
    </row>
    <row r="1019" spans="1:4">
      <c r="A1019" s="2" t="s">
        <v>3475</v>
      </c>
      <c r="B1019" s="2" t="s">
        <v>39</v>
      </c>
      <c r="C1019" s="2" t="s">
        <v>36</v>
      </c>
      <c r="D1019" s="2">
        <v>475</v>
      </c>
    </row>
    <row r="1020" spans="1:4">
      <c r="A1020" s="2" t="s">
        <v>192</v>
      </c>
      <c r="B1020" s="2" t="s">
        <v>39</v>
      </c>
      <c r="C1020" s="2" t="s">
        <v>36</v>
      </c>
      <c r="D1020" s="2">
        <v>471</v>
      </c>
    </row>
    <row r="1021" spans="1:4">
      <c r="A1021" s="2" t="s">
        <v>1876</v>
      </c>
      <c r="B1021" s="2" t="s">
        <v>39</v>
      </c>
      <c r="C1021" s="2" t="s">
        <v>36</v>
      </c>
      <c r="D1021" s="2">
        <v>471</v>
      </c>
    </row>
    <row r="1022" spans="1:4">
      <c r="A1022" s="2" t="s">
        <v>1600</v>
      </c>
      <c r="B1022" s="2" t="s">
        <v>39</v>
      </c>
      <c r="C1022" s="2" t="s">
        <v>36</v>
      </c>
      <c r="D1022" s="2">
        <v>470</v>
      </c>
    </row>
    <row r="1023" spans="1:4">
      <c r="A1023" s="2" t="s">
        <v>250</v>
      </c>
      <c r="B1023" s="2" t="s">
        <v>39</v>
      </c>
      <c r="C1023" s="2" t="s">
        <v>36</v>
      </c>
      <c r="D1023" s="2">
        <v>466</v>
      </c>
    </row>
    <row r="1024" spans="1:4">
      <c r="A1024" s="2" t="s">
        <v>1900</v>
      </c>
      <c r="B1024" s="2" t="s">
        <v>39</v>
      </c>
      <c r="C1024" s="2" t="s">
        <v>36</v>
      </c>
      <c r="D1024" s="2">
        <v>458</v>
      </c>
    </row>
    <row r="1025" spans="1:4">
      <c r="A1025" s="2" t="s">
        <v>2991</v>
      </c>
      <c r="B1025" s="2" t="s">
        <v>39</v>
      </c>
      <c r="C1025" s="2" t="s">
        <v>36</v>
      </c>
      <c r="D1025" s="2">
        <v>456</v>
      </c>
    </row>
    <row r="1026" spans="1:4">
      <c r="A1026" s="2" t="s">
        <v>965</v>
      </c>
      <c r="B1026" s="2" t="s">
        <v>39</v>
      </c>
      <c r="C1026" s="2" t="s">
        <v>36</v>
      </c>
      <c r="D1026" s="2">
        <v>454</v>
      </c>
    </row>
    <row r="1027" spans="1:4">
      <c r="A1027" s="2" t="s">
        <v>292</v>
      </c>
      <c r="B1027" s="2" t="s">
        <v>39</v>
      </c>
      <c r="C1027" s="2" t="s">
        <v>36</v>
      </c>
      <c r="D1027" s="2">
        <v>454</v>
      </c>
    </row>
    <row r="1028" spans="1:4">
      <c r="A1028" s="2" t="s">
        <v>923</v>
      </c>
      <c r="B1028" s="2" t="s">
        <v>39</v>
      </c>
      <c r="C1028" s="2" t="s">
        <v>36</v>
      </c>
      <c r="D1028" s="2">
        <v>452</v>
      </c>
    </row>
    <row r="1029" spans="1:4">
      <c r="A1029" s="2" t="s">
        <v>971</v>
      </c>
      <c r="B1029" s="2" t="s">
        <v>39</v>
      </c>
      <c r="C1029" s="2" t="s">
        <v>36</v>
      </c>
      <c r="D1029" s="2">
        <v>450</v>
      </c>
    </row>
    <row r="1030" spans="1:4">
      <c r="A1030" s="2" t="s">
        <v>1883</v>
      </c>
      <c r="B1030" s="2" t="s">
        <v>39</v>
      </c>
      <c r="C1030" s="2" t="s">
        <v>36</v>
      </c>
      <c r="D1030" s="2">
        <v>445</v>
      </c>
    </row>
    <row r="1031" spans="1:4">
      <c r="A1031" s="2" t="s">
        <v>942</v>
      </c>
      <c r="B1031" s="2" t="s">
        <v>39</v>
      </c>
      <c r="C1031" s="2" t="s">
        <v>36</v>
      </c>
      <c r="D1031" s="2">
        <v>438</v>
      </c>
    </row>
    <row r="1032" spans="1:4">
      <c r="A1032" s="2" t="s">
        <v>111</v>
      </c>
      <c r="B1032" s="2" t="s">
        <v>39</v>
      </c>
      <c r="C1032" s="2" t="s">
        <v>36</v>
      </c>
      <c r="D1032" s="2">
        <v>435</v>
      </c>
    </row>
    <row r="1033" spans="1:4">
      <c r="A1033" s="2" t="s">
        <v>1930</v>
      </c>
      <c r="B1033" s="2" t="s">
        <v>39</v>
      </c>
      <c r="C1033" s="2" t="s">
        <v>36</v>
      </c>
      <c r="D1033" s="2">
        <v>435</v>
      </c>
    </row>
    <row r="1034" spans="1:4">
      <c r="A1034" s="2" t="s">
        <v>1035</v>
      </c>
      <c r="B1034" s="2" t="s">
        <v>39</v>
      </c>
      <c r="C1034" s="2" t="s">
        <v>36</v>
      </c>
      <c r="D1034" s="2">
        <v>432</v>
      </c>
    </row>
    <row r="1035" spans="1:4">
      <c r="A1035" s="2" t="s">
        <v>3440</v>
      </c>
      <c r="B1035" s="2" t="s">
        <v>39</v>
      </c>
      <c r="C1035" s="2" t="s">
        <v>36</v>
      </c>
      <c r="D1035" s="2">
        <v>431</v>
      </c>
    </row>
    <row r="1036" spans="1:4">
      <c r="A1036" s="2" t="s">
        <v>239</v>
      </c>
      <c r="B1036" s="2" t="s">
        <v>39</v>
      </c>
      <c r="C1036" s="2" t="s">
        <v>36</v>
      </c>
      <c r="D1036" s="2">
        <v>429</v>
      </c>
    </row>
    <row r="1037" spans="1:4">
      <c r="A1037" s="2" t="s">
        <v>179</v>
      </c>
      <c r="B1037" s="2" t="s">
        <v>39</v>
      </c>
      <c r="C1037" s="2" t="s">
        <v>36</v>
      </c>
      <c r="D1037" s="2">
        <v>428</v>
      </c>
    </row>
    <row r="1038" spans="1:4">
      <c r="A1038" s="2" t="s">
        <v>199</v>
      </c>
      <c r="B1038" s="2" t="s">
        <v>39</v>
      </c>
      <c r="C1038" s="2" t="s">
        <v>36</v>
      </c>
      <c r="D1038" s="2">
        <v>426</v>
      </c>
    </row>
    <row r="1039" spans="1:4">
      <c r="A1039" s="2" t="s">
        <v>1878</v>
      </c>
      <c r="B1039" s="2" t="s">
        <v>39</v>
      </c>
      <c r="C1039" s="2" t="s">
        <v>36</v>
      </c>
      <c r="D1039" s="2">
        <v>424</v>
      </c>
    </row>
    <row r="1040" spans="1:4">
      <c r="A1040" s="2" t="s">
        <v>167</v>
      </c>
      <c r="B1040" s="2" t="s">
        <v>39</v>
      </c>
      <c r="C1040" s="2" t="s">
        <v>36</v>
      </c>
      <c r="D1040" s="2">
        <v>423</v>
      </c>
    </row>
    <row r="1041" spans="1:4">
      <c r="A1041" s="2" t="s">
        <v>4489</v>
      </c>
      <c r="B1041" s="2" t="s">
        <v>39</v>
      </c>
      <c r="C1041" s="2" t="s">
        <v>36</v>
      </c>
      <c r="D1041" s="2">
        <v>423</v>
      </c>
    </row>
    <row r="1042" spans="1:4">
      <c r="A1042" s="2" t="s">
        <v>273</v>
      </c>
      <c r="B1042" s="2" t="s">
        <v>39</v>
      </c>
      <c r="C1042" s="2" t="s">
        <v>36</v>
      </c>
      <c r="D1042" s="2">
        <v>423</v>
      </c>
    </row>
    <row r="1043" spans="1:4">
      <c r="A1043" s="2" t="s">
        <v>2473</v>
      </c>
      <c r="B1043" s="2" t="s">
        <v>39</v>
      </c>
      <c r="C1043" s="2" t="s">
        <v>36</v>
      </c>
      <c r="D1043" s="2">
        <v>422</v>
      </c>
    </row>
    <row r="1044" spans="1:4">
      <c r="A1044" s="2" t="s">
        <v>150</v>
      </c>
      <c r="B1044" s="2" t="s">
        <v>39</v>
      </c>
      <c r="C1044" s="2" t="s">
        <v>36</v>
      </c>
      <c r="D1044" s="2">
        <v>421</v>
      </c>
    </row>
    <row r="1045" spans="1:4">
      <c r="A1045" s="2" t="s">
        <v>3844</v>
      </c>
      <c r="B1045" s="2" t="s">
        <v>39</v>
      </c>
      <c r="C1045" s="2" t="s">
        <v>36</v>
      </c>
      <c r="D1045" s="2">
        <v>421</v>
      </c>
    </row>
    <row r="1046" spans="1:4">
      <c r="A1046" s="2" t="s">
        <v>229</v>
      </c>
      <c r="B1046" s="2" t="s">
        <v>39</v>
      </c>
      <c r="C1046" s="2" t="s">
        <v>36</v>
      </c>
      <c r="D1046" s="2">
        <v>421</v>
      </c>
    </row>
    <row r="1047" spans="1:4">
      <c r="A1047" s="2" t="s">
        <v>3809</v>
      </c>
      <c r="B1047" s="2" t="s">
        <v>39</v>
      </c>
      <c r="C1047" s="2" t="s">
        <v>36</v>
      </c>
      <c r="D1047" s="2">
        <v>420</v>
      </c>
    </row>
    <row r="1048" spans="1:4">
      <c r="A1048" s="2" t="s">
        <v>1029</v>
      </c>
      <c r="B1048" s="2" t="s">
        <v>39</v>
      </c>
      <c r="C1048" s="2" t="s">
        <v>36</v>
      </c>
      <c r="D1048" s="2">
        <v>419</v>
      </c>
    </row>
    <row r="1049" spans="1:4">
      <c r="A1049" s="2" t="s">
        <v>264</v>
      </c>
      <c r="B1049" s="2" t="s">
        <v>39</v>
      </c>
      <c r="C1049" s="2" t="s">
        <v>36</v>
      </c>
      <c r="D1049" s="2">
        <v>419</v>
      </c>
    </row>
    <row r="1050" spans="1:4">
      <c r="A1050" s="2" t="s">
        <v>4536</v>
      </c>
      <c r="B1050" s="2" t="s">
        <v>39</v>
      </c>
      <c r="C1050" s="2" t="s">
        <v>36</v>
      </c>
      <c r="D1050" s="2">
        <v>418</v>
      </c>
    </row>
    <row r="1051" spans="1:4">
      <c r="A1051" s="2" t="s">
        <v>1609</v>
      </c>
      <c r="B1051" s="2" t="s">
        <v>39</v>
      </c>
      <c r="C1051" s="2" t="s">
        <v>36</v>
      </c>
      <c r="D1051" s="2">
        <v>418</v>
      </c>
    </row>
    <row r="1052" spans="1:4">
      <c r="A1052" s="2" t="s">
        <v>279</v>
      </c>
      <c r="B1052" s="2" t="s">
        <v>39</v>
      </c>
      <c r="C1052" s="2" t="s">
        <v>36</v>
      </c>
      <c r="D1052" s="2">
        <v>418</v>
      </c>
    </row>
    <row r="1053" spans="1:4">
      <c r="A1053" s="2" t="s">
        <v>148</v>
      </c>
      <c r="B1053" s="2" t="s">
        <v>39</v>
      </c>
      <c r="C1053" s="2" t="s">
        <v>36</v>
      </c>
      <c r="D1053" s="2">
        <v>417</v>
      </c>
    </row>
    <row r="1054" spans="1:4">
      <c r="A1054" s="2" t="s">
        <v>256</v>
      </c>
      <c r="B1054" s="2" t="s">
        <v>39</v>
      </c>
      <c r="C1054" s="2" t="s">
        <v>36</v>
      </c>
      <c r="D1054" s="2">
        <v>415</v>
      </c>
    </row>
    <row r="1055" spans="1:4">
      <c r="A1055" s="2" t="s">
        <v>2468</v>
      </c>
      <c r="B1055" s="2" t="s">
        <v>39</v>
      </c>
      <c r="C1055" s="2" t="s">
        <v>36</v>
      </c>
      <c r="D1055" s="2">
        <v>415</v>
      </c>
    </row>
    <row r="1056" spans="1:4">
      <c r="A1056" s="2" t="s">
        <v>1621</v>
      </c>
      <c r="B1056" s="2" t="s">
        <v>39</v>
      </c>
      <c r="C1056" s="2" t="s">
        <v>36</v>
      </c>
      <c r="D1056" s="2">
        <v>415</v>
      </c>
    </row>
    <row r="1057" spans="1:4">
      <c r="A1057" s="2" t="s">
        <v>246</v>
      </c>
      <c r="B1057" s="2" t="s">
        <v>39</v>
      </c>
      <c r="C1057" s="2" t="s">
        <v>36</v>
      </c>
      <c r="D1057" s="2">
        <v>414</v>
      </c>
    </row>
    <row r="1058" spans="1:4">
      <c r="A1058" s="2" t="s">
        <v>64</v>
      </c>
      <c r="B1058" s="2" t="s">
        <v>39</v>
      </c>
      <c r="C1058" s="2" t="s">
        <v>36</v>
      </c>
      <c r="D1058" s="2">
        <v>412</v>
      </c>
    </row>
    <row r="1059" spans="1:4">
      <c r="A1059" s="2" t="s">
        <v>1096</v>
      </c>
      <c r="B1059" s="2" t="s">
        <v>39</v>
      </c>
      <c r="C1059" s="2" t="s">
        <v>36</v>
      </c>
      <c r="D1059" s="2">
        <v>412</v>
      </c>
    </row>
    <row r="1060" spans="1:4">
      <c r="A1060" s="2" t="s">
        <v>159</v>
      </c>
      <c r="B1060" s="2" t="s">
        <v>39</v>
      </c>
      <c r="C1060" s="2" t="s">
        <v>36</v>
      </c>
      <c r="D1060" s="2">
        <v>411</v>
      </c>
    </row>
    <row r="1061" spans="1:4">
      <c r="A1061" s="2" t="s">
        <v>2462</v>
      </c>
      <c r="B1061" s="2" t="s">
        <v>39</v>
      </c>
      <c r="C1061" s="2" t="s">
        <v>36</v>
      </c>
      <c r="D1061" s="2">
        <v>409</v>
      </c>
    </row>
    <row r="1062" spans="1:4">
      <c r="A1062" s="2" t="s">
        <v>2411</v>
      </c>
      <c r="B1062" s="2" t="s">
        <v>39</v>
      </c>
      <c r="C1062" s="2" t="s">
        <v>36</v>
      </c>
      <c r="D1062" s="2">
        <v>407</v>
      </c>
    </row>
    <row r="1063" spans="1:4">
      <c r="A1063" s="2" t="s">
        <v>190</v>
      </c>
      <c r="B1063" s="2" t="s">
        <v>39</v>
      </c>
      <c r="C1063" s="2" t="s">
        <v>36</v>
      </c>
      <c r="D1063" s="2">
        <v>403</v>
      </c>
    </row>
    <row r="1064" spans="1:4">
      <c r="A1064" s="2" t="s">
        <v>188</v>
      </c>
      <c r="B1064" s="2" t="s">
        <v>39</v>
      </c>
      <c r="C1064" s="2" t="s">
        <v>36</v>
      </c>
      <c r="D1064" s="2">
        <v>402</v>
      </c>
    </row>
    <row r="1065" spans="1:4">
      <c r="A1065" s="2" t="s">
        <v>4519</v>
      </c>
      <c r="B1065" s="2" t="s">
        <v>39</v>
      </c>
      <c r="C1065" s="2" t="s">
        <v>36</v>
      </c>
      <c r="D1065" s="2">
        <v>401</v>
      </c>
    </row>
    <row r="1066" spans="1:4">
      <c r="A1066" s="2" t="s">
        <v>1887</v>
      </c>
      <c r="B1066" s="2" t="s">
        <v>39</v>
      </c>
      <c r="C1066" s="2" t="s">
        <v>36</v>
      </c>
      <c r="D1066" s="2">
        <v>400</v>
      </c>
    </row>
    <row r="1067" spans="1:4">
      <c r="A1067" s="2" t="s">
        <v>969</v>
      </c>
      <c r="B1067" s="2" t="s">
        <v>39</v>
      </c>
      <c r="C1067" s="2" t="s">
        <v>36</v>
      </c>
      <c r="D1067" s="2">
        <v>398</v>
      </c>
    </row>
    <row r="1068" spans="1:4">
      <c r="A1068" s="2" t="s">
        <v>1938</v>
      </c>
      <c r="B1068" s="2" t="s">
        <v>39</v>
      </c>
      <c r="C1068" s="2" t="s">
        <v>36</v>
      </c>
      <c r="D1068" s="2">
        <v>396</v>
      </c>
    </row>
    <row r="1069" spans="1:4">
      <c r="A1069" s="2" t="s">
        <v>1902</v>
      </c>
      <c r="B1069" s="2" t="s">
        <v>39</v>
      </c>
      <c r="C1069" s="2" t="s">
        <v>36</v>
      </c>
      <c r="D1069" s="2">
        <v>393</v>
      </c>
    </row>
    <row r="1070" spans="1:4">
      <c r="A1070" s="2" t="s">
        <v>2443</v>
      </c>
      <c r="B1070" s="2" t="s">
        <v>39</v>
      </c>
      <c r="C1070" s="2" t="s">
        <v>36</v>
      </c>
      <c r="D1070" s="2">
        <v>393</v>
      </c>
    </row>
    <row r="1071" spans="1:4">
      <c r="A1071" s="2" t="s">
        <v>1918</v>
      </c>
      <c r="B1071" s="2" t="s">
        <v>39</v>
      </c>
      <c r="C1071" s="2" t="s">
        <v>36</v>
      </c>
      <c r="D1071" s="2">
        <v>392</v>
      </c>
    </row>
    <row r="1072" spans="1:4">
      <c r="A1072" s="2" t="s">
        <v>2494</v>
      </c>
      <c r="B1072" s="2" t="s">
        <v>39</v>
      </c>
      <c r="C1072" s="2" t="s">
        <v>36</v>
      </c>
      <c r="D1072" s="2">
        <v>392</v>
      </c>
    </row>
    <row r="1073" spans="1:4">
      <c r="A1073" s="2" t="s">
        <v>2453</v>
      </c>
      <c r="B1073" s="2" t="s">
        <v>39</v>
      </c>
      <c r="C1073" s="2" t="s">
        <v>36</v>
      </c>
      <c r="D1073" s="2">
        <v>392</v>
      </c>
    </row>
    <row r="1074" spans="1:4">
      <c r="A1074" s="2" t="s">
        <v>3882</v>
      </c>
      <c r="B1074" s="2" t="s">
        <v>39</v>
      </c>
      <c r="C1074" s="2" t="s">
        <v>36</v>
      </c>
      <c r="D1074" s="2">
        <v>388</v>
      </c>
    </row>
    <row r="1075" spans="1:4">
      <c r="A1075" s="2" t="s">
        <v>2509</v>
      </c>
      <c r="B1075" s="2" t="s">
        <v>39</v>
      </c>
      <c r="C1075" s="2" t="s">
        <v>36</v>
      </c>
      <c r="D1075" s="2">
        <v>386</v>
      </c>
    </row>
    <row r="1076" spans="1:4">
      <c r="A1076" s="2" t="s">
        <v>2381</v>
      </c>
      <c r="B1076" s="2" t="s">
        <v>39</v>
      </c>
      <c r="C1076" s="2" t="s">
        <v>36</v>
      </c>
      <c r="D1076" s="2">
        <v>385</v>
      </c>
    </row>
    <row r="1077" spans="1:4">
      <c r="A1077" s="2" t="s">
        <v>271</v>
      </c>
      <c r="B1077" s="2" t="s">
        <v>39</v>
      </c>
      <c r="C1077" s="2" t="s">
        <v>36</v>
      </c>
      <c r="D1077" s="2">
        <v>385</v>
      </c>
    </row>
    <row r="1078" spans="1:4">
      <c r="A1078" s="2" t="s">
        <v>281</v>
      </c>
      <c r="B1078" s="2" t="s">
        <v>39</v>
      </c>
      <c r="C1078" s="2" t="s">
        <v>36</v>
      </c>
      <c r="D1078" s="2">
        <v>385</v>
      </c>
    </row>
    <row r="1079" spans="1:4">
      <c r="A1079" s="2" t="s">
        <v>2986</v>
      </c>
      <c r="B1079" s="2" t="s">
        <v>39</v>
      </c>
      <c r="C1079" s="2" t="s">
        <v>36</v>
      </c>
      <c r="D1079" s="2">
        <v>384</v>
      </c>
    </row>
    <row r="1080" spans="1:4">
      <c r="A1080" s="2" t="s">
        <v>219</v>
      </c>
      <c r="B1080" s="2" t="s">
        <v>39</v>
      </c>
      <c r="C1080" s="2" t="s">
        <v>36</v>
      </c>
      <c r="D1080" s="2">
        <v>383</v>
      </c>
    </row>
    <row r="1081" spans="1:4">
      <c r="A1081" s="2" t="s">
        <v>2989</v>
      </c>
      <c r="B1081" s="2" t="s">
        <v>39</v>
      </c>
      <c r="C1081" s="2" t="s">
        <v>36</v>
      </c>
      <c r="D1081" s="2">
        <v>379</v>
      </c>
    </row>
    <row r="1082" spans="1:4">
      <c r="A1082" s="2" t="s">
        <v>1934</v>
      </c>
      <c r="B1082" s="2" t="s">
        <v>39</v>
      </c>
      <c r="C1082" s="2" t="s">
        <v>36</v>
      </c>
      <c r="D1082" s="2">
        <v>379</v>
      </c>
    </row>
    <row r="1083" spans="1:4">
      <c r="A1083" s="2" t="s">
        <v>1912</v>
      </c>
      <c r="B1083" s="2" t="s">
        <v>39</v>
      </c>
      <c r="C1083" s="2" t="s">
        <v>36</v>
      </c>
      <c r="D1083" s="2">
        <v>378</v>
      </c>
    </row>
    <row r="1084" spans="1:4">
      <c r="A1084" s="2" t="s">
        <v>945</v>
      </c>
      <c r="B1084" s="2" t="s">
        <v>39</v>
      </c>
      <c r="C1084" s="2" t="s">
        <v>36</v>
      </c>
      <c r="D1084" s="2">
        <v>377</v>
      </c>
    </row>
    <row r="1085" spans="1:4">
      <c r="A1085" s="2" t="s">
        <v>266</v>
      </c>
      <c r="B1085" s="2" t="s">
        <v>39</v>
      </c>
      <c r="C1085" s="2" t="s">
        <v>36</v>
      </c>
      <c r="D1085" s="2">
        <v>376</v>
      </c>
    </row>
    <row r="1086" spans="1:4">
      <c r="A1086" s="2" t="s">
        <v>275</v>
      </c>
      <c r="B1086" s="2" t="s">
        <v>39</v>
      </c>
      <c r="C1086" s="2" t="s">
        <v>36</v>
      </c>
      <c r="D1086" s="2">
        <v>373</v>
      </c>
    </row>
    <row r="1087" spans="1:4">
      <c r="A1087" s="2" t="s">
        <v>286</v>
      </c>
      <c r="B1087" s="2" t="s">
        <v>39</v>
      </c>
      <c r="C1087" s="2" t="s">
        <v>36</v>
      </c>
      <c r="D1087" s="2">
        <v>370</v>
      </c>
    </row>
    <row r="1088" spans="1:4">
      <c r="A1088" s="2" t="s">
        <v>2423</v>
      </c>
      <c r="B1088" s="2" t="s">
        <v>39</v>
      </c>
      <c r="C1088" s="2" t="s">
        <v>36</v>
      </c>
      <c r="D1088" s="2">
        <v>370</v>
      </c>
    </row>
    <row r="1089" spans="1:4">
      <c r="A1089" s="2" t="s">
        <v>4548</v>
      </c>
      <c r="B1089" s="2" t="s">
        <v>39</v>
      </c>
      <c r="C1089" s="2" t="s">
        <v>36</v>
      </c>
      <c r="D1089" s="2">
        <v>370</v>
      </c>
    </row>
    <row r="1090" spans="1:4">
      <c r="A1090" s="2" t="s">
        <v>2490</v>
      </c>
      <c r="B1090" s="2" t="s">
        <v>39</v>
      </c>
      <c r="C1090" s="2" t="s">
        <v>36</v>
      </c>
      <c r="D1090" s="2">
        <v>368</v>
      </c>
    </row>
    <row r="1091" spans="1:4">
      <c r="A1091" s="2" t="s">
        <v>206</v>
      </c>
      <c r="B1091" s="2" t="s">
        <v>39</v>
      </c>
      <c r="C1091" s="2" t="s">
        <v>36</v>
      </c>
      <c r="D1091" s="2">
        <v>367</v>
      </c>
    </row>
    <row r="1092" spans="1:4">
      <c r="A1092" s="2" t="s">
        <v>2983</v>
      </c>
      <c r="B1092" s="2" t="s">
        <v>39</v>
      </c>
      <c r="C1092" s="2" t="s">
        <v>36</v>
      </c>
      <c r="D1092" s="2">
        <v>365</v>
      </c>
    </row>
    <row r="1093" spans="1:4">
      <c r="A1093" s="2" t="s">
        <v>1895</v>
      </c>
      <c r="B1093" s="2" t="s">
        <v>39</v>
      </c>
      <c r="C1093" s="2" t="s">
        <v>36</v>
      </c>
      <c r="D1093" s="2">
        <v>364</v>
      </c>
    </row>
    <row r="1094" spans="1:4">
      <c r="A1094" s="2" t="s">
        <v>996</v>
      </c>
      <c r="B1094" s="2" t="s">
        <v>39</v>
      </c>
      <c r="C1094" s="2" t="s">
        <v>36</v>
      </c>
      <c r="D1094" s="2">
        <v>363</v>
      </c>
    </row>
    <row r="1095" spans="1:4">
      <c r="A1095" s="2" t="s">
        <v>1932</v>
      </c>
      <c r="B1095" s="2" t="s">
        <v>39</v>
      </c>
      <c r="C1095" s="2" t="s">
        <v>36</v>
      </c>
      <c r="D1095" s="2">
        <v>361</v>
      </c>
    </row>
    <row r="1096" spans="1:4">
      <c r="A1096" s="2" t="s">
        <v>254</v>
      </c>
      <c r="B1096" s="2" t="s">
        <v>39</v>
      </c>
      <c r="C1096" s="2" t="s">
        <v>36</v>
      </c>
      <c r="D1096" s="2">
        <v>360</v>
      </c>
    </row>
    <row r="1097" spans="1:4">
      <c r="A1097" s="2" t="s">
        <v>4546</v>
      </c>
      <c r="B1097" s="2" t="s">
        <v>39</v>
      </c>
      <c r="C1097" s="2" t="s">
        <v>36</v>
      </c>
      <c r="D1097" s="2">
        <v>357</v>
      </c>
    </row>
    <row r="1098" spans="1:4">
      <c r="A1098" s="2" t="s">
        <v>2504</v>
      </c>
      <c r="B1098" s="2" t="s">
        <v>39</v>
      </c>
      <c r="C1098" s="2" t="s">
        <v>36</v>
      </c>
      <c r="D1098" s="2">
        <v>357</v>
      </c>
    </row>
    <row r="1099" spans="1:4">
      <c r="A1099" s="2" t="s">
        <v>1037</v>
      </c>
      <c r="B1099" s="2" t="s">
        <v>39</v>
      </c>
      <c r="C1099" s="2" t="s">
        <v>36</v>
      </c>
      <c r="D1099" s="2">
        <v>355</v>
      </c>
    </row>
    <row r="1100" spans="1:4">
      <c r="A1100" s="2" t="s">
        <v>1049</v>
      </c>
      <c r="B1100" s="2" t="s">
        <v>39</v>
      </c>
      <c r="C1100" s="2" t="s">
        <v>36</v>
      </c>
      <c r="D1100" s="2">
        <v>355</v>
      </c>
    </row>
    <row r="1101" spans="1:4">
      <c r="A1101" s="2" t="s">
        <v>277</v>
      </c>
      <c r="B1101" s="2" t="s">
        <v>39</v>
      </c>
      <c r="C1101" s="2" t="s">
        <v>36</v>
      </c>
      <c r="D1101" s="2">
        <v>353</v>
      </c>
    </row>
    <row r="1102" spans="1:4">
      <c r="A1102" s="2" t="s">
        <v>4501</v>
      </c>
      <c r="B1102" s="2" t="s">
        <v>39</v>
      </c>
      <c r="C1102" s="2" t="s">
        <v>36</v>
      </c>
      <c r="D1102" s="2">
        <v>352</v>
      </c>
    </row>
    <row r="1103" spans="1:4">
      <c r="A1103" s="2" t="s">
        <v>194</v>
      </c>
      <c r="B1103" s="2" t="s">
        <v>39</v>
      </c>
      <c r="C1103" s="2" t="s">
        <v>36</v>
      </c>
      <c r="D1103" s="2">
        <v>351</v>
      </c>
    </row>
    <row r="1104" spans="1:4">
      <c r="A1104" s="2" t="s">
        <v>1059</v>
      </c>
      <c r="B1104" s="2" t="s">
        <v>39</v>
      </c>
      <c r="C1104" s="2" t="s">
        <v>36</v>
      </c>
      <c r="D1104" s="2">
        <v>351</v>
      </c>
    </row>
    <row r="1105" spans="1:4">
      <c r="A1105" s="2" t="s">
        <v>967</v>
      </c>
      <c r="B1105" s="2" t="s">
        <v>39</v>
      </c>
      <c r="C1105" s="2" t="s">
        <v>36</v>
      </c>
      <c r="D1105" s="2">
        <v>350</v>
      </c>
    </row>
    <row r="1106" spans="1:4">
      <c r="A1106" s="2" t="s">
        <v>2479</v>
      </c>
      <c r="B1106" s="2" t="s">
        <v>39</v>
      </c>
      <c r="C1106" s="2" t="s">
        <v>36</v>
      </c>
      <c r="D1106" s="2">
        <v>350</v>
      </c>
    </row>
    <row r="1107" spans="1:4">
      <c r="A1107" s="2" t="s">
        <v>1837</v>
      </c>
      <c r="B1107" s="2" t="s">
        <v>39</v>
      </c>
      <c r="C1107" s="2" t="s">
        <v>36</v>
      </c>
      <c r="D1107" s="2">
        <v>349</v>
      </c>
    </row>
    <row r="1108" spans="1:4">
      <c r="A1108" s="2" t="s">
        <v>114</v>
      </c>
      <c r="B1108" s="2" t="s">
        <v>39</v>
      </c>
      <c r="C1108" s="2" t="s">
        <v>36</v>
      </c>
      <c r="D1108" s="2">
        <v>348</v>
      </c>
    </row>
    <row r="1109" spans="1:4">
      <c r="A1109" s="2" t="s">
        <v>1051</v>
      </c>
      <c r="B1109" s="2" t="s">
        <v>39</v>
      </c>
      <c r="C1109" s="2" t="s">
        <v>36</v>
      </c>
      <c r="D1109" s="2">
        <v>348</v>
      </c>
    </row>
    <row r="1110" spans="1:4">
      <c r="A1110" s="2" t="s">
        <v>2425</v>
      </c>
      <c r="B1110" s="2" t="s">
        <v>39</v>
      </c>
      <c r="C1110" s="2" t="s">
        <v>36</v>
      </c>
      <c r="D1110" s="2">
        <v>346</v>
      </c>
    </row>
    <row r="1111" spans="1:4">
      <c r="A1111" s="2" t="s">
        <v>1855</v>
      </c>
      <c r="B1111" s="2" t="s">
        <v>39</v>
      </c>
      <c r="C1111" s="2" t="s">
        <v>36</v>
      </c>
      <c r="D1111" s="2">
        <v>346</v>
      </c>
    </row>
    <row r="1112" spans="1:4">
      <c r="A1112" s="2" t="s">
        <v>930</v>
      </c>
      <c r="B1112" s="2" t="s">
        <v>39</v>
      </c>
      <c r="C1112" s="2" t="s">
        <v>36</v>
      </c>
      <c r="D1112" s="2">
        <v>344</v>
      </c>
    </row>
    <row r="1113" spans="1:4">
      <c r="A1113" s="2" t="s">
        <v>3850</v>
      </c>
      <c r="B1113" s="2" t="s">
        <v>39</v>
      </c>
      <c r="C1113" s="2" t="s">
        <v>36</v>
      </c>
      <c r="D1113" s="2">
        <v>343</v>
      </c>
    </row>
    <row r="1114" spans="1:4">
      <c r="A1114" s="2" t="s">
        <v>227</v>
      </c>
      <c r="B1114" s="2" t="s">
        <v>39</v>
      </c>
      <c r="C1114" s="2" t="s">
        <v>36</v>
      </c>
      <c r="D1114" s="2">
        <v>343</v>
      </c>
    </row>
    <row r="1115" spans="1:4">
      <c r="A1115" s="2" t="s">
        <v>1908</v>
      </c>
      <c r="B1115" s="2" t="s">
        <v>39</v>
      </c>
      <c r="C1115" s="2" t="s">
        <v>36</v>
      </c>
      <c r="D1115" s="2">
        <v>342</v>
      </c>
    </row>
    <row r="1116" spans="1:4">
      <c r="A1116" s="2" t="s">
        <v>3005</v>
      </c>
      <c r="B1116" s="2" t="s">
        <v>39</v>
      </c>
      <c r="C1116" s="2" t="s">
        <v>36</v>
      </c>
      <c r="D1116" s="2">
        <v>341</v>
      </c>
    </row>
    <row r="1117" spans="1:4">
      <c r="A1117" s="2" t="s">
        <v>2475</v>
      </c>
      <c r="B1117" s="2" t="s">
        <v>39</v>
      </c>
      <c r="C1117" s="2" t="s">
        <v>36</v>
      </c>
      <c r="D1117" s="2">
        <v>339</v>
      </c>
    </row>
    <row r="1118" spans="1:4">
      <c r="A1118" s="2" t="s">
        <v>260</v>
      </c>
      <c r="B1118" s="2" t="s">
        <v>39</v>
      </c>
      <c r="C1118" s="2" t="s">
        <v>36</v>
      </c>
      <c r="D1118" s="2">
        <v>338</v>
      </c>
    </row>
    <row r="1119" spans="1:4">
      <c r="A1119" s="2" t="s">
        <v>4229</v>
      </c>
      <c r="B1119" s="2" t="s">
        <v>39</v>
      </c>
      <c r="C1119" s="2" t="s">
        <v>36</v>
      </c>
      <c r="D1119" s="2">
        <v>337</v>
      </c>
    </row>
    <row r="1120" spans="1:4">
      <c r="A1120" s="2" t="s">
        <v>124</v>
      </c>
      <c r="B1120" s="2" t="s">
        <v>39</v>
      </c>
      <c r="C1120" s="2" t="s">
        <v>36</v>
      </c>
      <c r="D1120" s="2">
        <v>337</v>
      </c>
    </row>
    <row r="1121" spans="1:4">
      <c r="A1121" s="2" t="s">
        <v>2451</v>
      </c>
      <c r="B1121" s="2" t="s">
        <v>39</v>
      </c>
      <c r="C1121" s="2" t="s">
        <v>36</v>
      </c>
      <c r="D1121" s="2">
        <v>336</v>
      </c>
    </row>
    <row r="1122" spans="1:4">
      <c r="A1122" s="2" t="s">
        <v>3438</v>
      </c>
      <c r="B1122" s="2" t="s">
        <v>39</v>
      </c>
      <c r="C1122" s="2" t="s">
        <v>36</v>
      </c>
      <c r="D1122" s="2">
        <v>335</v>
      </c>
    </row>
    <row r="1123" spans="1:4">
      <c r="A1123" s="2" t="s">
        <v>1928</v>
      </c>
      <c r="B1123" s="2" t="s">
        <v>39</v>
      </c>
      <c r="C1123" s="2" t="s">
        <v>36</v>
      </c>
      <c r="D1123" s="2">
        <v>335</v>
      </c>
    </row>
    <row r="1124" spans="1:4">
      <c r="A1124" s="2" t="s">
        <v>1002</v>
      </c>
      <c r="B1124" s="2" t="s">
        <v>39</v>
      </c>
      <c r="C1124" s="2" t="s">
        <v>36</v>
      </c>
      <c r="D1124" s="2">
        <v>335</v>
      </c>
    </row>
    <row r="1125" spans="1:4">
      <c r="A1125" s="2" t="s">
        <v>2432</v>
      </c>
      <c r="B1125" s="2" t="s">
        <v>39</v>
      </c>
      <c r="C1125" s="2" t="s">
        <v>36</v>
      </c>
      <c r="D1125" s="2">
        <v>331</v>
      </c>
    </row>
    <row r="1126" spans="1:4">
      <c r="A1126" s="2" t="s">
        <v>1830</v>
      </c>
      <c r="B1126" s="2" t="s">
        <v>39</v>
      </c>
      <c r="C1126" s="2" t="s">
        <v>36</v>
      </c>
      <c r="D1126" s="2">
        <v>331</v>
      </c>
    </row>
    <row r="1127" spans="1:4">
      <c r="A1127" s="2" t="s">
        <v>70</v>
      </c>
      <c r="B1127" s="2" t="s">
        <v>39</v>
      </c>
      <c r="C1127" s="2" t="s">
        <v>36</v>
      </c>
      <c r="D1127" s="2">
        <v>330</v>
      </c>
    </row>
    <row r="1128" spans="1:4">
      <c r="A1128" s="2" t="s">
        <v>1863</v>
      </c>
      <c r="B1128" s="2" t="s">
        <v>39</v>
      </c>
      <c r="C1128" s="2" t="s">
        <v>36</v>
      </c>
      <c r="D1128" s="2">
        <v>330</v>
      </c>
    </row>
    <row r="1129" spans="1:4">
      <c r="A1129" s="2" t="s">
        <v>1847</v>
      </c>
      <c r="B1129" s="2" t="s">
        <v>39</v>
      </c>
      <c r="C1129" s="2" t="s">
        <v>36</v>
      </c>
      <c r="D1129" s="2">
        <v>330</v>
      </c>
    </row>
    <row r="1130" spans="1:4">
      <c r="A1130" s="2" t="s">
        <v>1865</v>
      </c>
      <c r="B1130" s="2" t="s">
        <v>39</v>
      </c>
      <c r="C1130" s="2" t="s">
        <v>36</v>
      </c>
      <c r="D1130" s="2">
        <v>328</v>
      </c>
    </row>
    <row r="1131" spans="1:4">
      <c r="A1131" s="2" t="s">
        <v>3013</v>
      </c>
      <c r="B1131" s="2" t="s">
        <v>39</v>
      </c>
      <c r="C1131" s="2" t="s">
        <v>36</v>
      </c>
      <c r="D1131" s="2">
        <v>327</v>
      </c>
    </row>
    <row r="1132" spans="1:4">
      <c r="A1132" s="2" t="s">
        <v>982</v>
      </c>
      <c r="B1132" s="2" t="s">
        <v>39</v>
      </c>
      <c r="C1132" s="2" t="s">
        <v>36</v>
      </c>
      <c r="D1132" s="2">
        <v>325</v>
      </c>
    </row>
    <row r="1133" spans="1:4">
      <c r="A1133" s="2" t="s">
        <v>1906</v>
      </c>
      <c r="B1133" s="2" t="s">
        <v>39</v>
      </c>
      <c r="C1133" s="2" t="s">
        <v>36</v>
      </c>
      <c r="D1133" s="2">
        <v>325</v>
      </c>
    </row>
    <row r="1134" spans="1:4">
      <c r="A1134" s="2" t="s">
        <v>2445</v>
      </c>
      <c r="B1134" s="2" t="s">
        <v>39</v>
      </c>
      <c r="C1134" s="2" t="s">
        <v>36</v>
      </c>
      <c r="D1134" s="2">
        <v>324</v>
      </c>
    </row>
    <row r="1135" spans="1:4">
      <c r="A1135" s="2" t="s">
        <v>1867</v>
      </c>
      <c r="B1135" s="2" t="s">
        <v>39</v>
      </c>
      <c r="C1135" s="2" t="s">
        <v>36</v>
      </c>
      <c r="D1135" s="2">
        <v>323</v>
      </c>
    </row>
    <row r="1136" spans="1:4">
      <c r="A1136" s="2" t="s">
        <v>1027</v>
      </c>
      <c r="B1136" s="2" t="s">
        <v>39</v>
      </c>
      <c r="C1136" s="2" t="s">
        <v>36</v>
      </c>
      <c r="D1136" s="2">
        <v>322</v>
      </c>
    </row>
    <row r="1137" spans="1:4">
      <c r="A1137" s="2" t="s">
        <v>1922</v>
      </c>
      <c r="B1137" s="2" t="s">
        <v>39</v>
      </c>
      <c r="C1137" s="2" t="s">
        <v>36</v>
      </c>
      <c r="D1137" s="2">
        <v>322</v>
      </c>
    </row>
    <row r="1138" spans="1:4">
      <c r="A1138" s="2" t="s">
        <v>2388</v>
      </c>
      <c r="B1138" s="2" t="s">
        <v>39</v>
      </c>
      <c r="C1138" s="2" t="s">
        <v>36</v>
      </c>
      <c r="D1138" s="2">
        <v>322</v>
      </c>
    </row>
    <row r="1139" spans="1:4">
      <c r="A1139" s="2" t="s">
        <v>2981</v>
      </c>
      <c r="B1139" s="2" t="s">
        <v>39</v>
      </c>
      <c r="C1139" s="2" t="s">
        <v>36</v>
      </c>
      <c r="D1139" s="2">
        <v>322</v>
      </c>
    </row>
    <row r="1140" spans="1:4">
      <c r="A1140" s="2" t="s">
        <v>1104</v>
      </c>
      <c r="B1140" s="2" t="s">
        <v>39</v>
      </c>
      <c r="C1140" s="2" t="s">
        <v>36</v>
      </c>
      <c r="D1140" s="2">
        <v>321</v>
      </c>
    </row>
    <row r="1141" spans="1:4">
      <c r="A1141" s="2" t="s">
        <v>4254</v>
      </c>
      <c r="B1141" s="2" t="s">
        <v>39</v>
      </c>
      <c r="C1141" s="2" t="s">
        <v>36</v>
      </c>
      <c r="D1141" s="2">
        <v>320</v>
      </c>
    </row>
    <row r="1142" spans="1:4">
      <c r="A1142" s="2" t="s">
        <v>2436</v>
      </c>
      <c r="B1142" s="2" t="s">
        <v>39</v>
      </c>
      <c r="C1142" s="2" t="s">
        <v>36</v>
      </c>
      <c r="D1142" s="2">
        <v>320</v>
      </c>
    </row>
    <row r="1143" spans="1:4">
      <c r="A1143" s="2" t="s">
        <v>1053</v>
      </c>
      <c r="B1143" s="2" t="s">
        <v>39</v>
      </c>
      <c r="C1143" s="2" t="s">
        <v>36</v>
      </c>
      <c r="D1143" s="2">
        <v>320</v>
      </c>
    </row>
    <row r="1144" spans="1:4">
      <c r="A1144" s="2" t="s">
        <v>1944</v>
      </c>
      <c r="B1144" s="2" t="s">
        <v>39</v>
      </c>
      <c r="C1144" s="2" t="s">
        <v>36</v>
      </c>
      <c r="D1144" s="2">
        <v>320</v>
      </c>
    </row>
    <row r="1145" spans="1:4">
      <c r="A1145" s="2" t="s">
        <v>201</v>
      </c>
      <c r="B1145" s="2" t="s">
        <v>39</v>
      </c>
      <c r="C1145" s="2" t="s">
        <v>36</v>
      </c>
      <c r="D1145" s="2">
        <v>319</v>
      </c>
    </row>
    <row r="1146" spans="1:4">
      <c r="A1146" s="2" t="s">
        <v>1910</v>
      </c>
      <c r="B1146" s="2" t="s">
        <v>39</v>
      </c>
      <c r="C1146" s="2" t="s">
        <v>36</v>
      </c>
      <c r="D1146" s="2">
        <v>317</v>
      </c>
    </row>
    <row r="1147" spans="1:4">
      <c r="A1147" s="2" t="s">
        <v>288</v>
      </c>
      <c r="B1147" s="2" t="s">
        <v>39</v>
      </c>
      <c r="C1147" s="2" t="s">
        <v>36</v>
      </c>
      <c r="D1147" s="2">
        <v>316</v>
      </c>
    </row>
    <row r="1148" spans="1:4">
      <c r="A1148" s="2" t="s">
        <v>3408</v>
      </c>
      <c r="B1148" s="2" t="s">
        <v>39</v>
      </c>
      <c r="C1148" s="2" t="s">
        <v>36</v>
      </c>
      <c r="D1148" s="2">
        <v>316</v>
      </c>
    </row>
    <row r="1149" spans="1:4">
      <c r="A1149" s="2" t="s">
        <v>948</v>
      </c>
      <c r="B1149" s="2" t="s">
        <v>39</v>
      </c>
      <c r="C1149" s="2" t="s">
        <v>36</v>
      </c>
      <c r="D1149" s="2">
        <v>314</v>
      </c>
    </row>
    <row r="1150" spans="1:4">
      <c r="A1150" s="2" t="s">
        <v>927</v>
      </c>
      <c r="B1150" s="2" t="s">
        <v>39</v>
      </c>
      <c r="C1150" s="2" t="s">
        <v>36</v>
      </c>
      <c r="D1150" s="2">
        <v>314</v>
      </c>
    </row>
    <row r="1151" spans="1:4">
      <c r="A1151" s="2" t="s">
        <v>2477</v>
      </c>
      <c r="B1151" s="2" t="s">
        <v>39</v>
      </c>
      <c r="C1151" s="2" t="s">
        <v>36</v>
      </c>
      <c r="D1151" s="2">
        <v>312</v>
      </c>
    </row>
    <row r="1152" spans="1:4">
      <c r="A1152" s="2" t="s">
        <v>2464</v>
      </c>
      <c r="B1152" s="2" t="s">
        <v>39</v>
      </c>
      <c r="C1152" s="2" t="s">
        <v>36</v>
      </c>
      <c r="D1152" s="2">
        <v>312</v>
      </c>
    </row>
    <row r="1153" spans="1:4">
      <c r="A1153" s="2" t="s">
        <v>4504</v>
      </c>
      <c r="B1153" s="2" t="s">
        <v>39</v>
      </c>
      <c r="C1153" s="2" t="s">
        <v>36</v>
      </c>
      <c r="D1153" s="2">
        <v>309</v>
      </c>
    </row>
    <row r="1154" spans="1:4">
      <c r="A1154" s="2" t="s">
        <v>973</v>
      </c>
      <c r="B1154" s="2" t="s">
        <v>39</v>
      </c>
      <c r="C1154" s="2" t="s">
        <v>36</v>
      </c>
      <c r="D1154" s="2">
        <v>308</v>
      </c>
    </row>
    <row r="1155" spans="1:4">
      <c r="A1155" s="2" t="s">
        <v>1004</v>
      </c>
      <c r="B1155" s="2" t="s">
        <v>39</v>
      </c>
      <c r="C1155" s="2" t="s">
        <v>36</v>
      </c>
      <c r="D1155" s="2">
        <v>307</v>
      </c>
    </row>
    <row r="1156" spans="1:4">
      <c r="A1156" s="2" t="s">
        <v>934</v>
      </c>
      <c r="B1156" s="2" t="s">
        <v>39</v>
      </c>
      <c r="C1156" s="2" t="s">
        <v>36</v>
      </c>
      <c r="D1156" s="2">
        <v>305</v>
      </c>
    </row>
    <row r="1157" spans="1:4">
      <c r="A1157" s="2" t="s">
        <v>1889</v>
      </c>
      <c r="B1157" s="2" t="s">
        <v>39</v>
      </c>
      <c r="C1157" s="2" t="s">
        <v>36</v>
      </c>
      <c r="D1157" s="2">
        <v>304</v>
      </c>
    </row>
    <row r="1158" spans="1:4">
      <c r="A1158" s="2" t="s">
        <v>1615</v>
      </c>
      <c r="B1158" s="2" t="s">
        <v>39</v>
      </c>
      <c r="C1158" s="2" t="s">
        <v>36</v>
      </c>
      <c r="D1158" s="2">
        <v>303</v>
      </c>
    </row>
    <row r="1159" spans="1:4">
      <c r="A1159" s="2" t="s">
        <v>3814</v>
      </c>
      <c r="B1159" s="2" t="s">
        <v>39</v>
      </c>
      <c r="C1159" s="2" t="s">
        <v>36</v>
      </c>
      <c r="D1159" s="2">
        <v>302</v>
      </c>
    </row>
    <row r="1160" spans="1:4">
      <c r="A1160" s="2" t="s">
        <v>121</v>
      </c>
      <c r="B1160" s="2" t="s">
        <v>39</v>
      </c>
      <c r="C1160" s="2" t="s">
        <v>36</v>
      </c>
      <c r="D1160" s="2">
        <v>301</v>
      </c>
    </row>
    <row r="1161" spans="1:4">
      <c r="A1161" s="2" t="s">
        <v>3852</v>
      </c>
      <c r="B1161" s="2" t="s">
        <v>39</v>
      </c>
      <c r="C1161" s="2" t="s">
        <v>36</v>
      </c>
      <c r="D1161" s="2">
        <v>299</v>
      </c>
    </row>
    <row r="1162" spans="1:4">
      <c r="A1162" s="2" t="s">
        <v>174</v>
      </c>
      <c r="B1162" s="2" t="s">
        <v>39</v>
      </c>
      <c r="C1162" s="2" t="s">
        <v>36</v>
      </c>
      <c r="D1162" s="2">
        <v>297</v>
      </c>
    </row>
    <row r="1163" spans="1:4">
      <c r="A1163" s="2" t="s">
        <v>1959</v>
      </c>
      <c r="B1163" s="2" t="s">
        <v>39</v>
      </c>
      <c r="C1163" s="2" t="s">
        <v>36</v>
      </c>
      <c r="D1163" s="2">
        <v>297</v>
      </c>
    </row>
    <row r="1164" spans="1:4">
      <c r="A1164" s="2" t="s">
        <v>4523</v>
      </c>
      <c r="B1164" s="2" t="s">
        <v>39</v>
      </c>
      <c r="C1164" s="2" t="s">
        <v>36</v>
      </c>
      <c r="D1164" s="2">
        <v>296</v>
      </c>
    </row>
    <row r="1165" spans="1:4">
      <c r="A1165" s="2" t="s">
        <v>1874</v>
      </c>
      <c r="B1165" s="2" t="s">
        <v>39</v>
      </c>
      <c r="C1165" s="2" t="s">
        <v>36</v>
      </c>
      <c r="D1165" s="2">
        <v>295</v>
      </c>
    </row>
    <row r="1166" spans="1:4">
      <c r="A1166" s="2" t="s">
        <v>3017</v>
      </c>
      <c r="B1166" s="2" t="s">
        <v>39</v>
      </c>
      <c r="C1166" s="2" t="s">
        <v>36</v>
      </c>
      <c r="D1166" s="2">
        <v>293</v>
      </c>
    </row>
    <row r="1167" spans="1:4">
      <c r="A1167" s="2" t="s">
        <v>181</v>
      </c>
      <c r="B1167" s="2" t="s">
        <v>39</v>
      </c>
      <c r="C1167" s="2" t="s">
        <v>36</v>
      </c>
      <c r="D1167" s="2">
        <v>292</v>
      </c>
    </row>
    <row r="1168" spans="1:4">
      <c r="A1168" s="2" t="s">
        <v>3856</v>
      </c>
      <c r="B1168" s="2" t="s">
        <v>39</v>
      </c>
      <c r="C1168" s="2" t="s">
        <v>36</v>
      </c>
      <c r="D1168" s="2">
        <v>292</v>
      </c>
    </row>
    <row r="1169" spans="1:4">
      <c r="A1169" s="2" t="s">
        <v>1015</v>
      </c>
      <c r="B1169" s="2" t="s">
        <v>39</v>
      </c>
      <c r="C1169" s="2" t="s">
        <v>36</v>
      </c>
      <c r="D1169" s="2">
        <v>291</v>
      </c>
    </row>
    <row r="1170" spans="1:4">
      <c r="A1170" s="2" t="s">
        <v>1021</v>
      </c>
      <c r="B1170" s="2" t="s">
        <v>39</v>
      </c>
      <c r="C1170" s="2" t="s">
        <v>36</v>
      </c>
      <c r="D1170" s="2">
        <v>291</v>
      </c>
    </row>
    <row r="1171" spans="1:4">
      <c r="A1171" s="2" t="s">
        <v>1581</v>
      </c>
      <c r="B1171" s="2" t="s">
        <v>39</v>
      </c>
      <c r="C1171" s="2" t="s">
        <v>36</v>
      </c>
      <c r="D1171" s="2">
        <v>286</v>
      </c>
    </row>
    <row r="1172" spans="1:4">
      <c r="A1172" s="2" t="s">
        <v>1019</v>
      </c>
      <c r="B1172" s="2" t="s">
        <v>39</v>
      </c>
      <c r="C1172" s="2" t="s">
        <v>36</v>
      </c>
      <c r="D1172" s="2">
        <v>285</v>
      </c>
    </row>
    <row r="1173" spans="1:4">
      <c r="A1173" s="2" t="s">
        <v>998</v>
      </c>
      <c r="B1173" s="2" t="s">
        <v>39</v>
      </c>
      <c r="C1173" s="2" t="s">
        <v>36</v>
      </c>
      <c r="D1173" s="2">
        <v>284</v>
      </c>
    </row>
    <row r="1174" spans="1:4">
      <c r="A1174" s="2" t="s">
        <v>3007</v>
      </c>
      <c r="B1174" s="2" t="s">
        <v>39</v>
      </c>
      <c r="C1174" s="2" t="s">
        <v>36</v>
      </c>
      <c r="D1174" s="2">
        <v>284</v>
      </c>
    </row>
    <row r="1175" spans="1:4">
      <c r="A1175" s="2" t="s">
        <v>3451</v>
      </c>
      <c r="B1175" s="2" t="s">
        <v>39</v>
      </c>
      <c r="C1175" s="2" t="s">
        <v>36</v>
      </c>
      <c r="D1175" s="2">
        <v>283</v>
      </c>
    </row>
    <row r="1176" spans="1:4">
      <c r="A1176" s="2" t="s">
        <v>2460</v>
      </c>
      <c r="B1176" s="2" t="s">
        <v>39</v>
      </c>
      <c r="C1176" s="2" t="s">
        <v>36</v>
      </c>
      <c r="D1176" s="2">
        <v>283</v>
      </c>
    </row>
    <row r="1177" spans="1:4">
      <c r="A1177" s="2" t="s">
        <v>2964</v>
      </c>
      <c r="B1177" s="2" t="s">
        <v>39</v>
      </c>
      <c r="C1177" s="2" t="s">
        <v>36</v>
      </c>
      <c r="D1177" s="2">
        <v>282</v>
      </c>
    </row>
    <row r="1178" spans="1:4">
      <c r="A1178" s="2" t="s">
        <v>1598</v>
      </c>
      <c r="B1178" s="2" t="s">
        <v>39</v>
      </c>
      <c r="C1178" s="2" t="s">
        <v>36</v>
      </c>
      <c r="D1178" s="2">
        <v>281</v>
      </c>
    </row>
    <row r="1179" spans="1:4">
      <c r="A1179" s="2" t="s">
        <v>2999</v>
      </c>
      <c r="B1179" s="2" t="s">
        <v>39</v>
      </c>
      <c r="C1179" s="2" t="s">
        <v>36</v>
      </c>
      <c r="D1179" s="2">
        <v>281</v>
      </c>
    </row>
    <row r="1180" spans="1:4">
      <c r="A1180" s="2" t="s">
        <v>3429</v>
      </c>
      <c r="B1180" s="2" t="s">
        <v>39</v>
      </c>
      <c r="C1180" s="2" t="s">
        <v>36</v>
      </c>
      <c r="D1180" s="2">
        <v>280</v>
      </c>
    </row>
    <row r="1181" spans="1:4">
      <c r="A1181" s="2" t="s">
        <v>4513</v>
      </c>
      <c r="B1181" s="2" t="s">
        <v>39</v>
      </c>
      <c r="C1181" s="2" t="s">
        <v>36</v>
      </c>
      <c r="D1181" s="2">
        <v>278</v>
      </c>
    </row>
    <row r="1182" spans="1:4">
      <c r="A1182" s="2" t="s">
        <v>3431</v>
      </c>
      <c r="B1182" s="2" t="s">
        <v>39</v>
      </c>
      <c r="C1182" s="2" t="s">
        <v>36</v>
      </c>
      <c r="D1182" s="2">
        <v>277</v>
      </c>
    </row>
    <row r="1183" spans="1:4">
      <c r="A1183" s="2" t="s">
        <v>3876</v>
      </c>
      <c r="B1183" s="2" t="s">
        <v>39</v>
      </c>
      <c r="C1183" s="2" t="s">
        <v>36</v>
      </c>
      <c r="D1183" s="2">
        <v>276</v>
      </c>
    </row>
    <row r="1184" spans="1:4">
      <c r="A1184" s="2" t="s">
        <v>4538</v>
      </c>
      <c r="B1184" s="2" t="s">
        <v>39</v>
      </c>
      <c r="C1184" s="2" t="s">
        <v>36</v>
      </c>
      <c r="D1184" s="2">
        <v>274</v>
      </c>
    </row>
    <row r="1185" spans="1:4">
      <c r="A1185" s="2" t="s">
        <v>1074</v>
      </c>
      <c r="B1185" s="2" t="s">
        <v>39</v>
      </c>
      <c r="C1185" s="2" t="s">
        <v>36</v>
      </c>
      <c r="D1185" s="2">
        <v>273</v>
      </c>
    </row>
    <row r="1186" spans="1:4">
      <c r="A1186" s="2" t="s">
        <v>4246</v>
      </c>
      <c r="B1186" s="2" t="s">
        <v>39</v>
      </c>
      <c r="C1186" s="2" t="s">
        <v>36</v>
      </c>
      <c r="D1186" s="2">
        <v>273</v>
      </c>
    </row>
    <row r="1187" spans="1:4">
      <c r="A1187" s="2" t="s">
        <v>2441</v>
      </c>
      <c r="B1187" s="2" t="s">
        <v>39</v>
      </c>
      <c r="C1187" s="2" t="s">
        <v>36</v>
      </c>
      <c r="D1187" s="2">
        <v>273</v>
      </c>
    </row>
    <row r="1188" spans="1:4">
      <c r="A1188" s="2" t="s">
        <v>2973</v>
      </c>
      <c r="B1188" s="2" t="s">
        <v>39</v>
      </c>
      <c r="C1188" s="2" t="s">
        <v>36</v>
      </c>
      <c r="D1188" s="2">
        <v>272</v>
      </c>
    </row>
    <row r="1189" spans="1:4">
      <c r="A1189" s="2" t="s">
        <v>1953</v>
      </c>
      <c r="B1189" s="2" t="s">
        <v>39</v>
      </c>
      <c r="C1189" s="2" t="s">
        <v>36</v>
      </c>
      <c r="D1189" s="2">
        <v>270</v>
      </c>
    </row>
    <row r="1190" spans="1:4">
      <c r="A1190" s="2" t="s">
        <v>4544</v>
      </c>
      <c r="B1190" s="2" t="s">
        <v>39</v>
      </c>
      <c r="C1190" s="2" t="s">
        <v>36</v>
      </c>
      <c r="D1190" s="2">
        <v>270</v>
      </c>
    </row>
    <row r="1191" spans="1:4">
      <c r="A1191" s="2" t="s">
        <v>2427</v>
      </c>
      <c r="B1191" s="2" t="s">
        <v>39</v>
      </c>
      <c r="C1191" s="2" t="s">
        <v>36</v>
      </c>
      <c r="D1191" s="2">
        <v>270</v>
      </c>
    </row>
    <row r="1192" spans="1:4">
      <c r="A1192" s="2" t="s">
        <v>136</v>
      </c>
      <c r="B1192" s="2" t="s">
        <v>39</v>
      </c>
      <c r="C1192" s="2" t="s">
        <v>36</v>
      </c>
      <c r="D1192" s="2">
        <v>269</v>
      </c>
    </row>
    <row r="1193" spans="1:4">
      <c r="A1193" s="2" t="s">
        <v>4570</v>
      </c>
      <c r="B1193" s="2" t="s">
        <v>39</v>
      </c>
      <c r="C1193" s="2" t="s">
        <v>36</v>
      </c>
      <c r="D1193" s="2">
        <v>268</v>
      </c>
    </row>
    <row r="1194" spans="1:4">
      <c r="A1194" s="2" t="s">
        <v>4508</v>
      </c>
      <c r="B1194" s="2" t="s">
        <v>39</v>
      </c>
      <c r="C1194" s="2" t="s">
        <v>36</v>
      </c>
      <c r="D1194" s="2">
        <v>267</v>
      </c>
    </row>
    <row r="1195" spans="1:4">
      <c r="A1195" s="2" t="s">
        <v>1858</v>
      </c>
      <c r="B1195" s="2" t="s">
        <v>39</v>
      </c>
      <c r="C1195" s="2" t="s">
        <v>36</v>
      </c>
      <c r="D1195" s="2">
        <v>267</v>
      </c>
    </row>
    <row r="1196" spans="1:4">
      <c r="A1196" s="2" t="s">
        <v>235</v>
      </c>
      <c r="B1196" s="2" t="s">
        <v>39</v>
      </c>
      <c r="C1196" s="2" t="s">
        <v>36</v>
      </c>
      <c r="D1196" s="2">
        <v>266</v>
      </c>
    </row>
    <row r="1197" spans="1:4">
      <c r="A1197" s="2" t="s">
        <v>2448</v>
      </c>
      <c r="B1197" s="2" t="s">
        <v>39</v>
      </c>
      <c r="C1197" s="2" t="s">
        <v>36</v>
      </c>
      <c r="D1197" s="2">
        <v>266</v>
      </c>
    </row>
    <row r="1198" spans="1:4">
      <c r="A1198" s="2" t="s">
        <v>248</v>
      </c>
      <c r="B1198" s="2" t="s">
        <v>39</v>
      </c>
      <c r="C1198" s="2" t="s">
        <v>36</v>
      </c>
      <c r="D1198" s="2">
        <v>265</v>
      </c>
    </row>
    <row r="1199" spans="1:4">
      <c r="A1199" s="2" t="s">
        <v>2513</v>
      </c>
      <c r="B1199" s="2" t="s">
        <v>39</v>
      </c>
      <c r="C1199" s="2" t="s">
        <v>36</v>
      </c>
      <c r="D1199" s="2">
        <v>265</v>
      </c>
    </row>
    <row r="1200" spans="1:4">
      <c r="A1200" s="2" t="s">
        <v>4532</v>
      </c>
      <c r="B1200" s="2" t="s">
        <v>39</v>
      </c>
      <c r="C1200" s="2" t="s">
        <v>36</v>
      </c>
      <c r="D1200" s="2">
        <v>264</v>
      </c>
    </row>
    <row r="1201" spans="1:4">
      <c r="A1201" s="2" t="s">
        <v>3842</v>
      </c>
      <c r="B1201" s="2" t="s">
        <v>39</v>
      </c>
      <c r="C1201" s="2" t="s">
        <v>36</v>
      </c>
      <c r="D1201" s="2">
        <v>264</v>
      </c>
    </row>
    <row r="1202" spans="1:4">
      <c r="A1202" s="2" t="s">
        <v>1946</v>
      </c>
      <c r="B1202" s="2" t="s">
        <v>39</v>
      </c>
      <c r="C1202" s="2" t="s">
        <v>36</v>
      </c>
      <c r="D1202" s="2">
        <v>264</v>
      </c>
    </row>
    <row r="1203" spans="1:4">
      <c r="A1203" s="2" t="s">
        <v>1611</v>
      </c>
      <c r="B1203" s="2" t="s">
        <v>39</v>
      </c>
      <c r="C1203" s="2" t="s">
        <v>36</v>
      </c>
      <c r="D1203" s="2">
        <v>263</v>
      </c>
    </row>
    <row r="1204" spans="1:4">
      <c r="A1204" s="2" t="s">
        <v>176</v>
      </c>
      <c r="B1204" s="2" t="s">
        <v>39</v>
      </c>
      <c r="C1204" s="2" t="s">
        <v>36</v>
      </c>
      <c r="D1204" s="2">
        <v>262</v>
      </c>
    </row>
    <row r="1205" spans="1:4">
      <c r="A1205" s="2" t="s">
        <v>1045</v>
      </c>
      <c r="B1205" s="2" t="s">
        <v>39</v>
      </c>
      <c r="C1205" s="2" t="s">
        <v>36</v>
      </c>
      <c r="D1205" s="2">
        <v>262</v>
      </c>
    </row>
    <row r="1206" spans="1:4">
      <c r="A1206" s="2" t="s">
        <v>4556</v>
      </c>
      <c r="B1206" s="2" t="s">
        <v>39</v>
      </c>
      <c r="C1206" s="2" t="s">
        <v>36</v>
      </c>
      <c r="D1206" s="2">
        <v>262</v>
      </c>
    </row>
    <row r="1207" spans="1:4">
      <c r="A1207" s="2" t="s">
        <v>4566</v>
      </c>
      <c r="B1207" s="2" t="s">
        <v>39</v>
      </c>
      <c r="C1207" s="2" t="s">
        <v>36</v>
      </c>
      <c r="D1207" s="2">
        <v>262</v>
      </c>
    </row>
    <row r="1208" spans="1:4">
      <c r="A1208" s="2" t="s">
        <v>3467</v>
      </c>
      <c r="B1208" s="2" t="s">
        <v>39</v>
      </c>
      <c r="C1208" s="2" t="s">
        <v>36</v>
      </c>
      <c r="D1208" s="2">
        <v>261</v>
      </c>
    </row>
    <row r="1209" spans="1:4">
      <c r="A1209" s="2" t="s">
        <v>963</v>
      </c>
      <c r="B1209" s="2" t="s">
        <v>39</v>
      </c>
      <c r="C1209" s="2" t="s">
        <v>36</v>
      </c>
      <c r="D1209" s="2">
        <v>259</v>
      </c>
    </row>
    <row r="1210" spans="1:4">
      <c r="A1210" s="2" t="s">
        <v>79</v>
      </c>
      <c r="B1210" s="2" t="s">
        <v>39</v>
      </c>
      <c r="C1210" s="2" t="s">
        <v>36</v>
      </c>
      <c r="D1210" s="2">
        <v>259</v>
      </c>
    </row>
    <row r="1211" spans="1:4">
      <c r="A1211" s="2" t="s">
        <v>1067</v>
      </c>
      <c r="B1211" s="2" t="s">
        <v>39</v>
      </c>
      <c r="C1211" s="2" t="s">
        <v>36</v>
      </c>
      <c r="D1211" s="2">
        <v>258</v>
      </c>
    </row>
    <row r="1212" spans="1:4">
      <c r="A1212" s="2" t="s">
        <v>4554</v>
      </c>
      <c r="B1212" s="2" t="s">
        <v>39</v>
      </c>
      <c r="C1212" s="2" t="s">
        <v>36</v>
      </c>
      <c r="D1212" s="2">
        <v>257</v>
      </c>
    </row>
    <row r="1213" spans="1:4">
      <c r="A1213" s="2" t="s">
        <v>1055</v>
      </c>
      <c r="B1213" s="2" t="s">
        <v>39</v>
      </c>
      <c r="C1213" s="2" t="s">
        <v>36</v>
      </c>
      <c r="D1213" s="2">
        <v>256</v>
      </c>
    </row>
    <row r="1214" spans="1:4">
      <c r="A1214" s="2" t="s">
        <v>3455</v>
      </c>
      <c r="B1214" s="2" t="s">
        <v>39</v>
      </c>
      <c r="C1214" s="2" t="s">
        <v>36</v>
      </c>
      <c r="D1214" s="2">
        <v>255</v>
      </c>
    </row>
    <row r="1215" spans="1:4">
      <c r="A1215" s="2" t="s">
        <v>258</v>
      </c>
      <c r="B1215" s="2" t="s">
        <v>39</v>
      </c>
      <c r="C1215" s="2" t="s">
        <v>36</v>
      </c>
      <c r="D1215" s="2">
        <v>255</v>
      </c>
    </row>
    <row r="1216" spans="1:4">
      <c r="A1216" s="2" t="s">
        <v>1063</v>
      </c>
      <c r="B1216" s="2" t="s">
        <v>39</v>
      </c>
      <c r="C1216" s="2" t="s">
        <v>36</v>
      </c>
      <c r="D1216" s="2">
        <v>255</v>
      </c>
    </row>
    <row r="1217" spans="1:4">
      <c r="A1217" s="2" t="s">
        <v>2484</v>
      </c>
      <c r="B1217" s="2" t="s">
        <v>39</v>
      </c>
      <c r="C1217" s="2" t="s">
        <v>36</v>
      </c>
      <c r="D1217" s="2">
        <v>253</v>
      </c>
    </row>
    <row r="1218" spans="1:4">
      <c r="A1218" s="2" t="s">
        <v>1080</v>
      </c>
      <c r="B1218" s="2" t="s">
        <v>39</v>
      </c>
      <c r="C1218" s="2" t="s">
        <v>36</v>
      </c>
      <c r="D1218" s="2">
        <v>252</v>
      </c>
    </row>
    <row r="1219" spans="1:4">
      <c r="A1219" s="2" t="s">
        <v>1861</v>
      </c>
      <c r="B1219" s="2" t="s">
        <v>39</v>
      </c>
      <c r="C1219" s="2" t="s">
        <v>36</v>
      </c>
      <c r="D1219" s="2">
        <v>251</v>
      </c>
    </row>
    <row r="1220" spans="1:4">
      <c r="A1220" s="2" t="s">
        <v>986</v>
      </c>
      <c r="B1220" s="2" t="s">
        <v>39</v>
      </c>
      <c r="C1220" s="2" t="s">
        <v>36</v>
      </c>
      <c r="D1220" s="2">
        <v>250</v>
      </c>
    </row>
    <row r="1221" spans="1:4">
      <c r="A1221" s="2" t="s">
        <v>1025</v>
      </c>
      <c r="B1221" s="2" t="s">
        <v>39</v>
      </c>
      <c r="C1221" s="2" t="s">
        <v>36</v>
      </c>
      <c r="D1221" s="2">
        <v>250</v>
      </c>
    </row>
    <row r="1222" spans="1:4">
      <c r="A1222" s="2" t="s">
        <v>1926</v>
      </c>
      <c r="B1222" s="2" t="s">
        <v>39</v>
      </c>
      <c r="C1222" s="2" t="s">
        <v>36</v>
      </c>
      <c r="D1222" s="2">
        <v>250</v>
      </c>
    </row>
    <row r="1223" spans="1:4">
      <c r="A1223" s="2" t="s">
        <v>2398</v>
      </c>
      <c r="B1223" s="2" t="s">
        <v>39</v>
      </c>
      <c r="C1223" s="2" t="s">
        <v>36</v>
      </c>
      <c r="D1223" s="2">
        <v>250</v>
      </c>
    </row>
    <row r="1224" spans="1:4">
      <c r="A1224" s="2" t="s">
        <v>3433</v>
      </c>
      <c r="B1224" s="2" t="s">
        <v>39</v>
      </c>
      <c r="C1224" s="2" t="s">
        <v>36</v>
      </c>
      <c r="D1224" s="2">
        <v>249</v>
      </c>
    </row>
    <row r="1225" spans="1:4">
      <c r="A1225" s="2" t="s">
        <v>2408</v>
      </c>
      <c r="B1225" s="2" t="s">
        <v>39</v>
      </c>
      <c r="C1225" s="2" t="s">
        <v>36</v>
      </c>
      <c r="D1225" s="2">
        <v>248</v>
      </c>
    </row>
    <row r="1226" spans="1:4">
      <c r="A1226" s="2" t="s">
        <v>269</v>
      </c>
      <c r="B1226" s="2" t="s">
        <v>39</v>
      </c>
      <c r="C1226" s="2" t="s">
        <v>36</v>
      </c>
      <c r="D1226" s="2">
        <v>248</v>
      </c>
    </row>
    <row r="1227" spans="1:4">
      <c r="A1227" s="2" t="s">
        <v>169</v>
      </c>
      <c r="B1227" s="2" t="s">
        <v>39</v>
      </c>
      <c r="C1227" s="2" t="s">
        <v>36</v>
      </c>
      <c r="D1227" s="2">
        <v>247</v>
      </c>
    </row>
    <row r="1228" spans="1:4">
      <c r="A1228" s="2" t="s">
        <v>164</v>
      </c>
      <c r="B1228" s="2" t="s">
        <v>39</v>
      </c>
      <c r="C1228" s="2" t="s">
        <v>36</v>
      </c>
      <c r="D1228" s="2">
        <v>246</v>
      </c>
    </row>
    <row r="1229" spans="1:4">
      <c r="A1229" s="2" t="s">
        <v>4481</v>
      </c>
      <c r="B1229" s="2" t="s">
        <v>39</v>
      </c>
      <c r="C1229" s="2" t="s">
        <v>36</v>
      </c>
      <c r="D1229" s="2">
        <v>246</v>
      </c>
    </row>
    <row r="1230" spans="1:4">
      <c r="A1230" s="2" t="s">
        <v>4530</v>
      </c>
      <c r="B1230" s="2" t="s">
        <v>39</v>
      </c>
      <c r="C1230" s="2" t="s">
        <v>36</v>
      </c>
      <c r="D1230" s="2">
        <v>244</v>
      </c>
    </row>
    <row r="1231" spans="1:4">
      <c r="A1231" s="2" t="s">
        <v>937</v>
      </c>
      <c r="B1231" s="2" t="s">
        <v>39</v>
      </c>
      <c r="C1231" s="2" t="s">
        <v>36</v>
      </c>
      <c r="D1231" s="2">
        <v>243</v>
      </c>
    </row>
    <row r="1232" spans="1:4">
      <c r="A1232" s="2" t="s">
        <v>231</v>
      </c>
      <c r="B1232" s="2" t="s">
        <v>39</v>
      </c>
      <c r="C1232" s="2" t="s">
        <v>36</v>
      </c>
      <c r="D1232" s="2">
        <v>243</v>
      </c>
    </row>
    <row r="1233" spans="1:4">
      <c r="A1233" s="2" t="s">
        <v>1094</v>
      </c>
      <c r="B1233" s="2" t="s">
        <v>39</v>
      </c>
      <c r="C1233" s="2" t="s">
        <v>36</v>
      </c>
      <c r="D1233" s="2">
        <v>243</v>
      </c>
    </row>
    <row r="1234" spans="1:4">
      <c r="A1234" s="2" t="s">
        <v>1880</v>
      </c>
      <c r="B1234" s="2" t="s">
        <v>39</v>
      </c>
      <c r="C1234" s="2" t="s">
        <v>36</v>
      </c>
      <c r="D1234" s="2">
        <v>241</v>
      </c>
    </row>
    <row r="1235" spans="1:4">
      <c r="A1235" s="2" t="s">
        <v>76</v>
      </c>
      <c r="B1235" s="2" t="s">
        <v>39</v>
      </c>
      <c r="C1235" s="2" t="s">
        <v>36</v>
      </c>
      <c r="D1235" s="2">
        <v>240</v>
      </c>
    </row>
    <row r="1236" spans="1:4">
      <c r="A1236" s="2" t="s">
        <v>2507</v>
      </c>
      <c r="B1236" s="2" t="s">
        <v>39</v>
      </c>
      <c r="C1236" s="2" t="s">
        <v>36</v>
      </c>
      <c r="D1236" s="2">
        <v>240</v>
      </c>
    </row>
    <row r="1237" spans="1:4">
      <c r="A1237" s="2" t="s">
        <v>1088</v>
      </c>
      <c r="B1237" s="2" t="s">
        <v>39</v>
      </c>
      <c r="C1237" s="2" t="s">
        <v>36</v>
      </c>
      <c r="D1237" s="2">
        <v>240</v>
      </c>
    </row>
    <row r="1238" spans="1:4">
      <c r="A1238" s="2" t="s">
        <v>3858</v>
      </c>
      <c r="B1238" s="2" t="s">
        <v>39</v>
      </c>
      <c r="C1238" s="2" t="s">
        <v>36</v>
      </c>
      <c r="D1238" s="2">
        <v>239</v>
      </c>
    </row>
    <row r="1239" spans="1:4">
      <c r="A1239" s="2" t="s">
        <v>3015</v>
      </c>
      <c r="B1239" s="2" t="s">
        <v>39</v>
      </c>
      <c r="C1239" s="2" t="s">
        <v>36</v>
      </c>
      <c r="D1239" s="2">
        <v>238</v>
      </c>
    </row>
    <row r="1240" spans="1:4">
      <c r="A1240" s="2" t="s">
        <v>290</v>
      </c>
      <c r="B1240" s="2" t="s">
        <v>39</v>
      </c>
      <c r="C1240" s="2" t="s">
        <v>36</v>
      </c>
      <c r="D1240" s="2">
        <v>237</v>
      </c>
    </row>
    <row r="1241" spans="1:4">
      <c r="A1241" s="2" t="s">
        <v>1936</v>
      </c>
      <c r="B1241" s="2" t="s">
        <v>39</v>
      </c>
      <c r="C1241" s="2" t="s">
        <v>36</v>
      </c>
      <c r="D1241" s="2">
        <v>237</v>
      </c>
    </row>
    <row r="1242" spans="1:4">
      <c r="A1242" s="2" t="s">
        <v>1898</v>
      </c>
      <c r="B1242" s="2" t="s">
        <v>39</v>
      </c>
      <c r="C1242" s="2" t="s">
        <v>36</v>
      </c>
      <c r="D1242" s="2">
        <v>235</v>
      </c>
    </row>
    <row r="1243" spans="1:4">
      <c r="A1243" s="2" t="s">
        <v>1605</v>
      </c>
      <c r="B1243" s="2" t="s">
        <v>39</v>
      </c>
      <c r="C1243" s="2" t="s">
        <v>36</v>
      </c>
      <c r="D1243" s="2">
        <v>235</v>
      </c>
    </row>
    <row r="1244" spans="1:4">
      <c r="A1244" s="2" t="s">
        <v>1043</v>
      </c>
      <c r="B1244" s="2" t="s">
        <v>39</v>
      </c>
      <c r="C1244" s="2" t="s">
        <v>36</v>
      </c>
      <c r="D1244" s="2">
        <v>234</v>
      </c>
    </row>
    <row r="1245" spans="1:4">
      <c r="A1245" s="2" t="s">
        <v>1039</v>
      </c>
      <c r="B1245" s="2" t="s">
        <v>39</v>
      </c>
      <c r="C1245" s="2" t="s">
        <v>36</v>
      </c>
      <c r="D1245" s="2">
        <v>233</v>
      </c>
    </row>
    <row r="1246" spans="1:4">
      <c r="A1246" s="2" t="s">
        <v>1092</v>
      </c>
      <c r="B1246" s="2" t="s">
        <v>39</v>
      </c>
      <c r="C1246" s="2" t="s">
        <v>36</v>
      </c>
      <c r="D1246" s="2">
        <v>233</v>
      </c>
    </row>
    <row r="1247" spans="1:4">
      <c r="A1247" s="2" t="s">
        <v>4506</v>
      </c>
      <c r="B1247" s="2" t="s">
        <v>39</v>
      </c>
      <c r="C1247" s="2" t="s">
        <v>36</v>
      </c>
      <c r="D1247" s="2">
        <v>232</v>
      </c>
    </row>
    <row r="1248" spans="1:4">
      <c r="A1248" s="2" t="s">
        <v>1872</v>
      </c>
      <c r="B1248" s="2" t="s">
        <v>39</v>
      </c>
      <c r="C1248" s="2" t="s">
        <v>36</v>
      </c>
      <c r="D1248" s="2">
        <v>231</v>
      </c>
    </row>
    <row r="1249" spans="1:4">
      <c r="A1249" s="2" t="s">
        <v>1071</v>
      </c>
      <c r="B1249" s="2" t="s">
        <v>39</v>
      </c>
      <c r="C1249" s="2" t="s">
        <v>36</v>
      </c>
      <c r="D1249" s="2">
        <v>231</v>
      </c>
    </row>
    <row r="1250" spans="1:4">
      <c r="A1250" s="2" t="s">
        <v>4237</v>
      </c>
      <c r="B1250" s="2" t="s">
        <v>39</v>
      </c>
      <c r="C1250" s="2" t="s">
        <v>36</v>
      </c>
      <c r="D1250" s="2">
        <v>231</v>
      </c>
    </row>
    <row r="1251" spans="1:4">
      <c r="A1251" s="2" t="s">
        <v>1904</v>
      </c>
      <c r="B1251" s="2" t="s">
        <v>39</v>
      </c>
      <c r="C1251" s="2" t="s">
        <v>36</v>
      </c>
      <c r="D1251" s="2">
        <v>230</v>
      </c>
    </row>
    <row r="1252" spans="1:4">
      <c r="A1252" s="2" t="s">
        <v>3848</v>
      </c>
      <c r="B1252" s="2" t="s">
        <v>39</v>
      </c>
      <c r="C1252" s="2" t="s">
        <v>36</v>
      </c>
      <c r="D1252" s="2">
        <v>230</v>
      </c>
    </row>
    <row r="1253" spans="1:4">
      <c r="A1253" s="2" t="s">
        <v>3880</v>
      </c>
      <c r="B1253" s="2" t="s">
        <v>39</v>
      </c>
      <c r="C1253" s="2" t="s">
        <v>36</v>
      </c>
      <c r="D1253" s="2">
        <v>230</v>
      </c>
    </row>
    <row r="1254" spans="1:4">
      <c r="A1254" s="2" t="s">
        <v>143</v>
      </c>
      <c r="B1254" s="2" t="s">
        <v>39</v>
      </c>
      <c r="C1254" s="2" t="s">
        <v>36</v>
      </c>
      <c r="D1254" s="2">
        <v>230</v>
      </c>
    </row>
    <row r="1255" spans="1:4">
      <c r="A1255" s="2" t="s">
        <v>3416</v>
      </c>
      <c r="B1255" s="2" t="s">
        <v>39</v>
      </c>
      <c r="C1255" s="2" t="s">
        <v>36</v>
      </c>
      <c r="D1255" s="2">
        <v>230</v>
      </c>
    </row>
    <row r="1256" spans="1:4">
      <c r="A1256" s="2" t="s">
        <v>3801</v>
      </c>
      <c r="B1256" s="2" t="s">
        <v>39</v>
      </c>
      <c r="C1256" s="2" t="s">
        <v>36</v>
      </c>
      <c r="D1256" s="2">
        <v>229</v>
      </c>
    </row>
    <row r="1257" spans="1:4">
      <c r="A1257" s="2" t="s">
        <v>4485</v>
      </c>
      <c r="B1257" s="2" t="s">
        <v>39</v>
      </c>
      <c r="C1257" s="2" t="s">
        <v>36</v>
      </c>
      <c r="D1257" s="2">
        <v>228</v>
      </c>
    </row>
    <row r="1258" spans="1:4">
      <c r="A1258" s="2" t="s">
        <v>3840</v>
      </c>
      <c r="B1258" s="2" t="s">
        <v>39</v>
      </c>
      <c r="C1258" s="2" t="s">
        <v>36</v>
      </c>
      <c r="D1258" s="2">
        <v>227</v>
      </c>
    </row>
    <row r="1259" spans="1:4">
      <c r="A1259" s="2" t="s">
        <v>2438</v>
      </c>
      <c r="B1259" s="2" t="s">
        <v>39</v>
      </c>
      <c r="C1259" s="2" t="s">
        <v>36</v>
      </c>
      <c r="D1259" s="2">
        <v>227</v>
      </c>
    </row>
    <row r="1260" spans="1:4">
      <c r="A1260" s="2" t="s">
        <v>103</v>
      </c>
      <c r="B1260" s="2" t="s">
        <v>39</v>
      </c>
      <c r="C1260" s="2" t="s">
        <v>36</v>
      </c>
      <c r="D1260" s="2">
        <v>227</v>
      </c>
    </row>
    <row r="1261" spans="1:4">
      <c r="A1261" s="2" t="s">
        <v>3868</v>
      </c>
      <c r="B1261" s="2" t="s">
        <v>39</v>
      </c>
      <c r="C1261" s="2" t="s">
        <v>36</v>
      </c>
      <c r="D1261" s="2">
        <v>226</v>
      </c>
    </row>
    <row r="1262" spans="1:4">
      <c r="A1262" s="2" t="s">
        <v>1914</v>
      </c>
      <c r="B1262" s="2" t="s">
        <v>39</v>
      </c>
      <c r="C1262" s="2" t="s">
        <v>36</v>
      </c>
      <c r="D1262" s="2">
        <v>224</v>
      </c>
    </row>
    <row r="1263" spans="1:4">
      <c r="A1263" s="2" t="s">
        <v>1047</v>
      </c>
      <c r="B1263" s="2" t="s">
        <v>39</v>
      </c>
      <c r="C1263" s="2" t="s">
        <v>36</v>
      </c>
      <c r="D1263" s="2">
        <v>224</v>
      </c>
    </row>
    <row r="1264" spans="1:4">
      <c r="A1264" s="2" t="s">
        <v>980</v>
      </c>
      <c r="B1264" s="2" t="s">
        <v>39</v>
      </c>
      <c r="C1264" s="2" t="s">
        <v>36</v>
      </c>
      <c r="D1264" s="2">
        <v>223</v>
      </c>
    </row>
    <row r="1265" spans="1:4">
      <c r="A1265" s="2" t="s">
        <v>2434</v>
      </c>
      <c r="B1265" s="2" t="s">
        <v>39</v>
      </c>
      <c r="C1265" s="2" t="s">
        <v>36</v>
      </c>
      <c r="D1265" s="2">
        <v>223</v>
      </c>
    </row>
    <row r="1266" spans="1:4">
      <c r="A1266" s="2" t="s">
        <v>183</v>
      </c>
      <c r="B1266" s="2" t="s">
        <v>39</v>
      </c>
      <c r="C1266" s="2" t="s">
        <v>36</v>
      </c>
      <c r="D1266" s="2">
        <v>223</v>
      </c>
    </row>
    <row r="1267" spans="1:4">
      <c r="A1267" s="2" t="s">
        <v>1591</v>
      </c>
      <c r="B1267" s="2" t="s">
        <v>39</v>
      </c>
      <c r="C1267" s="2" t="s">
        <v>36</v>
      </c>
      <c r="D1267" s="2">
        <v>222</v>
      </c>
    </row>
    <row r="1268" spans="1:4">
      <c r="A1268" s="2" t="s">
        <v>2970</v>
      </c>
      <c r="B1268" s="2" t="s">
        <v>39</v>
      </c>
      <c r="C1268" s="2" t="s">
        <v>36</v>
      </c>
      <c r="D1268" s="2">
        <v>221</v>
      </c>
    </row>
    <row r="1269" spans="1:4">
      <c r="A1269" s="2" t="s">
        <v>2978</v>
      </c>
      <c r="B1269" s="2" t="s">
        <v>39</v>
      </c>
      <c r="C1269" s="2" t="s">
        <v>36</v>
      </c>
      <c r="D1269" s="2">
        <v>220</v>
      </c>
    </row>
    <row r="1270" spans="1:4">
      <c r="A1270" s="2" t="s">
        <v>252</v>
      </c>
      <c r="B1270" s="2" t="s">
        <v>39</v>
      </c>
      <c r="C1270" s="2" t="s">
        <v>36</v>
      </c>
      <c r="D1270" s="2">
        <v>220</v>
      </c>
    </row>
    <row r="1271" spans="1:4">
      <c r="A1271" s="2" t="s">
        <v>4258</v>
      </c>
      <c r="B1271" s="2" t="s">
        <v>39</v>
      </c>
      <c r="C1271" s="2" t="s">
        <v>36</v>
      </c>
      <c r="D1271" s="2">
        <v>220</v>
      </c>
    </row>
    <row r="1272" spans="1:4">
      <c r="A1272" s="2" t="s">
        <v>994</v>
      </c>
      <c r="B1272" s="2" t="s">
        <v>39</v>
      </c>
      <c r="C1272" s="2" t="s">
        <v>36</v>
      </c>
      <c r="D1272" s="2">
        <v>220</v>
      </c>
    </row>
    <row r="1273" spans="1:4">
      <c r="A1273" s="2" t="s">
        <v>1108</v>
      </c>
      <c r="B1273" s="2" t="s">
        <v>39</v>
      </c>
      <c r="C1273" s="2" t="s">
        <v>36</v>
      </c>
      <c r="D1273" s="2">
        <v>219</v>
      </c>
    </row>
    <row r="1274" spans="1:4">
      <c r="A1274" s="2" t="s">
        <v>3001</v>
      </c>
      <c r="B1274" s="2" t="s">
        <v>39</v>
      </c>
      <c r="C1274" s="2" t="s">
        <v>36</v>
      </c>
      <c r="D1274" s="2">
        <v>212</v>
      </c>
    </row>
    <row r="1275" spans="1:4">
      <c r="A1275" s="2" t="s">
        <v>3816</v>
      </c>
      <c r="B1275" s="2" t="s">
        <v>39</v>
      </c>
      <c r="C1275" s="2" t="s">
        <v>36</v>
      </c>
      <c r="D1275" s="2">
        <v>211</v>
      </c>
    </row>
    <row r="1276" spans="1:4">
      <c r="A1276" s="2" t="s">
        <v>1940</v>
      </c>
      <c r="B1276" s="2" t="s">
        <v>39</v>
      </c>
      <c r="C1276" s="2" t="s">
        <v>36</v>
      </c>
      <c r="D1276" s="2">
        <v>210</v>
      </c>
    </row>
    <row r="1277" spans="1:4">
      <c r="A1277" s="2" t="s">
        <v>2429</v>
      </c>
      <c r="B1277" s="2" t="s">
        <v>39</v>
      </c>
      <c r="C1277" s="2" t="s">
        <v>36</v>
      </c>
      <c r="D1277" s="2">
        <v>209</v>
      </c>
    </row>
    <row r="1278" spans="1:4">
      <c r="A1278" s="2" t="s">
        <v>4521</v>
      </c>
      <c r="B1278" s="2" t="s">
        <v>39</v>
      </c>
      <c r="C1278" s="2" t="s">
        <v>36</v>
      </c>
      <c r="D1278" s="2">
        <v>208</v>
      </c>
    </row>
    <row r="1279" spans="1:4">
      <c r="A1279" s="2" t="s">
        <v>1013</v>
      </c>
      <c r="B1279" s="2" t="s">
        <v>39</v>
      </c>
      <c r="C1279" s="2" t="s">
        <v>36</v>
      </c>
      <c r="D1279" s="2">
        <v>206</v>
      </c>
    </row>
    <row r="1280" spans="1:4">
      <c r="A1280" s="2" t="s">
        <v>4492</v>
      </c>
      <c r="B1280" s="2" t="s">
        <v>39</v>
      </c>
      <c r="C1280" s="2" t="s">
        <v>36</v>
      </c>
      <c r="D1280" s="2">
        <v>206</v>
      </c>
    </row>
    <row r="1281" spans="1:4">
      <c r="A1281" s="2" t="s">
        <v>2967</v>
      </c>
      <c r="B1281" s="2" t="s">
        <v>39</v>
      </c>
      <c r="C1281" s="2" t="s">
        <v>36</v>
      </c>
      <c r="D1281" s="2">
        <v>206</v>
      </c>
    </row>
    <row r="1282" spans="1:4">
      <c r="A1282" s="2" t="s">
        <v>1607</v>
      </c>
      <c r="B1282" s="2" t="s">
        <v>39</v>
      </c>
      <c r="C1282" s="2" t="s">
        <v>36</v>
      </c>
      <c r="D1282" s="2">
        <v>205</v>
      </c>
    </row>
    <row r="1283" spans="1:4">
      <c r="A1283" s="2" t="s">
        <v>1619</v>
      </c>
      <c r="B1283" s="2" t="s">
        <v>39</v>
      </c>
      <c r="C1283" s="2" t="s">
        <v>36</v>
      </c>
      <c r="D1283" s="2">
        <v>203</v>
      </c>
    </row>
    <row r="1284" spans="1:4">
      <c r="A1284" s="2" t="s">
        <v>3473</v>
      </c>
      <c r="B1284" s="2" t="s">
        <v>39</v>
      </c>
      <c r="C1284" s="2" t="s">
        <v>36</v>
      </c>
      <c r="D1284" s="2">
        <v>203</v>
      </c>
    </row>
    <row r="1285" spans="1:4">
      <c r="A1285" s="2" t="s">
        <v>1084</v>
      </c>
      <c r="B1285" s="2" t="s">
        <v>39</v>
      </c>
      <c r="C1285" s="2" t="s">
        <v>36</v>
      </c>
      <c r="D1285" s="2">
        <v>201</v>
      </c>
    </row>
    <row r="1286" spans="1:4">
      <c r="A1286" s="2" t="s">
        <v>1951</v>
      </c>
      <c r="B1286" s="2" t="s">
        <v>39</v>
      </c>
      <c r="C1286" s="2" t="s">
        <v>36</v>
      </c>
      <c r="D1286" s="2">
        <v>197</v>
      </c>
    </row>
    <row r="1287" spans="1:4">
      <c r="A1287" s="2" t="s">
        <v>3807</v>
      </c>
      <c r="B1287" s="2" t="s">
        <v>39</v>
      </c>
      <c r="C1287" s="2" t="s">
        <v>36</v>
      </c>
      <c r="D1287" s="2">
        <v>197</v>
      </c>
    </row>
    <row r="1288" spans="1:4">
      <c r="A1288" s="2" t="s">
        <v>4534</v>
      </c>
      <c r="B1288" s="2" t="s">
        <v>39</v>
      </c>
      <c r="C1288" s="2" t="s">
        <v>36</v>
      </c>
      <c r="D1288" s="2">
        <v>197</v>
      </c>
    </row>
    <row r="1289" spans="1:4">
      <c r="A1289" s="2" t="s">
        <v>2995</v>
      </c>
      <c r="B1289" s="2" t="s">
        <v>39</v>
      </c>
      <c r="C1289" s="2" t="s">
        <v>36</v>
      </c>
      <c r="D1289" s="2">
        <v>197</v>
      </c>
    </row>
    <row r="1290" spans="1:4">
      <c r="A1290" s="2" t="s">
        <v>4525</v>
      </c>
      <c r="B1290" s="2" t="s">
        <v>39</v>
      </c>
      <c r="C1290" s="2" t="s">
        <v>36</v>
      </c>
      <c r="D1290" s="2">
        <v>197</v>
      </c>
    </row>
    <row r="1291" spans="1:4">
      <c r="A1291" s="2" t="s">
        <v>4560</v>
      </c>
      <c r="B1291" s="2" t="s">
        <v>39</v>
      </c>
      <c r="C1291" s="2" t="s">
        <v>36</v>
      </c>
      <c r="D1291" s="2">
        <v>197</v>
      </c>
    </row>
    <row r="1292" spans="1:4">
      <c r="A1292" s="2" t="s">
        <v>134</v>
      </c>
      <c r="B1292" s="2" t="s">
        <v>39</v>
      </c>
      <c r="C1292" s="2" t="s">
        <v>36</v>
      </c>
      <c r="D1292" s="2">
        <v>196</v>
      </c>
    </row>
    <row r="1293" spans="1:4">
      <c r="A1293" s="2" t="s">
        <v>4264</v>
      </c>
      <c r="B1293" s="2" t="s">
        <v>39</v>
      </c>
      <c r="C1293" s="2" t="s">
        <v>36</v>
      </c>
      <c r="D1293" s="2">
        <v>195</v>
      </c>
    </row>
    <row r="1294" spans="1:4">
      <c r="A1294" s="2" t="s">
        <v>2415</v>
      </c>
      <c r="B1294" s="2" t="s">
        <v>39</v>
      </c>
      <c r="C1294" s="2" t="s">
        <v>36</v>
      </c>
      <c r="D1294" s="2">
        <v>195</v>
      </c>
    </row>
    <row r="1295" spans="1:4">
      <c r="A1295" s="2" t="s">
        <v>1086</v>
      </c>
      <c r="B1295" s="2" t="s">
        <v>39</v>
      </c>
      <c r="C1295" s="2" t="s">
        <v>36</v>
      </c>
      <c r="D1295" s="2">
        <v>193</v>
      </c>
    </row>
    <row r="1296" spans="1:4">
      <c r="A1296" s="2" t="s">
        <v>237</v>
      </c>
      <c r="B1296" s="2" t="s">
        <v>39</v>
      </c>
      <c r="C1296" s="2" t="s">
        <v>36</v>
      </c>
      <c r="D1296" s="2">
        <v>193</v>
      </c>
    </row>
    <row r="1297" spans="1:4">
      <c r="A1297" s="2" t="s">
        <v>1069</v>
      </c>
      <c r="B1297" s="2" t="s">
        <v>39</v>
      </c>
      <c r="C1297" s="2" t="s">
        <v>36</v>
      </c>
      <c r="D1297" s="2">
        <v>190</v>
      </c>
    </row>
    <row r="1298" spans="1:4">
      <c r="A1298" s="2" t="s">
        <v>1586</v>
      </c>
      <c r="B1298" s="2" t="s">
        <v>39</v>
      </c>
      <c r="C1298" s="2" t="s">
        <v>36</v>
      </c>
      <c r="D1298" s="2">
        <v>189</v>
      </c>
    </row>
    <row r="1299" spans="1:4">
      <c r="A1299" s="2" t="s">
        <v>221</v>
      </c>
      <c r="B1299" s="2" t="s">
        <v>39</v>
      </c>
      <c r="C1299" s="2" t="s">
        <v>36</v>
      </c>
      <c r="D1299" s="2">
        <v>189</v>
      </c>
    </row>
    <row r="1300" spans="1:4">
      <c r="A1300" s="2" t="s">
        <v>3463</v>
      </c>
      <c r="B1300" s="2" t="s">
        <v>39</v>
      </c>
      <c r="C1300" s="2" t="s">
        <v>36</v>
      </c>
      <c r="D1300" s="2">
        <v>189</v>
      </c>
    </row>
    <row r="1301" spans="1:4">
      <c r="A1301" s="2" t="s">
        <v>975</v>
      </c>
      <c r="B1301" s="2" t="s">
        <v>39</v>
      </c>
      <c r="C1301" s="2" t="s">
        <v>36</v>
      </c>
      <c r="D1301" s="2">
        <v>187</v>
      </c>
    </row>
    <row r="1302" spans="1:4">
      <c r="A1302" s="2" t="s">
        <v>2511</v>
      </c>
      <c r="B1302" s="2" t="s">
        <v>39</v>
      </c>
      <c r="C1302" s="2" t="s">
        <v>36</v>
      </c>
      <c r="D1302" s="2">
        <v>186</v>
      </c>
    </row>
    <row r="1303" spans="1:4">
      <c r="A1303" s="2" t="s">
        <v>2517</v>
      </c>
      <c r="B1303" s="2" t="s">
        <v>39</v>
      </c>
      <c r="C1303" s="2" t="s">
        <v>36</v>
      </c>
      <c r="D1303" s="2">
        <v>186</v>
      </c>
    </row>
    <row r="1304" spans="1:4">
      <c r="A1304" s="2" t="s">
        <v>3832</v>
      </c>
      <c r="B1304" s="2" t="s">
        <v>39</v>
      </c>
      <c r="C1304" s="2" t="s">
        <v>36</v>
      </c>
      <c r="D1304" s="2">
        <v>184</v>
      </c>
    </row>
    <row r="1305" spans="1:4">
      <c r="A1305" s="2" t="s">
        <v>116</v>
      </c>
      <c r="B1305" s="2" t="s">
        <v>39</v>
      </c>
      <c r="C1305" s="2" t="s">
        <v>36</v>
      </c>
      <c r="D1305" s="2">
        <v>183</v>
      </c>
    </row>
    <row r="1306" spans="1:4">
      <c r="A1306" s="2" t="s">
        <v>3874</v>
      </c>
      <c r="B1306" s="2" t="s">
        <v>39</v>
      </c>
      <c r="C1306" s="2" t="s">
        <v>36</v>
      </c>
      <c r="D1306" s="2">
        <v>182</v>
      </c>
    </row>
    <row r="1307" spans="1:4">
      <c r="A1307" s="2" t="s">
        <v>2455</v>
      </c>
      <c r="B1307" s="2" t="s">
        <v>39</v>
      </c>
      <c r="C1307" s="2" t="s">
        <v>36</v>
      </c>
      <c r="D1307" s="2">
        <v>182</v>
      </c>
    </row>
    <row r="1308" spans="1:4">
      <c r="A1308" s="2" t="s">
        <v>1090</v>
      </c>
      <c r="B1308" s="2" t="s">
        <v>39</v>
      </c>
      <c r="C1308" s="2" t="s">
        <v>36</v>
      </c>
      <c r="D1308" s="2">
        <v>181</v>
      </c>
    </row>
    <row r="1309" spans="1:4">
      <c r="A1309" s="2" t="s">
        <v>4252</v>
      </c>
      <c r="B1309" s="2" t="s">
        <v>39</v>
      </c>
      <c r="C1309" s="2" t="s">
        <v>36</v>
      </c>
      <c r="D1309" s="2">
        <v>180</v>
      </c>
    </row>
    <row r="1310" spans="1:4">
      <c r="A1310" s="2" t="s">
        <v>145</v>
      </c>
      <c r="B1310" s="2" t="s">
        <v>39</v>
      </c>
      <c r="C1310" s="2" t="s">
        <v>36</v>
      </c>
      <c r="D1310" s="2">
        <v>180</v>
      </c>
    </row>
    <row r="1311" spans="1:4">
      <c r="A1311" s="2" t="s">
        <v>2993</v>
      </c>
      <c r="B1311" s="2" t="s">
        <v>39</v>
      </c>
      <c r="C1311" s="2" t="s">
        <v>36</v>
      </c>
      <c r="D1311" s="2">
        <v>179</v>
      </c>
    </row>
    <row r="1312" spans="1:4">
      <c r="A1312" s="2" t="s">
        <v>3886</v>
      </c>
      <c r="B1312" s="2" t="s">
        <v>39</v>
      </c>
      <c r="C1312" s="2" t="s">
        <v>36</v>
      </c>
      <c r="D1312" s="2">
        <v>179</v>
      </c>
    </row>
    <row r="1313" spans="1:4">
      <c r="A1313" s="2" t="s">
        <v>225</v>
      </c>
      <c r="B1313" s="2" t="s">
        <v>39</v>
      </c>
      <c r="C1313" s="2" t="s">
        <v>36</v>
      </c>
      <c r="D1313" s="2">
        <v>177</v>
      </c>
    </row>
    <row r="1314" spans="1:4">
      <c r="A1314" s="2" t="s">
        <v>58</v>
      </c>
      <c r="B1314" s="2" t="s">
        <v>39</v>
      </c>
      <c r="C1314" s="2" t="s">
        <v>36</v>
      </c>
      <c r="D1314" s="2">
        <v>177</v>
      </c>
    </row>
    <row r="1315" spans="1:4">
      <c r="A1315" s="2" t="s">
        <v>1834</v>
      </c>
      <c r="B1315" s="2" t="s">
        <v>39</v>
      </c>
      <c r="C1315" s="2" t="s">
        <v>36</v>
      </c>
      <c r="D1315" s="2">
        <v>177</v>
      </c>
    </row>
    <row r="1316" spans="1:4">
      <c r="A1316" s="2" t="s">
        <v>1082</v>
      </c>
      <c r="B1316" s="2" t="s">
        <v>39</v>
      </c>
      <c r="C1316" s="2" t="s">
        <v>36</v>
      </c>
      <c r="D1316" s="2">
        <v>176</v>
      </c>
    </row>
    <row r="1317" spans="1:4">
      <c r="A1317" s="2" t="s">
        <v>984</v>
      </c>
      <c r="B1317" s="2" t="s">
        <v>39</v>
      </c>
      <c r="C1317" s="2" t="s">
        <v>36</v>
      </c>
      <c r="D1317" s="2">
        <v>175</v>
      </c>
    </row>
    <row r="1318" spans="1:4">
      <c r="A1318" s="2" t="s">
        <v>2997</v>
      </c>
      <c r="B1318" s="2" t="s">
        <v>39</v>
      </c>
      <c r="C1318" s="2" t="s">
        <v>36</v>
      </c>
      <c r="D1318" s="2">
        <v>175</v>
      </c>
    </row>
    <row r="1319" spans="1:4">
      <c r="A1319" s="2" t="s">
        <v>3830</v>
      </c>
      <c r="B1319" s="2" t="s">
        <v>39</v>
      </c>
      <c r="C1319" s="2" t="s">
        <v>36</v>
      </c>
      <c r="D1319" s="2">
        <v>175</v>
      </c>
    </row>
    <row r="1320" spans="1:4">
      <c r="A1320" s="2" t="s">
        <v>977</v>
      </c>
      <c r="B1320" s="2" t="s">
        <v>39</v>
      </c>
      <c r="C1320" s="2" t="s">
        <v>36</v>
      </c>
      <c r="D1320" s="2">
        <v>174</v>
      </c>
    </row>
    <row r="1321" spans="1:4">
      <c r="A1321" s="2" t="s">
        <v>3003</v>
      </c>
      <c r="B1321" s="2" t="s">
        <v>39</v>
      </c>
      <c r="C1321" s="2" t="s">
        <v>36</v>
      </c>
      <c r="D1321" s="2">
        <v>174</v>
      </c>
    </row>
    <row r="1322" spans="1:4">
      <c r="A1322" s="2" t="s">
        <v>1017</v>
      </c>
      <c r="B1322" s="2" t="s">
        <v>39</v>
      </c>
      <c r="C1322" s="2" t="s">
        <v>36</v>
      </c>
      <c r="D1322" s="2">
        <v>173</v>
      </c>
    </row>
    <row r="1323" spans="1:4">
      <c r="A1323" s="2" t="s">
        <v>3793</v>
      </c>
      <c r="B1323" s="2" t="s">
        <v>39</v>
      </c>
      <c r="C1323" s="2" t="s">
        <v>36</v>
      </c>
      <c r="D1323" s="2">
        <v>173</v>
      </c>
    </row>
    <row r="1324" spans="1:4">
      <c r="A1324" s="2" t="s">
        <v>4511</v>
      </c>
      <c r="B1324" s="2" t="s">
        <v>39</v>
      </c>
      <c r="C1324" s="2" t="s">
        <v>36</v>
      </c>
      <c r="D1324" s="2">
        <v>171</v>
      </c>
    </row>
    <row r="1325" spans="1:4">
      <c r="A1325" s="2" t="s">
        <v>55</v>
      </c>
      <c r="B1325" s="2" t="s">
        <v>39</v>
      </c>
      <c r="C1325" s="2" t="s">
        <v>36</v>
      </c>
      <c r="D1325" s="2">
        <v>171</v>
      </c>
    </row>
    <row r="1326" spans="1:4">
      <c r="A1326" s="2" t="s">
        <v>4540</v>
      </c>
      <c r="B1326" s="2" t="s">
        <v>39</v>
      </c>
      <c r="C1326" s="2" t="s">
        <v>36</v>
      </c>
      <c r="D1326" s="2">
        <v>171</v>
      </c>
    </row>
    <row r="1327" spans="1:4">
      <c r="A1327" s="2" t="s">
        <v>2515</v>
      </c>
      <c r="B1327" s="2" t="s">
        <v>39</v>
      </c>
      <c r="C1327" s="2" t="s">
        <v>36</v>
      </c>
      <c r="D1327" s="2">
        <v>171</v>
      </c>
    </row>
    <row r="1328" spans="1:4">
      <c r="A1328" s="2" t="s">
        <v>1033</v>
      </c>
      <c r="B1328" s="2" t="s">
        <v>39</v>
      </c>
      <c r="C1328" s="2" t="s">
        <v>36</v>
      </c>
      <c r="D1328" s="2">
        <v>171</v>
      </c>
    </row>
    <row r="1329" spans="1:4">
      <c r="A1329" s="2" t="s">
        <v>954</v>
      </c>
      <c r="B1329" s="2" t="s">
        <v>39</v>
      </c>
      <c r="C1329" s="2" t="s">
        <v>36</v>
      </c>
      <c r="D1329" s="2">
        <v>169</v>
      </c>
    </row>
    <row r="1330" spans="1:4">
      <c r="A1330" s="2" t="s">
        <v>3812</v>
      </c>
      <c r="B1330" s="2" t="s">
        <v>39</v>
      </c>
      <c r="C1330" s="2" t="s">
        <v>36</v>
      </c>
      <c r="D1330" s="2">
        <v>169</v>
      </c>
    </row>
    <row r="1331" spans="1:4">
      <c r="A1331" s="2" t="s">
        <v>4235</v>
      </c>
      <c r="B1331" s="2" t="s">
        <v>39</v>
      </c>
      <c r="C1331" s="2" t="s">
        <v>36</v>
      </c>
      <c r="D1331" s="2">
        <v>168</v>
      </c>
    </row>
    <row r="1332" spans="1:4">
      <c r="A1332" s="2" t="s">
        <v>215</v>
      </c>
      <c r="B1332" s="2" t="s">
        <v>39</v>
      </c>
      <c r="C1332" s="2" t="s">
        <v>36</v>
      </c>
      <c r="D1332" s="2">
        <v>167</v>
      </c>
    </row>
    <row r="1333" spans="1:4">
      <c r="A1333" s="2" t="s">
        <v>132</v>
      </c>
      <c r="B1333" s="2" t="s">
        <v>39</v>
      </c>
      <c r="C1333" s="2" t="s">
        <v>36</v>
      </c>
      <c r="D1333" s="2">
        <v>166</v>
      </c>
    </row>
    <row r="1334" spans="1:4">
      <c r="A1334" s="2" t="s">
        <v>1851</v>
      </c>
      <c r="B1334" s="2" t="s">
        <v>39</v>
      </c>
      <c r="C1334" s="2" t="s">
        <v>36</v>
      </c>
      <c r="D1334" s="2">
        <v>166</v>
      </c>
    </row>
    <row r="1335" spans="1:4">
      <c r="A1335" s="2" t="s">
        <v>1078</v>
      </c>
      <c r="B1335" s="2" t="s">
        <v>39</v>
      </c>
      <c r="C1335" s="2" t="s">
        <v>36</v>
      </c>
      <c r="D1335" s="2">
        <v>165</v>
      </c>
    </row>
    <row r="1336" spans="1:4">
      <c r="A1336" s="2" t="s">
        <v>85</v>
      </c>
      <c r="B1336" s="2" t="s">
        <v>39</v>
      </c>
      <c r="C1336" s="2" t="s">
        <v>36</v>
      </c>
      <c r="D1336" s="2">
        <v>164</v>
      </c>
    </row>
    <row r="1337" spans="1:4">
      <c r="A1337" s="2" t="s">
        <v>2492</v>
      </c>
      <c r="B1337" s="2" t="s">
        <v>39</v>
      </c>
      <c r="C1337" s="2" t="s">
        <v>36</v>
      </c>
      <c r="D1337" s="2">
        <v>164</v>
      </c>
    </row>
    <row r="1338" spans="1:4">
      <c r="A1338" s="2" t="s">
        <v>217</v>
      </c>
      <c r="B1338" s="2" t="s">
        <v>39</v>
      </c>
      <c r="C1338" s="2" t="s">
        <v>36</v>
      </c>
      <c r="D1338" s="2">
        <v>163</v>
      </c>
    </row>
    <row r="1339" spans="1:4">
      <c r="A1339" s="2" t="s">
        <v>1006</v>
      </c>
      <c r="B1339" s="2" t="s">
        <v>39</v>
      </c>
      <c r="C1339" s="2" t="s">
        <v>36</v>
      </c>
      <c r="D1339" s="2">
        <v>163</v>
      </c>
    </row>
    <row r="1340" spans="1:4">
      <c r="A1340" s="2" t="s">
        <v>2470</v>
      </c>
      <c r="B1340" s="2" t="s">
        <v>39</v>
      </c>
      <c r="C1340" s="2" t="s">
        <v>36</v>
      </c>
      <c r="D1340" s="2">
        <v>162</v>
      </c>
    </row>
    <row r="1341" spans="1:4">
      <c r="A1341" s="2" t="s">
        <v>1110</v>
      </c>
      <c r="B1341" s="2" t="s">
        <v>39</v>
      </c>
      <c r="C1341" s="2" t="s">
        <v>36</v>
      </c>
      <c r="D1341" s="2">
        <v>161</v>
      </c>
    </row>
    <row r="1342" spans="1:4">
      <c r="A1342" s="2" t="s">
        <v>3469</v>
      </c>
      <c r="B1342" s="2" t="s">
        <v>39</v>
      </c>
      <c r="C1342" s="2" t="s">
        <v>36</v>
      </c>
      <c r="D1342" s="2">
        <v>160</v>
      </c>
    </row>
    <row r="1343" spans="1:4">
      <c r="A1343" s="2" t="s">
        <v>1948</v>
      </c>
      <c r="B1343" s="2" t="s">
        <v>39</v>
      </c>
      <c r="C1343" s="2" t="s">
        <v>36</v>
      </c>
      <c r="D1343" s="2">
        <v>159</v>
      </c>
    </row>
    <row r="1344" spans="1:4">
      <c r="A1344" s="2" t="s">
        <v>956</v>
      </c>
      <c r="B1344" s="2" t="s">
        <v>39</v>
      </c>
      <c r="C1344" s="2" t="s">
        <v>36</v>
      </c>
      <c r="D1344" s="2">
        <v>157</v>
      </c>
    </row>
    <row r="1345" spans="1:4">
      <c r="A1345" s="2" t="s">
        <v>3465</v>
      </c>
      <c r="B1345" s="2" t="s">
        <v>39</v>
      </c>
      <c r="C1345" s="2" t="s">
        <v>36</v>
      </c>
      <c r="D1345" s="2">
        <v>155</v>
      </c>
    </row>
    <row r="1346" spans="1:4">
      <c r="A1346" s="2" t="s">
        <v>2502</v>
      </c>
      <c r="B1346" s="2" t="s">
        <v>39</v>
      </c>
      <c r="C1346" s="2" t="s">
        <v>36</v>
      </c>
      <c r="D1346" s="2">
        <v>155</v>
      </c>
    </row>
    <row r="1347" spans="1:4">
      <c r="A1347" s="2" t="s">
        <v>141</v>
      </c>
      <c r="B1347" s="2" t="s">
        <v>39</v>
      </c>
      <c r="C1347" s="2" t="s">
        <v>36</v>
      </c>
      <c r="D1347" s="2">
        <v>154</v>
      </c>
    </row>
    <row r="1348" spans="1:4">
      <c r="A1348" s="2" t="s">
        <v>1617</v>
      </c>
      <c r="B1348" s="2" t="s">
        <v>39</v>
      </c>
      <c r="C1348" s="2" t="s">
        <v>36</v>
      </c>
      <c r="D1348" s="2">
        <v>153</v>
      </c>
    </row>
    <row r="1349" spans="1:4">
      <c r="A1349" s="2" t="s">
        <v>4260</v>
      </c>
      <c r="B1349" s="2" t="s">
        <v>39</v>
      </c>
      <c r="C1349" s="2" t="s">
        <v>36</v>
      </c>
      <c r="D1349" s="2">
        <v>151</v>
      </c>
    </row>
    <row r="1350" spans="1:4">
      <c r="A1350" s="2" t="s">
        <v>3860</v>
      </c>
      <c r="B1350" s="2" t="s">
        <v>39</v>
      </c>
      <c r="C1350" s="2" t="s">
        <v>36</v>
      </c>
      <c r="D1350" s="2">
        <v>151</v>
      </c>
    </row>
    <row r="1351" spans="1:4">
      <c r="A1351" s="2" t="s">
        <v>3421</v>
      </c>
      <c r="B1351" s="2" t="s">
        <v>39</v>
      </c>
      <c r="C1351" s="2" t="s">
        <v>36</v>
      </c>
      <c r="D1351" s="2">
        <v>150</v>
      </c>
    </row>
    <row r="1352" spans="1:4">
      <c r="A1352" s="2" t="s">
        <v>94</v>
      </c>
      <c r="B1352" s="2" t="s">
        <v>39</v>
      </c>
      <c r="C1352" s="2" t="s">
        <v>36</v>
      </c>
      <c r="D1352" s="2">
        <v>149</v>
      </c>
    </row>
    <row r="1353" spans="1:4">
      <c r="A1353" s="2" t="s">
        <v>1942</v>
      </c>
      <c r="B1353" s="2" t="s">
        <v>39</v>
      </c>
      <c r="C1353" s="2" t="s">
        <v>36</v>
      </c>
      <c r="D1353" s="2">
        <v>149</v>
      </c>
    </row>
    <row r="1354" spans="1:4">
      <c r="A1354" s="2" t="s">
        <v>961</v>
      </c>
      <c r="B1354" s="2" t="s">
        <v>39</v>
      </c>
      <c r="C1354" s="2" t="s">
        <v>36</v>
      </c>
      <c r="D1354" s="2">
        <v>148</v>
      </c>
    </row>
    <row r="1355" spans="1:4">
      <c r="A1355" s="2" t="s">
        <v>3823</v>
      </c>
      <c r="B1355" s="2" t="s">
        <v>39</v>
      </c>
      <c r="C1355" s="2" t="s">
        <v>36</v>
      </c>
      <c r="D1355" s="2">
        <v>148</v>
      </c>
    </row>
    <row r="1356" spans="1:4">
      <c r="A1356" s="2" t="s">
        <v>223</v>
      </c>
      <c r="B1356" s="2" t="s">
        <v>39</v>
      </c>
      <c r="C1356" s="2" t="s">
        <v>36</v>
      </c>
      <c r="D1356" s="2">
        <v>148</v>
      </c>
    </row>
    <row r="1357" spans="1:4">
      <c r="A1357" s="2" t="s">
        <v>3009</v>
      </c>
      <c r="B1357" s="2" t="s">
        <v>39</v>
      </c>
      <c r="C1357" s="2" t="s">
        <v>36</v>
      </c>
      <c r="D1357" s="2">
        <v>148</v>
      </c>
    </row>
    <row r="1358" spans="1:4">
      <c r="A1358" s="2" t="s">
        <v>3426</v>
      </c>
      <c r="B1358" s="2" t="s">
        <v>39</v>
      </c>
      <c r="C1358" s="2" t="s">
        <v>36</v>
      </c>
      <c r="D1358" s="2">
        <v>147</v>
      </c>
    </row>
    <row r="1359" spans="1:4">
      <c r="A1359" s="2" t="s">
        <v>3461</v>
      </c>
      <c r="B1359" s="2" t="s">
        <v>39</v>
      </c>
      <c r="C1359" s="2" t="s">
        <v>36</v>
      </c>
      <c r="D1359" s="2">
        <v>145</v>
      </c>
    </row>
    <row r="1360" spans="1:4">
      <c r="A1360" s="2" t="s">
        <v>951</v>
      </c>
      <c r="B1360" s="2" t="s">
        <v>39</v>
      </c>
      <c r="C1360" s="2" t="s">
        <v>36</v>
      </c>
      <c r="D1360" s="2">
        <v>144</v>
      </c>
    </row>
    <row r="1361" spans="1:4">
      <c r="A1361" s="2" t="s">
        <v>988</v>
      </c>
      <c r="B1361" s="2" t="s">
        <v>39</v>
      </c>
      <c r="C1361" s="2" t="s">
        <v>36</v>
      </c>
      <c r="D1361" s="2">
        <v>144</v>
      </c>
    </row>
    <row r="1362" spans="1:4">
      <c r="A1362" s="2" t="s">
        <v>2418</v>
      </c>
      <c r="B1362" s="2" t="s">
        <v>39</v>
      </c>
      <c r="C1362" s="2" t="s">
        <v>36</v>
      </c>
      <c r="D1362" s="2">
        <v>144</v>
      </c>
    </row>
    <row r="1363" spans="1:4">
      <c r="A1363" s="2" t="s">
        <v>3884</v>
      </c>
      <c r="B1363" s="2" t="s">
        <v>39</v>
      </c>
      <c r="C1363" s="2" t="s">
        <v>36</v>
      </c>
      <c r="D1363" s="2">
        <v>143</v>
      </c>
    </row>
    <row r="1364" spans="1:4">
      <c r="A1364" s="2" t="s">
        <v>3890</v>
      </c>
      <c r="B1364" s="2" t="s">
        <v>39</v>
      </c>
      <c r="C1364" s="2" t="s">
        <v>36</v>
      </c>
      <c r="D1364" s="2">
        <v>137</v>
      </c>
    </row>
    <row r="1365" spans="1:4">
      <c r="A1365" s="2" t="s">
        <v>2496</v>
      </c>
      <c r="B1365" s="2" t="s">
        <v>39</v>
      </c>
      <c r="C1365" s="2" t="s">
        <v>36</v>
      </c>
      <c r="D1365" s="2">
        <v>137</v>
      </c>
    </row>
    <row r="1366" spans="1:4">
      <c r="A1366" s="2" t="s">
        <v>1102</v>
      </c>
      <c r="B1366" s="2" t="s">
        <v>39</v>
      </c>
      <c r="C1366" s="2" t="s">
        <v>36</v>
      </c>
      <c r="D1366" s="2">
        <v>137</v>
      </c>
    </row>
    <row r="1367" spans="1:4">
      <c r="A1367" s="2" t="s">
        <v>3820</v>
      </c>
      <c r="B1367" s="2" t="s">
        <v>39</v>
      </c>
      <c r="C1367" s="2" t="s">
        <v>36</v>
      </c>
      <c r="D1367" s="2">
        <v>136</v>
      </c>
    </row>
    <row r="1368" spans="1:4">
      <c r="A1368" s="2" t="s">
        <v>3872</v>
      </c>
      <c r="B1368" s="2" t="s">
        <v>39</v>
      </c>
      <c r="C1368" s="2" t="s">
        <v>36</v>
      </c>
      <c r="D1368" s="2">
        <v>136</v>
      </c>
    </row>
    <row r="1369" spans="1:4">
      <c r="A1369" s="2" t="s">
        <v>3878</v>
      </c>
      <c r="B1369" s="2" t="s">
        <v>39</v>
      </c>
      <c r="C1369" s="2" t="s">
        <v>36</v>
      </c>
      <c r="D1369" s="2">
        <v>135</v>
      </c>
    </row>
    <row r="1370" spans="1:4">
      <c r="A1370" s="2" t="s">
        <v>4542</v>
      </c>
      <c r="B1370" s="2" t="s">
        <v>39</v>
      </c>
      <c r="C1370" s="2" t="s">
        <v>36</v>
      </c>
      <c r="D1370" s="2">
        <v>135</v>
      </c>
    </row>
    <row r="1371" spans="1:4">
      <c r="A1371" s="2" t="s">
        <v>244</v>
      </c>
      <c r="B1371" s="2" t="s">
        <v>39</v>
      </c>
      <c r="C1371" s="2" t="s">
        <v>36</v>
      </c>
      <c r="D1371" s="2">
        <v>133</v>
      </c>
    </row>
    <row r="1372" spans="1:4">
      <c r="A1372" s="2" t="s">
        <v>3818</v>
      </c>
      <c r="B1372" s="2" t="s">
        <v>39</v>
      </c>
      <c r="C1372" s="2" t="s">
        <v>36</v>
      </c>
      <c r="D1372" s="2">
        <v>133</v>
      </c>
    </row>
    <row r="1373" spans="1:4">
      <c r="A1373" s="2" t="s">
        <v>1924</v>
      </c>
      <c r="B1373" s="2" t="s">
        <v>39</v>
      </c>
      <c r="C1373" s="2" t="s">
        <v>36</v>
      </c>
      <c r="D1373" s="2">
        <v>132</v>
      </c>
    </row>
    <row r="1374" spans="1:4">
      <c r="A1374" s="2" t="s">
        <v>4266</v>
      </c>
      <c r="B1374" s="2" t="s">
        <v>39</v>
      </c>
      <c r="C1374" s="2" t="s">
        <v>36</v>
      </c>
      <c r="D1374" s="2">
        <v>132</v>
      </c>
    </row>
    <row r="1375" spans="1:4">
      <c r="A1375" s="2" t="s">
        <v>3435</v>
      </c>
      <c r="B1375" s="2" t="s">
        <v>39</v>
      </c>
      <c r="C1375" s="2" t="s">
        <v>36</v>
      </c>
      <c r="D1375" s="2">
        <v>132</v>
      </c>
    </row>
    <row r="1376" spans="1:4">
      <c r="A1376" s="2" t="s">
        <v>1031</v>
      </c>
      <c r="B1376" s="2" t="s">
        <v>39</v>
      </c>
      <c r="C1376" s="2" t="s">
        <v>36</v>
      </c>
      <c r="D1376" s="2">
        <v>131</v>
      </c>
    </row>
    <row r="1377" spans="1:4">
      <c r="A1377" s="2" t="s">
        <v>3888</v>
      </c>
      <c r="B1377" s="2" t="s">
        <v>39</v>
      </c>
      <c r="C1377" s="2" t="s">
        <v>36</v>
      </c>
      <c r="D1377" s="2">
        <v>130</v>
      </c>
    </row>
    <row r="1378" spans="1:4">
      <c r="A1378" s="2" t="s">
        <v>210</v>
      </c>
      <c r="B1378" s="2" t="s">
        <v>39</v>
      </c>
      <c r="C1378" s="2" t="s">
        <v>36</v>
      </c>
      <c r="D1378" s="2">
        <v>130</v>
      </c>
    </row>
    <row r="1379" spans="1:4">
      <c r="A1379" s="2" t="s">
        <v>2393</v>
      </c>
      <c r="B1379" s="2" t="s">
        <v>39</v>
      </c>
      <c r="C1379" s="2" t="s">
        <v>36</v>
      </c>
      <c r="D1379" s="2">
        <v>122</v>
      </c>
    </row>
    <row r="1380" spans="1:4">
      <c r="A1380" s="2" t="s">
        <v>1106</v>
      </c>
      <c r="B1380" s="2" t="s">
        <v>39</v>
      </c>
      <c r="C1380" s="2" t="s">
        <v>36</v>
      </c>
      <c r="D1380" s="2">
        <v>121</v>
      </c>
    </row>
    <row r="1381" spans="1:4">
      <c r="A1381" s="2" t="s">
        <v>2390</v>
      </c>
      <c r="B1381" s="2" t="s">
        <v>39</v>
      </c>
      <c r="C1381" s="2" t="s">
        <v>36</v>
      </c>
      <c r="D1381" s="2">
        <v>119</v>
      </c>
    </row>
    <row r="1382" spans="1:4">
      <c r="A1382" s="2" t="s">
        <v>3471</v>
      </c>
      <c r="B1382" s="2" t="s">
        <v>39</v>
      </c>
      <c r="C1382" s="2" t="s">
        <v>36</v>
      </c>
      <c r="D1382" s="2">
        <v>119</v>
      </c>
    </row>
    <row r="1383" spans="1:4">
      <c r="A1383" s="2" t="s">
        <v>1885</v>
      </c>
      <c r="B1383" s="2" t="s">
        <v>39</v>
      </c>
      <c r="C1383" s="2" t="s">
        <v>36</v>
      </c>
      <c r="D1383" s="2">
        <v>118</v>
      </c>
    </row>
    <row r="1384" spans="1:4">
      <c r="A1384" s="2" t="s">
        <v>3453</v>
      </c>
      <c r="B1384" s="2" t="s">
        <v>39</v>
      </c>
      <c r="C1384" s="2" t="s">
        <v>36</v>
      </c>
      <c r="D1384" s="2">
        <v>118</v>
      </c>
    </row>
    <row r="1385" spans="1:4">
      <c r="A1385" s="2" t="s">
        <v>2413</v>
      </c>
      <c r="B1385" s="2" t="s">
        <v>39</v>
      </c>
      <c r="C1385" s="2" t="s">
        <v>36</v>
      </c>
      <c r="D1385" s="2">
        <v>117</v>
      </c>
    </row>
    <row r="1386" spans="1:4">
      <c r="A1386" s="2" t="s">
        <v>197</v>
      </c>
      <c r="B1386" s="2" t="s">
        <v>39</v>
      </c>
      <c r="C1386" s="2" t="s">
        <v>36</v>
      </c>
      <c r="D1386" s="2">
        <v>114</v>
      </c>
    </row>
    <row r="1387" spans="1:4">
      <c r="A1387" s="2" t="s">
        <v>4248</v>
      </c>
      <c r="B1387" s="2" t="s">
        <v>39</v>
      </c>
      <c r="C1387" s="2" t="s">
        <v>36</v>
      </c>
      <c r="D1387" s="2">
        <v>114</v>
      </c>
    </row>
    <row r="1388" spans="1:4">
      <c r="A1388" s="2" t="s">
        <v>3870</v>
      </c>
      <c r="B1388" s="2" t="s">
        <v>39</v>
      </c>
      <c r="C1388" s="2" t="s">
        <v>36</v>
      </c>
      <c r="D1388" s="2">
        <v>110</v>
      </c>
    </row>
    <row r="1389" spans="1:4">
      <c r="A1389" s="2" t="s">
        <v>4250</v>
      </c>
      <c r="B1389" s="2" t="s">
        <v>39</v>
      </c>
      <c r="C1389" s="2" t="s">
        <v>36</v>
      </c>
      <c r="D1389" s="2">
        <v>105</v>
      </c>
    </row>
    <row r="1390" spans="1:4">
      <c r="A1390" s="2" t="s">
        <v>958</v>
      </c>
      <c r="B1390" s="2" t="s">
        <v>39</v>
      </c>
      <c r="C1390" s="2" t="s">
        <v>36</v>
      </c>
      <c r="D1390" s="2">
        <v>103</v>
      </c>
    </row>
    <row r="1391" spans="1:4">
      <c r="A1391" s="2" t="s">
        <v>2481</v>
      </c>
      <c r="B1391" s="2" t="s">
        <v>39</v>
      </c>
      <c r="C1391" s="2" t="s">
        <v>36</v>
      </c>
      <c r="D1391" s="2">
        <v>101</v>
      </c>
    </row>
    <row r="1392" spans="1:4">
      <c r="A1392" s="2" t="s">
        <v>2406</v>
      </c>
      <c r="B1392" s="2" t="s">
        <v>39</v>
      </c>
      <c r="C1392" s="2" t="s">
        <v>36</v>
      </c>
      <c r="D1392" s="2">
        <v>101</v>
      </c>
    </row>
    <row r="1393" spans="1:4">
      <c r="A1393" s="2" t="s">
        <v>1100</v>
      </c>
      <c r="B1393" s="2" t="s">
        <v>39</v>
      </c>
      <c r="C1393" s="2" t="s">
        <v>36</v>
      </c>
      <c r="D1393" s="2">
        <v>100</v>
      </c>
    </row>
    <row r="1394" spans="1:4">
      <c r="A1394" s="2" t="s">
        <v>1000</v>
      </c>
      <c r="B1394" s="2" t="s">
        <v>39</v>
      </c>
      <c r="C1394" s="2" t="s">
        <v>36</v>
      </c>
      <c r="D1394" s="2">
        <v>100</v>
      </c>
    </row>
    <row r="1395" spans="1:4">
      <c r="A1395" s="2" t="s">
        <v>1057</v>
      </c>
      <c r="B1395" s="2" t="s">
        <v>39</v>
      </c>
      <c r="C1395" s="2" t="s">
        <v>36</v>
      </c>
      <c r="D1395" s="2">
        <v>99</v>
      </c>
    </row>
    <row r="1396" spans="1:4">
      <c r="A1396" s="2" t="s">
        <v>3011</v>
      </c>
      <c r="B1396" s="2" t="s">
        <v>39</v>
      </c>
      <c r="C1396" s="2" t="s">
        <v>36</v>
      </c>
      <c r="D1396" s="2">
        <v>99</v>
      </c>
    </row>
    <row r="1397" spans="1:4">
      <c r="A1397" s="2" t="s">
        <v>1076</v>
      </c>
      <c r="B1397" s="2" t="s">
        <v>39</v>
      </c>
      <c r="C1397" s="2" t="s">
        <v>36</v>
      </c>
      <c r="D1397" s="2">
        <v>97</v>
      </c>
    </row>
    <row r="1398" spans="1:4">
      <c r="A1398" s="2" t="s">
        <v>2401</v>
      </c>
      <c r="B1398" s="2" t="s">
        <v>39</v>
      </c>
      <c r="C1398" s="2" t="s">
        <v>36</v>
      </c>
      <c r="D1398" s="2">
        <v>96</v>
      </c>
    </row>
    <row r="1399" spans="1:4">
      <c r="A1399" s="2" t="s">
        <v>208</v>
      </c>
      <c r="B1399" s="2" t="s">
        <v>39</v>
      </c>
      <c r="C1399" s="2" t="s">
        <v>36</v>
      </c>
      <c r="D1399" s="2">
        <v>95</v>
      </c>
    </row>
    <row r="1400" spans="1:4">
      <c r="A1400" s="2" t="s">
        <v>1098</v>
      </c>
      <c r="B1400" s="2" t="s">
        <v>39</v>
      </c>
      <c r="C1400" s="2" t="s">
        <v>36</v>
      </c>
      <c r="D1400" s="2">
        <v>94</v>
      </c>
    </row>
    <row r="1401" spans="1:4">
      <c r="A1401" s="2" t="s">
        <v>1613</v>
      </c>
      <c r="B1401" s="2" t="s">
        <v>39</v>
      </c>
      <c r="C1401" s="2" t="s">
        <v>36</v>
      </c>
      <c r="D1401" s="2">
        <v>94</v>
      </c>
    </row>
    <row r="1402" spans="1:4">
      <c r="A1402" s="2" t="s">
        <v>4262</v>
      </c>
      <c r="B1402" s="2" t="s">
        <v>39</v>
      </c>
      <c r="C1402" s="2" t="s">
        <v>36</v>
      </c>
      <c r="D1402" s="2">
        <v>94</v>
      </c>
    </row>
    <row r="1403" spans="1:4">
      <c r="A1403" s="2" t="s">
        <v>1893</v>
      </c>
      <c r="B1403" s="2" t="s">
        <v>39</v>
      </c>
      <c r="C1403" s="2" t="s">
        <v>36</v>
      </c>
      <c r="D1403" s="2">
        <v>94</v>
      </c>
    </row>
    <row r="1404" spans="1:4">
      <c r="A1404" s="2" t="s">
        <v>1843</v>
      </c>
      <c r="B1404" s="2" t="s">
        <v>39</v>
      </c>
      <c r="C1404" s="2" t="s">
        <v>36</v>
      </c>
      <c r="D1404" s="2">
        <v>92</v>
      </c>
    </row>
    <row r="1405" spans="1:4">
      <c r="A1405" s="2" t="s">
        <v>1891</v>
      </c>
      <c r="B1405" s="2" t="s">
        <v>39</v>
      </c>
      <c r="C1405" s="2" t="s">
        <v>36</v>
      </c>
      <c r="D1405" s="2">
        <v>91</v>
      </c>
    </row>
    <row r="1406" spans="1:4">
      <c r="A1406" s="2" t="s">
        <v>1061</v>
      </c>
      <c r="B1406" s="2" t="s">
        <v>39</v>
      </c>
      <c r="C1406" s="2" t="s">
        <v>36</v>
      </c>
      <c r="D1406" s="2">
        <v>91</v>
      </c>
    </row>
    <row r="1407" spans="1:4">
      <c r="A1407" s="2" t="s">
        <v>3866</v>
      </c>
      <c r="B1407" s="2" t="s">
        <v>39</v>
      </c>
      <c r="C1407" s="2" t="s">
        <v>36</v>
      </c>
      <c r="D1407" s="2">
        <v>90</v>
      </c>
    </row>
    <row r="1408" spans="1:4">
      <c r="A1408" s="2" t="s">
        <v>1010</v>
      </c>
      <c r="B1408" s="2" t="s">
        <v>39</v>
      </c>
      <c r="C1408" s="2" t="s">
        <v>36</v>
      </c>
      <c r="D1408" s="2">
        <v>89</v>
      </c>
    </row>
    <row r="1409" spans="1:4">
      <c r="A1409" s="2" t="s">
        <v>2384</v>
      </c>
      <c r="B1409" s="2" t="s">
        <v>39</v>
      </c>
      <c r="C1409" s="2" t="s">
        <v>36</v>
      </c>
      <c r="D1409" s="2">
        <v>89</v>
      </c>
    </row>
    <row r="1410" spans="1:4">
      <c r="A1410" s="2" t="s">
        <v>4574</v>
      </c>
      <c r="B1410" s="2" t="s">
        <v>39</v>
      </c>
      <c r="C1410" s="2" t="s">
        <v>36</v>
      </c>
      <c r="D1410" s="2">
        <v>89</v>
      </c>
    </row>
    <row r="1411" spans="1:4">
      <c r="A1411" s="2" t="s">
        <v>2457</v>
      </c>
      <c r="B1411" s="2" t="s">
        <v>39</v>
      </c>
      <c r="C1411" s="2" t="s">
        <v>36</v>
      </c>
      <c r="D1411" s="2">
        <v>88</v>
      </c>
    </row>
    <row r="1412" spans="1:4">
      <c r="A1412" s="2" t="s">
        <v>2498</v>
      </c>
      <c r="B1412" s="2" t="s">
        <v>39</v>
      </c>
      <c r="C1412" s="2" t="s">
        <v>36</v>
      </c>
      <c r="D1412" s="2">
        <v>88</v>
      </c>
    </row>
    <row r="1413" spans="1:4">
      <c r="A1413" s="2" t="s">
        <v>3799</v>
      </c>
      <c r="B1413" s="2" t="s">
        <v>39</v>
      </c>
      <c r="C1413" s="2" t="s">
        <v>36</v>
      </c>
      <c r="D1413" s="2">
        <v>88</v>
      </c>
    </row>
    <row r="1414" spans="1:4">
      <c r="A1414" s="2" t="s">
        <v>4527</v>
      </c>
      <c r="B1414" s="2" t="s">
        <v>39</v>
      </c>
      <c r="C1414" s="2" t="s">
        <v>36</v>
      </c>
      <c r="D1414" s="2">
        <v>87</v>
      </c>
    </row>
    <row r="1415" spans="1:4">
      <c r="A1415" s="2" t="s">
        <v>1023</v>
      </c>
      <c r="B1415" s="2" t="s">
        <v>39</v>
      </c>
      <c r="C1415" s="2" t="s">
        <v>36</v>
      </c>
      <c r="D1415" s="2">
        <v>86</v>
      </c>
    </row>
    <row r="1416" spans="1:4">
      <c r="A1416" s="2" t="s">
        <v>3846</v>
      </c>
      <c r="B1416" s="2" t="s">
        <v>39</v>
      </c>
      <c r="C1416" s="2" t="s">
        <v>36</v>
      </c>
      <c r="D1416" s="2">
        <v>85</v>
      </c>
    </row>
    <row r="1417" spans="1:4">
      <c r="A1417" s="2" t="s">
        <v>1869</v>
      </c>
      <c r="B1417" s="2" t="s">
        <v>39</v>
      </c>
      <c r="C1417" s="2" t="s">
        <v>36</v>
      </c>
      <c r="D1417" s="2">
        <v>84</v>
      </c>
    </row>
    <row r="1418" spans="1:4">
      <c r="A1418" s="2" t="s">
        <v>1595</v>
      </c>
      <c r="B1418" s="2" t="s">
        <v>39</v>
      </c>
      <c r="C1418" s="2" t="s">
        <v>36</v>
      </c>
      <c r="D1418" s="2">
        <v>82</v>
      </c>
    </row>
    <row r="1419" spans="1:4">
      <c r="A1419" s="2" t="s">
        <v>4241</v>
      </c>
      <c r="B1419" s="2" t="s">
        <v>39</v>
      </c>
      <c r="C1419" s="2" t="s">
        <v>36</v>
      </c>
      <c r="D1419" s="2">
        <v>80</v>
      </c>
    </row>
    <row r="1420" spans="1:4">
      <c r="A1420" s="2" t="s">
        <v>2976</v>
      </c>
      <c r="B1420" s="2" t="s">
        <v>39</v>
      </c>
      <c r="C1420" s="2" t="s">
        <v>36</v>
      </c>
      <c r="D1420" s="2">
        <v>79</v>
      </c>
    </row>
    <row r="1421" spans="1:4">
      <c r="A1421" s="2" t="s">
        <v>3825</v>
      </c>
      <c r="B1421" s="2" t="s">
        <v>39</v>
      </c>
      <c r="C1421" s="2" t="s">
        <v>36</v>
      </c>
      <c r="D1421" s="2">
        <v>78</v>
      </c>
    </row>
    <row r="1422" spans="1:4">
      <c r="A1422" s="2" t="s">
        <v>4550</v>
      </c>
      <c r="B1422" s="2" t="s">
        <v>39</v>
      </c>
      <c r="C1422" s="2" t="s">
        <v>36</v>
      </c>
      <c r="D1422" s="2">
        <v>77</v>
      </c>
    </row>
    <row r="1423" spans="1:4">
      <c r="A1423" s="2" t="s">
        <v>3892</v>
      </c>
      <c r="B1423" s="2" t="s">
        <v>39</v>
      </c>
      <c r="C1423" s="2" t="s">
        <v>36</v>
      </c>
      <c r="D1423" s="2">
        <v>77</v>
      </c>
    </row>
    <row r="1424" spans="1:4">
      <c r="A1424" s="2" t="s">
        <v>3442</v>
      </c>
      <c r="B1424" s="2" t="s">
        <v>39</v>
      </c>
      <c r="C1424" s="2" t="s">
        <v>36</v>
      </c>
      <c r="D1424" s="2">
        <v>76</v>
      </c>
    </row>
    <row r="1425" spans="1:4">
      <c r="A1425" s="2" t="s">
        <v>4268</v>
      </c>
      <c r="B1425" s="2" t="s">
        <v>39</v>
      </c>
      <c r="C1425" s="2" t="s">
        <v>36</v>
      </c>
      <c r="D1425" s="2">
        <v>74</v>
      </c>
    </row>
    <row r="1426" spans="1:4">
      <c r="A1426" s="2" t="s">
        <v>212</v>
      </c>
      <c r="B1426" s="2" t="s">
        <v>39</v>
      </c>
      <c r="C1426" s="2" t="s">
        <v>36</v>
      </c>
      <c r="D1426" s="2">
        <v>72</v>
      </c>
    </row>
    <row r="1427" spans="1:4">
      <c r="A1427" s="2" t="s">
        <v>4239</v>
      </c>
      <c r="B1427" s="2" t="s">
        <v>39</v>
      </c>
      <c r="C1427" s="2" t="s">
        <v>36</v>
      </c>
      <c r="D1427" s="2">
        <v>72</v>
      </c>
    </row>
    <row r="1428" spans="1:4">
      <c r="A1428" s="2" t="s">
        <v>106</v>
      </c>
      <c r="B1428" s="2" t="s">
        <v>39</v>
      </c>
      <c r="C1428" s="2" t="s">
        <v>36</v>
      </c>
      <c r="D1428" s="2">
        <v>71</v>
      </c>
    </row>
    <row r="1429" spans="1:4">
      <c r="A1429" s="2" t="s">
        <v>4232</v>
      </c>
      <c r="B1429" s="2" t="s">
        <v>39</v>
      </c>
      <c r="C1429" s="2" t="s">
        <v>36</v>
      </c>
      <c r="D1429" s="2">
        <v>68</v>
      </c>
    </row>
    <row r="1430" spans="1:4">
      <c r="A1430" s="2" t="s">
        <v>1955</v>
      </c>
      <c r="B1430" s="2" t="s">
        <v>39</v>
      </c>
      <c r="C1430" s="2" t="s">
        <v>36</v>
      </c>
      <c r="D1430" s="2">
        <v>68</v>
      </c>
    </row>
    <row r="1431" spans="1:4">
      <c r="A1431" s="2" t="s">
        <v>3444</v>
      </c>
      <c r="B1431" s="2" t="s">
        <v>39</v>
      </c>
      <c r="C1431" s="2" t="s">
        <v>36</v>
      </c>
      <c r="D1431" s="2">
        <v>67</v>
      </c>
    </row>
    <row r="1432" spans="1:4">
      <c r="A1432" s="2" t="s">
        <v>4572</v>
      </c>
      <c r="B1432" s="2" t="s">
        <v>39</v>
      </c>
      <c r="C1432" s="2" t="s">
        <v>36</v>
      </c>
      <c r="D1432" s="2">
        <v>67</v>
      </c>
    </row>
    <row r="1433" spans="1:4">
      <c r="A1433" s="2" t="s">
        <v>88</v>
      </c>
      <c r="B1433" s="2" t="s">
        <v>39</v>
      </c>
      <c r="C1433" s="2" t="s">
        <v>36</v>
      </c>
      <c r="D1433" s="2">
        <v>66</v>
      </c>
    </row>
    <row r="1434" spans="1:4">
      <c r="A1434" s="2" t="s">
        <v>4552</v>
      </c>
      <c r="B1434" s="2" t="s">
        <v>39</v>
      </c>
      <c r="C1434" s="2" t="s">
        <v>36</v>
      </c>
      <c r="D1434" s="2">
        <v>66</v>
      </c>
    </row>
    <row r="1435" spans="1:4">
      <c r="A1435" s="2" t="s">
        <v>3457</v>
      </c>
      <c r="B1435" s="2" t="s">
        <v>39</v>
      </c>
      <c r="C1435" s="2" t="s">
        <v>36</v>
      </c>
      <c r="D1435" s="2">
        <v>66</v>
      </c>
    </row>
    <row r="1436" spans="1:4">
      <c r="A1436" s="2" t="s">
        <v>2488</v>
      </c>
      <c r="B1436" s="2" t="s">
        <v>39</v>
      </c>
      <c r="C1436" s="2" t="s">
        <v>36</v>
      </c>
      <c r="D1436" s="2">
        <v>62</v>
      </c>
    </row>
    <row r="1437" spans="1:4">
      <c r="A1437" s="2" t="s">
        <v>4244</v>
      </c>
      <c r="B1437" s="2" t="s">
        <v>39</v>
      </c>
      <c r="C1437" s="2" t="s">
        <v>36</v>
      </c>
      <c r="D1437" s="2">
        <v>57</v>
      </c>
    </row>
    <row r="1438" spans="1:4">
      <c r="A1438" s="2" t="s">
        <v>2500</v>
      </c>
      <c r="B1438" s="2" t="s">
        <v>39</v>
      </c>
      <c r="C1438" s="2" t="s">
        <v>36</v>
      </c>
      <c r="D1438" s="2">
        <v>57</v>
      </c>
    </row>
    <row r="1439" spans="1:4">
      <c r="A1439" s="2" t="s">
        <v>4568</v>
      </c>
      <c r="B1439" s="2" t="s">
        <v>39</v>
      </c>
      <c r="C1439" s="2" t="s">
        <v>36</v>
      </c>
      <c r="D1439" s="2">
        <v>57</v>
      </c>
    </row>
    <row r="1440" spans="1:4">
      <c r="A1440" s="2" t="s">
        <v>233</v>
      </c>
      <c r="B1440" s="2" t="s">
        <v>39</v>
      </c>
      <c r="C1440" s="2" t="s">
        <v>36</v>
      </c>
      <c r="D1440" s="2">
        <v>55</v>
      </c>
    </row>
    <row r="1441" spans="1:4">
      <c r="A1441" s="2" t="s">
        <v>1065</v>
      </c>
      <c r="B1441" s="2" t="s">
        <v>39</v>
      </c>
      <c r="C1441" s="2" t="s">
        <v>36</v>
      </c>
      <c r="D1441" s="2">
        <v>55</v>
      </c>
    </row>
    <row r="1442" spans="1:4">
      <c r="A1442" s="2" t="s">
        <v>2466</v>
      </c>
      <c r="B1442" s="2" t="s">
        <v>39</v>
      </c>
      <c r="C1442" s="2" t="s">
        <v>36</v>
      </c>
      <c r="D1442" s="2">
        <v>55</v>
      </c>
    </row>
    <row r="1443" spans="1:4">
      <c r="A1443" s="2" t="s">
        <v>3862</v>
      </c>
      <c r="B1443" s="2" t="s">
        <v>39</v>
      </c>
      <c r="C1443" s="2" t="s">
        <v>36</v>
      </c>
      <c r="D1443" s="2">
        <v>53</v>
      </c>
    </row>
    <row r="1444" spans="1:4">
      <c r="A1444" s="2" t="s">
        <v>4256</v>
      </c>
      <c r="B1444" s="2" t="s">
        <v>39</v>
      </c>
      <c r="C1444" s="2" t="s">
        <v>36</v>
      </c>
      <c r="D1444" s="2">
        <v>52</v>
      </c>
    </row>
    <row r="1445" spans="1:4">
      <c r="A1445" s="2" t="s">
        <v>1602</v>
      </c>
      <c r="B1445" s="2" t="s">
        <v>39</v>
      </c>
      <c r="C1445" s="2" t="s">
        <v>36</v>
      </c>
      <c r="D1445" s="2">
        <v>49</v>
      </c>
    </row>
    <row r="1446" spans="1:4">
      <c r="A1446" s="2" t="s">
        <v>3446</v>
      </c>
      <c r="B1446" s="2" t="s">
        <v>39</v>
      </c>
      <c r="C1446" s="2" t="s">
        <v>36</v>
      </c>
      <c r="D1446" s="2">
        <v>46</v>
      </c>
    </row>
    <row r="1447" spans="1:4">
      <c r="A1447" s="2" t="s">
        <v>2403</v>
      </c>
      <c r="B1447" s="2" t="s">
        <v>39</v>
      </c>
      <c r="C1447" s="2" t="s">
        <v>36</v>
      </c>
      <c r="D1447" s="2">
        <v>45</v>
      </c>
    </row>
    <row r="1448" spans="1:4">
      <c r="A1448" s="2" t="s">
        <v>1957</v>
      </c>
      <c r="B1448" s="2" t="s">
        <v>39</v>
      </c>
      <c r="C1448" s="2" t="s">
        <v>36</v>
      </c>
      <c r="D1448" s="2">
        <v>45</v>
      </c>
    </row>
    <row r="1449" spans="1:4">
      <c r="A1449" s="2" t="s">
        <v>3804</v>
      </c>
      <c r="B1449" s="2" t="s">
        <v>39</v>
      </c>
      <c r="C1449" s="2" t="s">
        <v>36</v>
      </c>
      <c r="D1449" s="2">
        <v>44</v>
      </c>
    </row>
    <row r="1450" spans="1:4">
      <c r="A1450" s="2" t="s">
        <v>242</v>
      </c>
      <c r="B1450" s="2" t="s">
        <v>39</v>
      </c>
      <c r="C1450" s="2" t="s">
        <v>36</v>
      </c>
      <c r="D1450" s="2">
        <v>41</v>
      </c>
    </row>
    <row r="1451" spans="1:4">
      <c r="A1451" s="2" t="s">
        <v>1041</v>
      </c>
      <c r="B1451" s="2" t="s">
        <v>39</v>
      </c>
      <c r="C1451" s="2" t="s">
        <v>36</v>
      </c>
      <c r="D1451" s="2">
        <v>40</v>
      </c>
    </row>
    <row r="1452" spans="1:4">
      <c r="A1452" s="2" t="s">
        <v>992</v>
      </c>
      <c r="B1452" s="2" t="s">
        <v>39</v>
      </c>
      <c r="C1452" s="2" t="s">
        <v>36</v>
      </c>
      <c r="D1452" s="2">
        <v>40</v>
      </c>
    </row>
    <row r="1453" spans="1:4">
      <c r="A1453" s="2" t="s">
        <v>4558</v>
      </c>
      <c r="B1453" s="2" t="s">
        <v>39</v>
      </c>
      <c r="C1453" s="2" t="s">
        <v>36</v>
      </c>
      <c r="D1453" s="2">
        <v>35</v>
      </c>
    </row>
    <row r="1454" spans="1:4">
      <c r="A1454" s="2" t="s">
        <v>4517</v>
      </c>
      <c r="B1454" s="2" t="s">
        <v>39</v>
      </c>
      <c r="C1454" s="2" t="s">
        <v>36</v>
      </c>
      <c r="D1454" s="2">
        <v>34</v>
      </c>
    </row>
    <row r="1455" spans="1:4">
      <c r="A1455" s="2" t="s">
        <v>3837</v>
      </c>
      <c r="B1455" s="2" t="s">
        <v>39</v>
      </c>
      <c r="C1455" s="2" t="s">
        <v>36</v>
      </c>
      <c r="D1455" s="2">
        <v>33</v>
      </c>
    </row>
    <row r="1456" spans="1:4">
      <c r="A1456" s="2" t="s">
        <v>3854</v>
      </c>
      <c r="B1456" s="2" t="s">
        <v>39</v>
      </c>
      <c r="C1456" s="2" t="s">
        <v>36</v>
      </c>
      <c r="D1456" s="2">
        <v>33</v>
      </c>
    </row>
    <row r="1457" spans="1:4">
      <c r="A1457" s="2" t="s">
        <v>3828</v>
      </c>
      <c r="B1457" s="2" t="s">
        <v>39</v>
      </c>
      <c r="C1457" s="2" t="s">
        <v>36</v>
      </c>
      <c r="D1457" s="2">
        <v>31</v>
      </c>
    </row>
    <row r="1458" spans="1:4">
      <c r="A1458" s="2" t="s">
        <v>990</v>
      </c>
      <c r="B1458" s="2" t="s">
        <v>39</v>
      </c>
      <c r="C1458" s="2" t="s">
        <v>36</v>
      </c>
      <c r="D1458" s="2">
        <v>31</v>
      </c>
    </row>
    <row r="1459" spans="1:4">
      <c r="A1459" s="2" t="s">
        <v>4223</v>
      </c>
      <c r="B1459" s="2" t="s">
        <v>39</v>
      </c>
      <c r="C1459" s="2" t="s">
        <v>36</v>
      </c>
      <c r="D1459" s="2">
        <v>31</v>
      </c>
    </row>
    <row r="1460" spans="1:4">
      <c r="A1460" s="2" t="s">
        <v>4226</v>
      </c>
      <c r="B1460" s="2" t="s">
        <v>39</v>
      </c>
      <c r="C1460" s="2" t="s">
        <v>36</v>
      </c>
      <c r="D1460" s="2">
        <v>29</v>
      </c>
    </row>
    <row r="1461" spans="1:4">
      <c r="A1461" s="2" t="s">
        <v>1840</v>
      </c>
      <c r="B1461" s="2" t="s">
        <v>39</v>
      </c>
      <c r="C1461" s="2" t="s">
        <v>36</v>
      </c>
      <c r="D1461" s="2">
        <v>29</v>
      </c>
    </row>
    <row r="1462" spans="1:4">
      <c r="A1462" s="2" t="s">
        <v>67</v>
      </c>
      <c r="B1462" s="2" t="s">
        <v>39</v>
      </c>
      <c r="C1462" s="2" t="s">
        <v>36</v>
      </c>
      <c r="D1462" s="2">
        <v>26</v>
      </c>
    </row>
    <row r="1463" spans="1:4">
      <c r="A1463" s="2" t="s">
        <v>1916</v>
      </c>
      <c r="B1463" s="2" t="s">
        <v>39</v>
      </c>
      <c r="C1463" s="2" t="s">
        <v>36</v>
      </c>
      <c r="D1463" s="2">
        <v>26</v>
      </c>
    </row>
    <row r="1464" spans="1:4">
      <c r="A1464" s="2" t="s">
        <v>4498</v>
      </c>
      <c r="B1464" s="2" t="s">
        <v>39</v>
      </c>
      <c r="C1464" s="2" t="s">
        <v>36</v>
      </c>
      <c r="D1464" s="2">
        <v>26</v>
      </c>
    </row>
    <row r="1465" spans="1:4">
      <c r="A1465" s="2" t="s">
        <v>3797</v>
      </c>
      <c r="B1465" s="2" t="s">
        <v>39</v>
      </c>
      <c r="C1465" s="2" t="s">
        <v>36</v>
      </c>
      <c r="D1465" s="2">
        <v>24</v>
      </c>
    </row>
    <row r="1466" spans="1:4">
      <c r="A1466" s="2" t="s">
        <v>2486</v>
      </c>
      <c r="B1466" s="2" t="s">
        <v>39</v>
      </c>
      <c r="C1466" s="2" t="s">
        <v>36</v>
      </c>
      <c r="D1466" s="2">
        <v>21</v>
      </c>
    </row>
    <row r="1467" spans="1:4">
      <c r="A1467" s="2" t="s">
        <v>3423</v>
      </c>
      <c r="B1467" s="2" t="s">
        <v>39</v>
      </c>
      <c r="C1467" s="2" t="s">
        <v>36</v>
      </c>
      <c r="D1467" s="2">
        <v>16</v>
      </c>
    </row>
    <row r="1468" spans="1:4">
      <c r="A1468" s="2" t="s">
        <v>4564</v>
      </c>
      <c r="B1468" s="2" t="s">
        <v>39</v>
      </c>
      <c r="C1468" s="2" t="s">
        <v>36</v>
      </c>
      <c r="D1468" s="2">
        <v>13</v>
      </c>
    </row>
    <row r="1469" spans="1:4">
      <c r="A1469" s="2" t="s">
        <v>3459</v>
      </c>
      <c r="B1469" s="2" t="s">
        <v>39</v>
      </c>
      <c r="C1469" s="2" t="s">
        <v>36</v>
      </c>
      <c r="D1469" s="2">
        <v>12</v>
      </c>
    </row>
    <row r="1470" spans="1:4">
      <c r="A1470" s="2" t="s">
        <v>4576</v>
      </c>
      <c r="B1470" s="2" t="s">
        <v>39</v>
      </c>
      <c r="C1470" s="2" t="s">
        <v>36</v>
      </c>
      <c r="D1470" s="2">
        <v>12</v>
      </c>
    </row>
    <row r="1471" spans="1:4">
      <c r="A1471" s="2" t="s">
        <v>3834</v>
      </c>
      <c r="B1471" s="2" t="s">
        <v>39</v>
      </c>
      <c r="C1471" s="2" t="s">
        <v>36</v>
      </c>
      <c r="D1471" s="2">
        <v>3</v>
      </c>
    </row>
    <row r="1472" spans="1:4">
      <c r="A1472" s="2" t="s">
        <v>3448</v>
      </c>
      <c r="B1472" s="2" t="s">
        <v>39</v>
      </c>
      <c r="C1472" s="2" t="s">
        <v>36</v>
      </c>
      <c r="D1472" s="2">
        <v>2</v>
      </c>
    </row>
    <row r="1473" spans="1:4">
      <c r="A1473" s="2" t="s">
        <v>139</v>
      </c>
      <c r="B1473" s="2" t="s">
        <v>39</v>
      </c>
      <c r="C1473" s="2" t="s">
        <v>38</v>
      </c>
      <c r="D1473" s="2">
        <v>448</v>
      </c>
    </row>
    <row r="1474" spans="1:4">
      <c r="A1474" s="2" t="s">
        <v>1008</v>
      </c>
      <c r="B1474" s="2" t="s">
        <v>39</v>
      </c>
      <c r="C1474" s="2" t="s">
        <v>38</v>
      </c>
      <c r="D1474" s="2">
        <v>412</v>
      </c>
    </row>
    <row r="1475" spans="1:4">
      <c r="A1475" s="2" t="s">
        <v>111</v>
      </c>
      <c r="B1475" s="2" t="s">
        <v>39</v>
      </c>
      <c r="C1475" s="2" t="s">
        <v>38</v>
      </c>
      <c r="D1475" s="2">
        <v>410</v>
      </c>
    </row>
    <row r="1476" spans="1:4">
      <c r="A1476" s="2" t="s">
        <v>279</v>
      </c>
      <c r="B1476" s="2" t="s">
        <v>39</v>
      </c>
      <c r="C1476" s="2" t="s">
        <v>38</v>
      </c>
      <c r="D1476" s="2">
        <v>402</v>
      </c>
    </row>
    <row r="1477" spans="1:4">
      <c r="A1477" s="2" t="s">
        <v>82</v>
      </c>
      <c r="B1477" s="2" t="s">
        <v>39</v>
      </c>
      <c r="C1477" s="2" t="s">
        <v>38</v>
      </c>
      <c r="D1477" s="2">
        <v>401</v>
      </c>
    </row>
    <row r="1478" spans="1:4">
      <c r="A1478" s="2" t="s">
        <v>1908</v>
      </c>
      <c r="B1478" s="2" t="s">
        <v>39</v>
      </c>
      <c r="C1478" s="2" t="s">
        <v>38</v>
      </c>
      <c r="D1478" s="2">
        <v>398</v>
      </c>
    </row>
    <row r="1479" spans="1:4">
      <c r="A1479" s="2" t="s">
        <v>260</v>
      </c>
      <c r="B1479" s="2" t="s">
        <v>39</v>
      </c>
      <c r="C1479" s="2" t="s">
        <v>38</v>
      </c>
      <c r="D1479" s="2">
        <v>398</v>
      </c>
    </row>
    <row r="1480" spans="1:4">
      <c r="A1480" s="2" t="s">
        <v>129</v>
      </c>
      <c r="B1480" s="2" t="s">
        <v>39</v>
      </c>
      <c r="C1480" s="2" t="s">
        <v>38</v>
      </c>
      <c r="D1480" s="2">
        <v>397</v>
      </c>
    </row>
    <row r="1481" spans="1:4">
      <c r="A1481" s="2" t="s">
        <v>1059</v>
      </c>
      <c r="B1481" s="2" t="s">
        <v>39</v>
      </c>
      <c r="C1481" s="2" t="s">
        <v>38</v>
      </c>
      <c r="D1481" s="2">
        <v>397</v>
      </c>
    </row>
    <row r="1482" spans="1:4">
      <c r="A1482" s="2" t="s">
        <v>126</v>
      </c>
      <c r="B1482" s="2" t="s">
        <v>39</v>
      </c>
      <c r="C1482" s="2" t="s">
        <v>38</v>
      </c>
      <c r="D1482" s="2">
        <v>393</v>
      </c>
    </row>
    <row r="1483" spans="1:4">
      <c r="A1483" s="2" t="s">
        <v>1096</v>
      </c>
      <c r="B1483" s="2" t="s">
        <v>39</v>
      </c>
      <c r="C1483" s="2" t="s">
        <v>38</v>
      </c>
      <c r="D1483" s="2">
        <v>387</v>
      </c>
    </row>
    <row r="1484" spans="1:4">
      <c r="A1484" s="2" t="s">
        <v>73</v>
      </c>
      <c r="B1484" s="2" t="s">
        <v>39</v>
      </c>
      <c r="C1484" s="2" t="s">
        <v>38</v>
      </c>
      <c r="D1484" s="2">
        <v>387</v>
      </c>
    </row>
    <row r="1485" spans="1:4">
      <c r="A1485" s="2" t="s">
        <v>100</v>
      </c>
      <c r="B1485" s="2" t="s">
        <v>39</v>
      </c>
      <c r="C1485" s="2" t="s">
        <v>38</v>
      </c>
      <c r="D1485" s="2">
        <v>386</v>
      </c>
    </row>
    <row r="1486" spans="1:4">
      <c r="A1486" s="2" t="s">
        <v>1887</v>
      </c>
      <c r="B1486" s="2" t="s">
        <v>39</v>
      </c>
      <c r="C1486" s="2" t="s">
        <v>38</v>
      </c>
      <c r="D1486" s="2">
        <v>385</v>
      </c>
    </row>
    <row r="1487" spans="1:4">
      <c r="A1487" s="2" t="s">
        <v>264</v>
      </c>
      <c r="B1487" s="2" t="s">
        <v>39</v>
      </c>
      <c r="C1487" s="2" t="s">
        <v>38</v>
      </c>
      <c r="D1487" s="2">
        <v>382</v>
      </c>
    </row>
    <row r="1488" spans="1:4">
      <c r="A1488" s="2" t="s">
        <v>2388</v>
      </c>
      <c r="B1488" s="2" t="s">
        <v>39</v>
      </c>
      <c r="C1488" s="2" t="s">
        <v>38</v>
      </c>
      <c r="D1488" s="2">
        <v>381</v>
      </c>
    </row>
    <row r="1489" spans="1:4">
      <c r="A1489" s="2" t="s">
        <v>1600</v>
      </c>
      <c r="B1489" s="2" t="s">
        <v>39</v>
      </c>
      <c r="C1489" s="2" t="s">
        <v>38</v>
      </c>
      <c r="D1489" s="2">
        <v>375</v>
      </c>
    </row>
    <row r="1490" spans="1:4">
      <c r="A1490" s="2" t="s">
        <v>181</v>
      </c>
      <c r="B1490" s="2" t="s">
        <v>39</v>
      </c>
      <c r="C1490" s="2" t="s">
        <v>38</v>
      </c>
      <c r="D1490" s="2">
        <v>372</v>
      </c>
    </row>
    <row r="1491" spans="1:4">
      <c r="A1491" s="2" t="s">
        <v>923</v>
      </c>
      <c r="B1491" s="2" t="s">
        <v>39</v>
      </c>
      <c r="C1491" s="2" t="s">
        <v>38</v>
      </c>
      <c r="D1491" s="2">
        <v>368</v>
      </c>
    </row>
    <row r="1492" spans="1:4">
      <c r="A1492" s="2" t="s">
        <v>1912</v>
      </c>
      <c r="B1492" s="2" t="s">
        <v>39</v>
      </c>
      <c r="C1492" s="2" t="s">
        <v>38</v>
      </c>
      <c r="D1492" s="2">
        <v>368</v>
      </c>
    </row>
    <row r="1493" spans="1:4">
      <c r="A1493" s="2" t="s">
        <v>1867</v>
      </c>
      <c r="B1493" s="2" t="s">
        <v>39</v>
      </c>
      <c r="C1493" s="2" t="s">
        <v>38</v>
      </c>
      <c r="D1493" s="2">
        <v>368</v>
      </c>
    </row>
    <row r="1494" spans="1:4">
      <c r="A1494" s="2" t="s">
        <v>97</v>
      </c>
      <c r="B1494" s="2" t="s">
        <v>39</v>
      </c>
      <c r="C1494" s="2" t="s">
        <v>38</v>
      </c>
      <c r="D1494" s="2">
        <v>366</v>
      </c>
    </row>
    <row r="1495" spans="1:4">
      <c r="A1495" s="2" t="s">
        <v>161</v>
      </c>
      <c r="B1495" s="2" t="s">
        <v>39</v>
      </c>
      <c r="C1495" s="2" t="s">
        <v>38</v>
      </c>
      <c r="D1495" s="2">
        <v>366</v>
      </c>
    </row>
    <row r="1496" spans="1:4">
      <c r="A1496" s="2" t="s">
        <v>153</v>
      </c>
      <c r="B1496" s="2" t="s">
        <v>39</v>
      </c>
      <c r="C1496" s="2" t="s">
        <v>38</v>
      </c>
      <c r="D1496" s="2">
        <v>365</v>
      </c>
    </row>
    <row r="1497" spans="1:4">
      <c r="A1497" s="2" t="s">
        <v>109</v>
      </c>
      <c r="B1497" s="2" t="s">
        <v>39</v>
      </c>
      <c r="C1497" s="2" t="s">
        <v>38</v>
      </c>
      <c r="D1497" s="2">
        <v>363</v>
      </c>
    </row>
    <row r="1498" spans="1:4">
      <c r="A1498" s="2" t="s">
        <v>945</v>
      </c>
      <c r="B1498" s="2" t="s">
        <v>39</v>
      </c>
      <c r="C1498" s="2" t="s">
        <v>38</v>
      </c>
      <c r="D1498" s="2">
        <v>362</v>
      </c>
    </row>
    <row r="1499" spans="1:4">
      <c r="A1499" s="2" t="s">
        <v>2425</v>
      </c>
      <c r="B1499" s="2" t="s">
        <v>39</v>
      </c>
      <c r="C1499" s="2" t="s">
        <v>38</v>
      </c>
      <c r="D1499" s="2">
        <v>357</v>
      </c>
    </row>
    <row r="1500" spans="1:4">
      <c r="A1500" s="2" t="s">
        <v>188</v>
      </c>
      <c r="B1500" s="2" t="s">
        <v>39</v>
      </c>
      <c r="C1500" s="2" t="s">
        <v>38</v>
      </c>
      <c r="D1500" s="2">
        <v>355</v>
      </c>
    </row>
    <row r="1501" spans="1:4">
      <c r="A1501" s="2" t="s">
        <v>227</v>
      </c>
      <c r="B1501" s="2" t="s">
        <v>39</v>
      </c>
      <c r="C1501" s="2" t="s">
        <v>38</v>
      </c>
      <c r="D1501" s="2">
        <v>355</v>
      </c>
    </row>
    <row r="1502" spans="1:4">
      <c r="A1502" s="2" t="s">
        <v>1932</v>
      </c>
      <c r="B1502" s="2" t="s">
        <v>39</v>
      </c>
      <c r="C1502" s="2" t="s">
        <v>38</v>
      </c>
      <c r="D1502" s="2">
        <v>354</v>
      </c>
    </row>
    <row r="1503" spans="1:4">
      <c r="A1503" s="2" t="s">
        <v>1830</v>
      </c>
      <c r="B1503" s="2" t="s">
        <v>39</v>
      </c>
      <c r="C1503" s="2" t="s">
        <v>38</v>
      </c>
      <c r="D1503" s="2">
        <v>351</v>
      </c>
    </row>
    <row r="1504" spans="1:4">
      <c r="A1504" s="2" t="s">
        <v>1621</v>
      </c>
      <c r="B1504" s="2" t="s">
        <v>39</v>
      </c>
      <c r="C1504" s="2" t="s">
        <v>38</v>
      </c>
      <c r="D1504" s="2">
        <v>349</v>
      </c>
    </row>
    <row r="1505" spans="1:4">
      <c r="A1505" s="2" t="s">
        <v>179</v>
      </c>
      <c r="B1505" s="2" t="s">
        <v>39</v>
      </c>
      <c r="C1505" s="2" t="s">
        <v>38</v>
      </c>
      <c r="D1505" s="2">
        <v>347</v>
      </c>
    </row>
    <row r="1506" spans="1:4">
      <c r="A1506" s="2" t="s">
        <v>91</v>
      </c>
      <c r="B1506" s="2" t="s">
        <v>39</v>
      </c>
      <c r="C1506" s="2" t="s">
        <v>38</v>
      </c>
      <c r="D1506" s="2">
        <v>345</v>
      </c>
    </row>
    <row r="1507" spans="1:4">
      <c r="A1507" s="2" t="s">
        <v>1002</v>
      </c>
      <c r="B1507" s="2" t="s">
        <v>39</v>
      </c>
      <c r="C1507" s="2" t="s">
        <v>38</v>
      </c>
      <c r="D1507" s="2">
        <v>343</v>
      </c>
    </row>
    <row r="1508" spans="1:4">
      <c r="A1508" s="2" t="s">
        <v>201</v>
      </c>
      <c r="B1508" s="2" t="s">
        <v>39</v>
      </c>
      <c r="C1508" s="2" t="s">
        <v>38</v>
      </c>
      <c r="D1508" s="2">
        <v>342</v>
      </c>
    </row>
    <row r="1509" spans="1:4">
      <c r="A1509" s="2" t="s">
        <v>1883</v>
      </c>
      <c r="B1509" s="2" t="s">
        <v>39</v>
      </c>
      <c r="C1509" s="2" t="s">
        <v>38</v>
      </c>
      <c r="D1509" s="2">
        <v>341</v>
      </c>
    </row>
    <row r="1510" spans="1:4">
      <c r="A1510" s="2" t="s">
        <v>1004</v>
      </c>
      <c r="B1510" s="2" t="s">
        <v>39</v>
      </c>
      <c r="C1510" s="2" t="s">
        <v>38</v>
      </c>
      <c r="D1510" s="2">
        <v>338</v>
      </c>
    </row>
    <row r="1511" spans="1:4">
      <c r="A1511" s="2" t="s">
        <v>2477</v>
      </c>
      <c r="B1511" s="2" t="s">
        <v>39</v>
      </c>
      <c r="C1511" s="2" t="s">
        <v>38</v>
      </c>
      <c r="D1511" s="2">
        <v>336</v>
      </c>
    </row>
    <row r="1512" spans="1:4">
      <c r="A1512" s="2" t="s">
        <v>61</v>
      </c>
      <c r="B1512" s="2" t="s">
        <v>39</v>
      </c>
      <c r="C1512" s="2" t="s">
        <v>38</v>
      </c>
      <c r="D1512" s="2">
        <v>333</v>
      </c>
    </row>
    <row r="1513" spans="1:4">
      <c r="A1513" s="2" t="s">
        <v>156</v>
      </c>
      <c r="B1513" s="2" t="s">
        <v>39</v>
      </c>
      <c r="C1513" s="2" t="s">
        <v>38</v>
      </c>
      <c r="D1513" s="2">
        <v>331</v>
      </c>
    </row>
    <row r="1514" spans="1:4">
      <c r="A1514" s="2" t="s">
        <v>1920</v>
      </c>
      <c r="B1514" s="2" t="s">
        <v>39</v>
      </c>
      <c r="C1514" s="2" t="s">
        <v>38</v>
      </c>
      <c r="D1514" s="2">
        <v>331</v>
      </c>
    </row>
    <row r="1515" spans="1:4">
      <c r="A1515" s="2" t="s">
        <v>1902</v>
      </c>
      <c r="B1515" s="2" t="s">
        <v>39</v>
      </c>
      <c r="C1515" s="2" t="s">
        <v>38</v>
      </c>
      <c r="D1515" s="2">
        <v>330</v>
      </c>
    </row>
    <row r="1516" spans="1:4">
      <c r="A1516" s="2" t="s">
        <v>229</v>
      </c>
      <c r="B1516" s="2" t="s">
        <v>39</v>
      </c>
      <c r="C1516" s="2" t="s">
        <v>38</v>
      </c>
      <c r="D1516" s="2">
        <v>330</v>
      </c>
    </row>
    <row r="1517" spans="1:4">
      <c r="A1517" s="2" t="s">
        <v>185</v>
      </c>
      <c r="B1517" s="2" t="s">
        <v>39</v>
      </c>
      <c r="C1517" s="2" t="s">
        <v>38</v>
      </c>
      <c r="D1517" s="2">
        <v>329</v>
      </c>
    </row>
    <row r="1518" spans="1:4">
      <c r="A1518" s="2" t="s">
        <v>1094</v>
      </c>
      <c r="B1518" s="2" t="s">
        <v>39</v>
      </c>
      <c r="C1518" s="2" t="s">
        <v>38</v>
      </c>
      <c r="D1518" s="2">
        <v>328</v>
      </c>
    </row>
    <row r="1519" spans="1:4">
      <c r="A1519" s="2" t="s">
        <v>1878</v>
      </c>
      <c r="B1519" s="2" t="s">
        <v>39</v>
      </c>
      <c r="C1519" s="2" t="s">
        <v>38</v>
      </c>
      <c r="D1519" s="2">
        <v>327</v>
      </c>
    </row>
    <row r="1520" spans="1:4">
      <c r="A1520" s="2" t="s">
        <v>172</v>
      </c>
      <c r="B1520" s="2" t="s">
        <v>39</v>
      </c>
      <c r="C1520" s="2" t="s">
        <v>38</v>
      </c>
      <c r="D1520" s="2">
        <v>325</v>
      </c>
    </row>
    <row r="1521" spans="1:4">
      <c r="A1521" s="2" t="s">
        <v>1021</v>
      </c>
      <c r="B1521" s="2" t="s">
        <v>39</v>
      </c>
      <c r="C1521" s="2" t="s">
        <v>38</v>
      </c>
      <c r="D1521" s="2">
        <v>322</v>
      </c>
    </row>
    <row r="1522" spans="1:4">
      <c r="A1522" s="2" t="s">
        <v>1934</v>
      </c>
      <c r="B1522" s="2" t="s">
        <v>39</v>
      </c>
      <c r="C1522" s="2" t="s">
        <v>38</v>
      </c>
      <c r="D1522" s="2">
        <v>320</v>
      </c>
    </row>
    <row r="1523" spans="1:4">
      <c r="A1523" s="2" t="s">
        <v>2468</v>
      </c>
      <c r="B1523" s="2" t="s">
        <v>39</v>
      </c>
      <c r="C1523" s="2" t="s">
        <v>38</v>
      </c>
      <c r="D1523" s="2">
        <v>320</v>
      </c>
    </row>
    <row r="1524" spans="1:4">
      <c r="A1524" s="2" t="s">
        <v>286</v>
      </c>
      <c r="B1524" s="2" t="s">
        <v>39</v>
      </c>
      <c r="C1524" s="2" t="s">
        <v>38</v>
      </c>
      <c r="D1524" s="2">
        <v>319</v>
      </c>
    </row>
    <row r="1525" spans="1:4">
      <c r="A1525" s="2" t="s">
        <v>169</v>
      </c>
      <c r="B1525" s="2" t="s">
        <v>39</v>
      </c>
      <c r="C1525" s="2" t="s">
        <v>38</v>
      </c>
      <c r="D1525" s="2">
        <v>318</v>
      </c>
    </row>
    <row r="1526" spans="1:4">
      <c r="A1526" s="2" t="s">
        <v>235</v>
      </c>
      <c r="B1526" s="2" t="s">
        <v>39</v>
      </c>
      <c r="C1526" s="2" t="s">
        <v>38</v>
      </c>
      <c r="D1526" s="2">
        <v>318</v>
      </c>
    </row>
    <row r="1527" spans="1:4">
      <c r="A1527" s="2" t="s">
        <v>2408</v>
      </c>
      <c r="B1527" s="2" t="s">
        <v>39</v>
      </c>
      <c r="C1527" s="2" t="s">
        <v>38</v>
      </c>
      <c r="D1527" s="2">
        <v>316</v>
      </c>
    </row>
    <row r="1528" spans="1:4">
      <c r="A1528" s="2" t="s">
        <v>1922</v>
      </c>
      <c r="B1528" s="2" t="s">
        <v>39</v>
      </c>
      <c r="C1528" s="2" t="s">
        <v>38</v>
      </c>
      <c r="D1528" s="2">
        <v>316</v>
      </c>
    </row>
    <row r="1529" spans="1:4">
      <c r="A1529" s="2" t="s">
        <v>2398</v>
      </c>
      <c r="B1529" s="2" t="s">
        <v>39</v>
      </c>
      <c r="C1529" s="2" t="s">
        <v>38</v>
      </c>
      <c r="D1529" s="2">
        <v>316</v>
      </c>
    </row>
    <row r="1530" spans="1:4">
      <c r="A1530" s="2" t="s">
        <v>1053</v>
      </c>
      <c r="B1530" s="2" t="s">
        <v>39</v>
      </c>
      <c r="C1530" s="2" t="s">
        <v>38</v>
      </c>
      <c r="D1530" s="2">
        <v>316</v>
      </c>
    </row>
    <row r="1531" spans="1:4">
      <c r="A1531" s="2" t="s">
        <v>283</v>
      </c>
      <c r="B1531" s="2" t="s">
        <v>39</v>
      </c>
      <c r="C1531" s="2" t="s">
        <v>38</v>
      </c>
      <c r="D1531" s="2">
        <v>315</v>
      </c>
    </row>
    <row r="1532" spans="1:4">
      <c r="A1532" s="2" t="s">
        <v>2381</v>
      </c>
      <c r="B1532" s="2" t="s">
        <v>39</v>
      </c>
      <c r="C1532" s="2" t="s">
        <v>38</v>
      </c>
      <c r="D1532" s="2">
        <v>314</v>
      </c>
    </row>
    <row r="1533" spans="1:4">
      <c r="A1533" s="2" t="s">
        <v>2423</v>
      </c>
      <c r="B1533" s="2" t="s">
        <v>39</v>
      </c>
      <c r="C1533" s="2" t="s">
        <v>38</v>
      </c>
      <c r="D1533" s="2">
        <v>313</v>
      </c>
    </row>
    <row r="1534" spans="1:4">
      <c r="A1534" s="2" t="s">
        <v>124</v>
      </c>
      <c r="B1534" s="2" t="s">
        <v>39</v>
      </c>
      <c r="C1534" s="2" t="s">
        <v>38</v>
      </c>
      <c r="D1534" s="2">
        <v>313</v>
      </c>
    </row>
    <row r="1535" spans="1:4">
      <c r="A1535" s="2" t="s">
        <v>1084</v>
      </c>
      <c r="B1535" s="2" t="s">
        <v>39</v>
      </c>
      <c r="C1535" s="2" t="s">
        <v>38</v>
      </c>
      <c r="D1535" s="2">
        <v>312</v>
      </c>
    </row>
    <row r="1536" spans="1:4">
      <c r="A1536" s="2" t="s">
        <v>199</v>
      </c>
      <c r="B1536" s="2" t="s">
        <v>39</v>
      </c>
      <c r="C1536" s="2" t="s">
        <v>38</v>
      </c>
      <c r="D1536" s="2">
        <v>312</v>
      </c>
    </row>
    <row r="1537" spans="1:4">
      <c r="A1537" s="2" t="s">
        <v>277</v>
      </c>
      <c r="B1537" s="2" t="s">
        <v>39</v>
      </c>
      <c r="C1537" s="2" t="s">
        <v>38</v>
      </c>
      <c r="D1537" s="2">
        <v>309</v>
      </c>
    </row>
    <row r="1538" spans="1:4">
      <c r="A1538" s="2" t="s">
        <v>4562</v>
      </c>
      <c r="B1538" s="2" t="s">
        <v>39</v>
      </c>
      <c r="C1538" s="2" t="s">
        <v>38</v>
      </c>
      <c r="D1538" s="2">
        <v>308</v>
      </c>
    </row>
    <row r="1539" spans="1:4">
      <c r="A1539" s="2" t="s">
        <v>1944</v>
      </c>
      <c r="B1539" s="2" t="s">
        <v>39</v>
      </c>
      <c r="C1539" s="2" t="s">
        <v>38</v>
      </c>
      <c r="D1539" s="2">
        <v>308</v>
      </c>
    </row>
    <row r="1540" spans="1:4">
      <c r="A1540" s="2" t="s">
        <v>194</v>
      </c>
      <c r="B1540" s="2" t="s">
        <v>39</v>
      </c>
      <c r="C1540" s="2" t="s">
        <v>38</v>
      </c>
      <c r="D1540" s="2">
        <v>307</v>
      </c>
    </row>
    <row r="1541" spans="1:4">
      <c r="A1541" s="2" t="s">
        <v>2445</v>
      </c>
      <c r="B1541" s="2" t="s">
        <v>39</v>
      </c>
      <c r="C1541" s="2" t="s">
        <v>38</v>
      </c>
      <c r="D1541" s="2">
        <v>305</v>
      </c>
    </row>
    <row r="1542" spans="1:4">
      <c r="A1542" s="2" t="s">
        <v>192</v>
      </c>
      <c r="B1542" s="2" t="s">
        <v>39</v>
      </c>
      <c r="C1542" s="2" t="s">
        <v>38</v>
      </c>
      <c r="D1542" s="2">
        <v>305</v>
      </c>
    </row>
    <row r="1543" spans="1:4">
      <c r="A1543" s="2" t="s">
        <v>206</v>
      </c>
      <c r="B1543" s="2" t="s">
        <v>39</v>
      </c>
      <c r="C1543" s="2" t="s">
        <v>38</v>
      </c>
      <c r="D1543" s="2">
        <v>305</v>
      </c>
    </row>
    <row r="1544" spans="1:4">
      <c r="A1544" s="2" t="s">
        <v>1900</v>
      </c>
      <c r="B1544" s="2" t="s">
        <v>39</v>
      </c>
      <c r="C1544" s="2" t="s">
        <v>38</v>
      </c>
      <c r="D1544" s="2">
        <v>303</v>
      </c>
    </row>
    <row r="1545" spans="1:4">
      <c r="A1545" s="2" t="s">
        <v>262</v>
      </c>
      <c r="B1545" s="2" t="s">
        <v>39</v>
      </c>
      <c r="C1545" s="2" t="s">
        <v>38</v>
      </c>
      <c r="D1545" s="2">
        <v>303</v>
      </c>
    </row>
    <row r="1546" spans="1:4">
      <c r="A1546" s="2" t="s">
        <v>1092</v>
      </c>
      <c r="B1546" s="2" t="s">
        <v>39</v>
      </c>
      <c r="C1546" s="2" t="s">
        <v>38</v>
      </c>
      <c r="D1546" s="2">
        <v>302</v>
      </c>
    </row>
    <row r="1547" spans="1:4">
      <c r="A1547" s="2" t="s">
        <v>2473</v>
      </c>
      <c r="B1547" s="2" t="s">
        <v>39</v>
      </c>
      <c r="C1547" s="2" t="s">
        <v>38</v>
      </c>
      <c r="D1547" s="2">
        <v>299</v>
      </c>
    </row>
    <row r="1548" spans="1:4">
      <c r="A1548" s="2" t="s">
        <v>1837</v>
      </c>
      <c r="B1548" s="2" t="s">
        <v>39</v>
      </c>
      <c r="C1548" s="2" t="s">
        <v>38</v>
      </c>
      <c r="D1548" s="2">
        <v>299</v>
      </c>
    </row>
    <row r="1549" spans="1:4">
      <c r="A1549" s="2" t="s">
        <v>969</v>
      </c>
      <c r="B1549" s="2" t="s">
        <v>39</v>
      </c>
      <c r="C1549" s="2" t="s">
        <v>38</v>
      </c>
      <c r="D1549" s="2">
        <v>299</v>
      </c>
    </row>
    <row r="1550" spans="1:4">
      <c r="A1550" s="2" t="s">
        <v>3473</v>
      </c>
      <c r="B1550" s="2" t="s">
        <v>39</v>
      </c>
      <c r="C1550" s="2" t="s">
        <v>38</v>
      </c>
      <c r="D1550" s="2">
        <v>299</v>
      </c>
    </row>
    <row r="1551" spans="1:4">
      <c r="A1551" s="2" t="s">
        <v>281</v>
      </c>
      <c r="B1551" s="2" t="s">
        <v>39</v>
      </c>
      <c r="C1551" s="2" t="s">
        <v>38</v>
      </c>
      <c r="D1551" s="2">
        <v>299</v>
      </c>
    </row>
    <row r="1552" spans="1:4">
      <c r="A1552" s="2" t="s">
        <v>3880</v>
      </c>
      <c r="B1552" s="2" t="s">
        <v>39</v>
      </c>
      <c r="C1552" s="2" t="s">
        <v>38</v>
      </c>
      <c r="D1552" s="2">
        <v>298</v>
      </c>
    </row>
    <row r="1553" spans="1:4">
      <c r="A1553" s="2" t="s">
        <v>1874</v>
      </c>
      <c r="B1553" s="2" t="s">
        <v>39</v>
      </c>
      <c r="C1553" s="2" t="s">
        <v>38</v>
      </c>
      <c r="D1553" s="2">
        <v>298</v>
      </c>
    </row>
    <row r="1554" spans="1:4">
      <c r="A1554" s="2" t="s">
        <v>2504</v>
      </c>
      <c r="B1554" s="2" t="s">
        <v>39</v>
      </c>
      <c r="C1554" s="2" t="s">
        <v>38</v>
      </c>
      <c r="D1554" s="2">
        <v>298</v>
      </c>
    </row>
    <row r="1555" spans="1:4">
      <c r="A1555" s="2" t="s">
        <v>1609</v>
      </c>
      <c r="B1555" s="2" t="s">
        <v>39</v>
      </c>
      <c r="C1555" s="2" t="s">
        <v>38</v>
      </c>
      <c r="D1555" s="2">
        <v>297</v>
      </c>
    </row>
    <row r="1556" spans="1:4">
      <c r="A1556" s="2" t="s">
        <v>118</v>
      </c>
      <c r="B1556" s="2" t="s">
        <v>39</v>
      </c>
      <c r="C1556" s="2" t="s">
        <v>38</v>
      </c>
      <c r="D1556" s="2">
        <v>297</v>
      </c>
    </row>
    <row r="1557" spans="1:4">
      <c r="A1557" s="2" t="s">
        <v>3455</v>
      </c>
      <c r="B1557" s="2" t="s">
        <v>39</v>
      </c>
      <c r="C1557" s="2" t="s">
        <v>38</v>
      </c>
      <c r="D1557" s="2">
        <v>297</v>
      </c>
    </row>
    <row r="1558" spans="1:4">
      <c r="A1558" s="2" t="s">
        <v>4254</v>
      </c>
      <c r="B1558" s="2" t="s">
        <v>39</v>
      </c>
      <c r="C1558" s="2" t="s">
        <v>38</v>
      </c>
      <c r="D1558" s="2">
        <v>296</v>
      </c>
    </row>
    <row r="1559" spans="1:4">
      <c r="A1559" s="2" t="s">
        <v>927</v>
      </c>
      <c r="B1559" s="2" t="s">
        <v>39</v>
      </c>
      <c r="C1559" s="2" t="s">
        <v>38</v>
      </c>
      <c r="D1559" s="2">
        <v>296</v>
      </c>
    </row>
    <row r="1560" spans="1:4">
      <c r="A1560" s="2" t="s">
        <v>3408</v>
      </c>
      <c r="B1560" s="2" t="s">
        <v>39</v>
      </c>
      <c r="C1560" s="2" t="s">
        <v>38</v>
      </c>
      <c r="D1560" s="2">
        <v>296</v>
      </c>
    </row>
    <row r="1561" spans="1:4">
      <c r="A1561" s="2" t="s">
        <v>183</v>
      </c>
      <c r="B1561" s="2" t="s">
        <v>39</v>
      </c>
      <c r="C1561" s="2" t="s">
        <v>38</v>
      </c>
      <c r="D1561" s="2">
        <v>295</v>
      </c>
    </row>
    <row r="1562" spans="1:4">
      <c r="A1562" s="2" t="s">
        <v>937</v>
      </c>
      <c r="B1562" s="2" t="s">
        <v>39</v>
      </c>
      <c r="C1562" s="2" t="s">
        <v>38</v>
      </c>
      <c r="D1562" s="2">
        <v>294</v>
      </c>
    </row>
    <row r="1563" spans="1:4">
      <c r="A1563" s="2" t="s">
        <v>2494</v>
      </c>
      <c r="B1563" s="2" t="s">
        <v>39</v>
      </c>
      <c r="C1563" s="2" t="s">
        <v>38</v>
      </c>
      <c r="D1563" s="2">
        <v>294</v>
      </c>
    </row>
    <row r="1564" spans="1:4">
      <c r="A1564" s="2" t="s">
        <v>1035</v>
      </c>
      <c r="B1564" s="2" t="s">
        <v>39</v>
      </c>
      <c r="C1564" s="2" t="s">
        <v>38</v>
      </c>
      <c r="D1564" s="2">
        <v>293</v>
      </c>
    </row>
    <row r="1565" spans="1:4">
      <c r="A1565" s="2" t="s">
        <v>148</v>
      </c>
      <c r="B1565" s="2" t="s">
        <v>39</v>
      </c>
      <c r="C1565" s="2" t="s">
        <v>38</v>
      </c>
      <c r="D1565" s="2">
        <v>293</v>
      </c>
    </row>
    <row r="1566" spans="1:4">
      <c r="A1566" s="2" t="s">
        <v>4554</v>
      </c>
      <c r="B1566" s="2" t="s">
        <v>39</v>
      </c>
      <c r="C1566" s="2" t="s">
        <v>38</v>
      </c>
      <c r="D1566" s="2">
        <v>290</v>
      </c>
    </row>
    <row r="1567" spans="1:4">
      <c r="A1567" s="2" t="s">
        <v>167</v>
      </c>
      <c r="B1567" s="2" t="s">
        <v>39</v>
      </c>
      <c r="C1567" s="2" t="s">
        <v>38</v>
      </c>
      <c r="D1567" s="2">
        <v>289</v>
      </c>
    </row>
    <row r="1568" spans="1:4">
      <c r="A1568" s="2" t="s">
        <v>2411</v>
      </c>
      <c r="B1568" s="2" t="s">
        <v>39</v>
      </c>
      <c r="C1568" s="2" t="s">
        <v>38</v>
      </c>
      <c r="D1568" s="2">
        <v>288</v>
      </c>
    </row>
    <row r="1569" spans="1:4">
      <c r="A1569" s="2" t="s">
        <v>1904</v>
      </c>
      <c r="B1569" s="2" t="s">
        <v>39</v>
      </c>
      <c r="C1569" s="2" t="s">
        <v>38</v>
      </c>
      <c r="D1569" s="2">
        <v>286</v>
      </c>
    </row>
    <row r="1570" spans="1:4">
      <c r="A1570" s="2" t="s">
        <v>3475</v>
      </c>
      <c r="B1570" s="2" t="s">
        <v>39</v>
      </c>
      <c r="C1570" s="2" t="s">
        <v>38</v>
      </c>
      <c r="D1570" s="2">
        <v>284</v>
      </c>
    </row>
    <row r="1571" spans="1:4">
      <c r="A1571" s="2" t="s">
        <v>965</v>
      </c>
      <c r="B1571" s="2" t="s">
        <v>39</v>
      </c>
      <c r="C1571" s="2" t="s">
        <v>38</v>
      </c>
      <c r="D1571" s="2">
        <v>282</v>
      </c>
    </row>
    <row r="1572" spans="1:4">
      <c r="A1572" s="2" t="s">
        <v>204</v>
      </c>
      <c r="B1572" s="2" t="s">
        <v>39</v>
      </c>
      <c r="C1572" s="2" t="s">
        <v>38</v>
      </c>
      <c r="D1572" s="2">
        <v>282</v>
      </c>
    </row>
    <row r="1573" spans="1:4">
      <c r="A1573" s="2" t="s">
        <v>275</v>
      </c>
      <c r="B1573" s="2" t="s">
        <v>39</v>
      </c>
      <c r="C1573" s="2" t="s">
        <v>38</v>
      </c>
      <c r="D1573" s="2">
        <v>282</v>
      </c>
    </row>
    <row r="1574" spans="1:4">
      <c r="A1574" s="2" t="s">
        <v>2462</v>
      </c>
      <c r="B1574" s="2" t="s">
        <v>39</v>
      </c>
      <c r="C1574" s="2" t="s">
        <v>38</v>
      </c>
      <c r="D1574" s="2">
        <v>280</v>
      </c>
    </row>
    <row r="1575" spans="1:4">
      <c r="A1575" s="2" t="s">
        <v>219</v>
      </c>
      <c r="B1575" s="2" t="s">
        <v>39</v>
      </c>
      <c r="C1575" s="2" t="s">
        <v>38</v>
      </c>
      <c r="D1575" s="2">
        <v>279</v>
      </c>
    </row>
    <row r="1576" spans="1:4">
      <c r="A1576" s="2" t="s">
        <v>4548</v>
      </c>
      <c r="B1576" s="2" t="s">
        <v>39</v>
      </c>
      <c r="C1576" s="2" t="s">
        <v>38</v>
      </c>
      <c r="D1576" s="2">
        <v>279</v>
      </c>
    </row>
    <row r="1577" spans="1:4">
      <c r="A1577" s="2" t="s">
        <v>269</v>
      </c>
      <c r="B1577" s="2" t="s">
        <v>39</v>
      </c>
      <c r="C1577" s="2" t="s">
        <v>38</v>
      </c>
      <c r="D1577" s="2">
        <v>279</v>
      </c>
    </row>
    <row r="1578" spans="1:4">
      <c r="A1578" s="2" t="s">
        <v>159</v>
      </c>
      <c r="B1578" s="2" t="s">
        <v>39</v>
      </c>
      <c r="C1578" s="2" t="s">
        <v>38</v>
      </c>
      <c r="D1578" s="2">
        <v>278</v>
      </c>
    </row>
    <row r="1579" spans="1:4">
      <c r="A1579" s="2" t="s">
        <v>942</v>
      </c>
      <c r="B1579" s="2" t="s">
        <v>39</v>
      </c>
      <c r="C1579" s="2" t="s">
        <v>38</v>
      </c>
      <c r="D1579" s="2">
        <v>278</v>
      </c>
    </row>
    <row r="1580" spans="1:4">
      <c r="A1580" s="2" t="s">
        <v>2999</v>
      </c>
      <c r="B1580" s="2" t="s">
        <v>39</v>
      </c>
      <c r="C1580" s="2" t="s">
        <v>38</v>
      </c>
      <c r="D1580" s="2">
        <v>277</v>
      </c>
    </row>
    <row r="1581" spans="1:4">
      <c r="A1581" s="2" t="s">
        <v>3793</v>
      </c>
      <c r="B1581" s="2" t="s">
        <v>39</v>
      </c>
      <c r="C1581" s="2" t="s">
        <v>38</v>
      </c>
      <c r="D1581" s="2">
        <v>277</v>
      </c>
    </row>
    <row r="1582" spans="1:4">
      <c r="A1582" s="2" t="s">
        <v>2507</v>
      </c>
      <c r="B1582" s="2" t="s">
        <v>39</v>
      </c>
      <c r="C1582" s="2" t="s">
        <v>38</v>
      </c>
      <c r="D1582" s="2">
        <v>276</v>
      </c>
    </row>
    <row r="1583" spans="1:4">
      <c r="A1583" s="2" t="s">
        <v>2484</v>
      </c>
      <c r="B1583" s="2" t="s">
        <v>39</v>
      </c>
      <c r="C1583" s="2" t="s">
        <v>38</v>
      </c>
      <c r="D1583" s="2">
        <v>275</v>
      </c>
    </row>
    <row r="1584" spans="1:4">
      <c r="A1584" s="2" t="s">
        <v>4237</v>
      </c>
      <c r="B1584" s="2" t="s">
        <v>39</v>
      </c>
      <c r="C1584" s="2" t="s">
        <v>38</v>
      </c>
      <c r="D1584" s="2">
        <v>275</v>
      </c>
    </row>
    <row r="1585" spans="1:4">
      <c r="A1585" s="2" t="s">
        <v>1910</v>
      </c>
      <c r="B1585" s="2" t="s">
        <v>39</v>
      </c>
      <c r="C1585" s="2" t="s">
        <v>38</v>
      </c>
      <c r="D1585" s="2">
        <v>274</v>
      </c>
    </row>
    <row r="1586" spans="1:4">
      <c r="A1586" s="2" t="s">
        <v>70</v>
      </c>
      <c r="B1586" s="2" t="s">
        <v>39</v>
      </c>
      <c r="C1586" s="2" t="s">
        <v>38</v>
      </c>
      <c r="D1586" s="2">
        <v>273</v>
      </c>
    </row>
    <row r="1587" spans="1:4">
      <c r="A1587" s="2" t="s">
        <v>225</v>
      </c>
      <c r="B1587" s="2" t="s">
        <v>39</v>
      </c>
      <c r="C1587" s="2" t="s">
        <v>38</v>
      </c>
      <c r="D1587" s="2">
        <v>272</v>
      </c>
    </row>
    <row r="1588" spans="1:4">
      <c r="A1588" s="2" t="s">
        <v>3429</v>
      </c>
      <c r="B1588" s="2" t="s">
        <v>39</v>
      </c>
      <c r="C1588" s="2" t="s">
        <v>38</v>
      </c>
      <c r="D1588" s="2">
        <v>272</v>
      </c>
    </row>
    <row r="1589" spans="1:4">
      <c r="A1589" s="2" t="s">
        <v>3844</v>
      </c>
      <c r="B1589" s="2" t="s">
        <v>39</v>
      </c>
      <c r="C1589" s="2" t="s">
        <v>38</v>
      </c>
      <c r="D1589" s="2">
        <v>269</v>
      </c>
    </row>
    <row r="1590" spans="1:4">
      <c r="A1590" s="2" t="s">
        <v>1865</v>
      </c>
      <c r="B1590" s="2" t="s">
        <v>39</v>
      </c>
      <c r="C1590" s="2" t="s">
        <v>38</v>
      </c>
      <c r="D1590" s="2">
        <v>269</v>
      </c>
    </row>
    <row r="1591" spans="1:4">
      <c r="A1591" s="2" t="s">
        <v>2448</v>
      </c>
      <c r="B1591" s="2" t="s">
        <v>39</v>
      </c>
      <c r="C1591" s="2" t="s">
        <v>38</v>
      </c>
      <c r="D1591" s="2">
        <v>268</v>
      </c>
    </row>
    <row r="1592" spans="1:4">
      <c r="A1592" s="2" t="s">
        <v>1946</v>
      </c>
      <c r="B1592" s="2" t="s">
        <v>39</v>
      </c>
      <c r="C1592" s="2" t="s">
        <v>38</v>
      </c>
      <c r="D1592" s="2">
        <v>268</v>
      </c>
    </row>
    <row r="1593" spans="1:4">
      <c r="A1593" s="2" t="s">
        <v>1918</v>
      </c>
      <c r="B1593" s="2" t="s">
        <v>39</v>
      </c>
      <c r="C1593" s="2" t="s">
        <v>38</v>
      </c>
      <c r="D1593" s="2">
        <v>267</v>
      </c>
    </row>
    <row r="1594" spans="1:4">
      <c r="A1594" s="2" t="s">
        <v>1049</v>
      </c>
      <c r="B1594" s="2" t="s">
        <v>39</v>
      </c>
      <c r="C1594" s="2" t="s">
        <v>38</v>
      </c>
      <c r="D1594" s="2">
        <v>266</v>
      </c>
    </row>
    <row r="1595" spans="1:4">
      <c r="A1595" s="2" t="s">
        <v>1930</v>
      </c>
      <c r="B1595" s="2" t="s">
        <v>39</v>
      </c>
      <c r="C1595" s="2" t="s">
        <v>38</v>
      </c>
      <c r="D1595" s="2">
        <v>264</v>
      </c>
    </row>
    <row r="1596" spans="1:4">
      <c r="A1596" s="2" t="s">
        <v>1938</v>
      </c>
      <c r="B1596" s="2" t="s">
        <v>39</v>
      </c>
      <c r="C1596" s="2" t="s">
        <v>38</v>
      </c>
      <c r="D1596" s="2">
        <v>264</v>
      </c>
    </row>
    <row r="1597" spans="1:4">
      <c r="A1597" s="2" t="s">
        <v>4525</v>
      </c>
      <c r="B1597" s="2" t="s">
        <v>39</v>
      </c>
      <c r="C1597" s="2" t="s">
        <v>38</v>
      </c>
      <c r="D1597" s="2">
        <v>262</v>
      </c>
    </row>
    <row r="1598" spans="1:4">
      <c r="A1598" s="2" t="s">
        <v>2415</v>
      </c>
      <c r="B1598" s="2" t="s">
        <v>39</v>
      </c>
      <c r="C1598" s="2" t="s">
        <v>38</v>
      </c>
      <c r="D1598" s="2">
        <v>262</v>
      </c>
    </row>
    <row r="1599" spans="1:4">
      <c r="A1599" s="2" t="s">
        <v>2438</v>
      </c>
      <c r="B1599" s="2" t="s">
        <v>39</v>
      </c>
      <c r="C1599" s="2" t="s">
        <v>38</v>
      </c>
      <c r="D1599" s="2">
        <v>260</v>
      </c>
    </row>
    <row r="1600" spans="1:4">
      <c r="A1600" s="2" t="s">
        <v>2451</v>
      </c>
      <c r="B1600" s="2" t="s">
        <v>39</v>
      </c>
      <c r="C1600" s="2" t="s">
        <v>38</v>
      </c>
      <c r="D1600" s="2">
        <v>260</v>
      </c>
    </row>
    <row r="1601" spans="1:4">
      <c r="A1601" s="2" t="s">
        <v>3431</v>
      </c>
      <c r="B1601" s="2" t="s">
        <v>39</v>
      </c>
      <c r="C1601" s="2" t="s">
        <v>38</v>
      </c>
      <c r="D1601" s="2">
        <v>260</v>
      </c>
    </row>
    <row r="1602" spans="1:4">
      <c r="A1602" s="2" t="s">
        <v>58</v>
      </c>
      <c r="B1602" s="2" t="s">
        <v>39</v>
      </c>
      <c r="C1602" s="2" t="s">
        <v>38</v>
      </c>
      <c r="D1602" s="2">
        <v>259</v>
      </c>
    </row>
    <row r="1603" spans="1:4">
      <c r="A1603" s="2" t="s">
        <v>254</v>
      </c>
      <c r="B1603" s="2" t="s">
        <v>39</v>
      </c>
      <c r="C1603" s="2" t="s">
        <v>38</v>
      </c>
      <c r="D1603" s="2">
        <v>258</v>
      </c>
    </row>
    <row r="1604" spans="1:4">
      <c r="A1604" s="2" t="s">
        <v>1607</v>
      </c>
      <c r="B1604" s="2" t="s">
        <v>39</v>
      </c>
      <c r="C1604" s="2" t="s">
        <v>38</v>
      </c>
      <c r="D1604" s="2">
        <v>257</v>
      </c>
    </row>
    <row r="1605" spans="1:4">
      <c r="A1605" s="2" t="s">
        <v>1074</v>
      </c>
      <c r="B1605" s="2" t="s">
        <v>39</v>
      </c>
      <c r="C1605" s="2" t="s">
        <v>38</v>
      </c>
      <c r="D1605" s="2">
        <v>257</v>
      </c>
    </row>
    <row r="1606" spans="1:4">
      <c r="A1606" s="2" t="s">
        <v>64</v>
      </c>
      <c r="B1606" s="2" t="s">
        <v>39</v>
      </c>
      <c r="C1606" s="2" t="s">
        <v>38</v>
      </c>
      <c r="D1606" s="2">
        <v>257</v>
      </c>
    </row>
    <row r="1607" spans="1:4">
      <c r="A1607" s="2" t="s">
        <v>1586</v>
      </c>
      <c r="B1607" s="2" t="s">
        <v>39</v>
      </c>
      <c r="C1607" s="2" t="s">
        <v>38</v>
      </c>
      <c r="D1607" s="2">
        <v>256</v>
      </c>
    </row>
    <row r="1608" spans="1:4">
      <c r="A1608" s="2" t="s">
        <v>4546</v>
      </c>
      <c r="B1608" s="2" t="s">
        <v>39</v>
      </c>
      <c r="C1608" s="2" t="s">
        <v>38</v>
      </c>
      <c r="D1608" s="2">
        <v>256</v>
      </c>
    </row>
    <row r="1609" spans="1:4">
      <c r="A1609" s="2" t="s">
        <v>948</v>
      </c>
      <c r="B1609" s="2" t="s">
        <v>39</v>
      </c>
      <c r="C1609" s="2" t="s">
        <v>38</v>
      </c>
      <c r="D1609" s="2">
        <v>256</v>
      </c>
    </row>
    <row r="1610" spans="1:4">
      <c r="A1610" s="2" t="s">
        <v>2479</v>
      </c>
      <c r="B1610" s="2" t="s">
        <v>39</v>
      </c>
      <c r="C1610" s="2" t="s">
        <v>38</v>
      </c>
      <c r="D1610" s="2">
        <v>255</v>
      </c>
    </row>
    <row r="1611" spans="1:4">
      <c r="A1611" s="2" t="s">
        <v>2453</v>
      </c>
      <c r="B1611" s="2" t="s">
        <v>39</v>
      </c>
      <c r="C1611" s="2" t="s">
        <v>38</v>
      </c>
      <c r="D1611" s="2">
        <v>254</v>
      </c>
    </row>
    <row r="1612" spans="1:4">
      <c r="A1612" s="2" t="s">
        <v>250</v>
      </c>
      <c r="B1612" s="2" t="s">
        <v>39</v>
      </c>
      <c r="C1612" s="2" t="s">
        <v>38</v>
      </c>
      <c r="D1612" s="2">
        <v>253</v>
      </c>
    </row>
    <row r="1613" spans="1:4">
      <c r="A1613" s="2" t="s">
        <v>2441</v>
      </c>
      <c r="B1613" s="2" t="s">
        <v>39</v>
      </c>
      <c r="C1613" s="2" t="s">
        <v>38</v>
      </c>
      <c r="D1613" s="2">
        <v>252</v>
      </c>
    </row>
    <row r="1614" spans="1:4">
      <c r="A1614" s="2" t="s">
        <v>2509</v>
      </c>
      <c r="B1614" s="2" t="s">
        <v>39</v>
      </c>
      <c r="C1614" s="2" t="s">
        <v>38</v>
      </c>
      <c r="D1614" s="2">
        <v>251</v>
      </c>
    </row>
    <row r="1615" spans="1:4">
      <c r="A1615" s="2" t="s">
        <v>256</v>
      </c>
      <c r="B1615" s="2" t="s">
        <v>39</v>
      </c>
      <c r="C1615" s="2" t="s">
        <v>38</v>
      </c>
      <c r="D1615" s="2">
        <v>250</v>
      </c>
    </row>
    <row r="1616" spans="1:4">
      <c r="A1616" s="2" t="s">
        <v>2464</v>
      </c>
      <c r="B1616" s="2" t="s">
        <v>39</v>
      </c>
      <c r="C1616" s="2" t="s">
        <v>38</v>
      </c>
      <c r="D1616" s="2">
        <v>250</v>
      </c>
    </row>
    <row r="1617" spans="1:4">
      <c r="A1617" s="2" t="s">
        <v>292</v>
      </c>
      <c r="B1617" s="2" t="s">
        <v>39</v>
      </c>
      <c r="C1617" s="2" t="s">
        <v>38</v>
      </c>
      <c r="D1617" s="2">
        <v>249</v>
      </c>
    </row>
    <row r="1618" spans="1:4">
      <c r="A1618" s="2" t="s">
        <v>1045</v>
      </c>
      <c r="B1618" s="2" t="s">
        <v>39</v>
      </c>
      <c r="C1618" s="2" t="s">
        <v>38</v>
      </c>
      <c r="D1618" s="2">
        <v>249</v>
      </c>
    </row>
    <row r="1619" spans="1:4">
      <c r="A1619" s="2" t="s">
        <v>150</v>
      </c>
      <c r="B1619" s="2" t="s">
        <v>39</v>
      </c>
      <c r="C1619" s="2" t="s">
        <v>38</v>
      </c>
      <c r="D1619" s="2">
        <v>248</v>
      </c>
    </row>
    <row r="1620" spans="1:4">
      <c r="A1620" s="2" t="s">
        <v>971</v>
      </c>
      <c r="B1620" s="2" t="s">
        <v>39</v>
      </c>
      <c r="C1620" s="2" t="s">
        <v>38</v>
      </c>
      <c r="D1620" s="2">
        <v>248</v>
      </c>
    </row>
    <row r="1621" spans="1:4">
      <c r="A1621" s="2" t="s">
        <v>1889</v>
      </c>
      <c r="B1621" s="2" t="s">
        <v>39</v>
      </c>
      <c r="C1621" s="2" t="s">
        <v>38</v>
      </c>
      <c r="D1621" s="2">
        <v>248</v>
      </c>
    </row>
    <row r="1622" spans="1:4">
      <c r="A1622" s="2" t="s">
        <v>4501</v>
      </c>
      <c r="B1622" s="2" t="s">
        <v>39</v>
      </c>
      <c r="C1622" s="2" t="s">
        <v>38</v>
      </c>
      <c r="D1622" s="2">
        <v>246</v>
      </c>
    </row>
    <row r="1623" spans="1:4">
      <c r="A1623" s="2" t="s">
        <v>2434</v>
      </c>
      <c r="B1623" s="2" t="s">
        <v>39</v>
      </c>
      <c r="C1623" s="2" t="s">
        <v>38</v>
      </c>
      <c r="D1623" s="2">
        <v>246</v>
      </c>
    </row>
    <row r="1624" spans="1:4">
      <c r="A1624" s="2" t="s">
        <v>2460</v>
      </c>
      <c r="B1624" s="2" t="s">
        <v>39</v>
      </c>
      <c r="C1624" s="2" t="s">
        <v>38</v>
      </c>
      <c r="D1624" s="2">
        <v>246</v>
      </c>
    </row>
    <row r="1625" spans="1:4">
      <c r="A1625" s="2" t="s">
        <v>1959</v>
      </c>
      <c r="B1625" s="2" t="s">
        <v>39</v>
      </c>
      <c r="C1625" s="2" t="s">
        <v>38</v>
      </c>
      <c r="D1625" s="2">
        <v>246</v>
      </c>
    </row>
    <row r="1626" spans="1:4">
      <c r="A1626" s="2" t="s">
        <v>975</v>
      </c>
      <c r="B1626" s="2" t="s">
        <v>39</v>
      </c>
      <c r="C1626" s="2" t="s">
        <v>38</v>
      </c>
      <c r="D1626" s="2">
        <v>246</v>
      </c>
    </row>
    <row r="1627" spans="1:4">
      <c r="A1627" s="2" t="s">
        <v>3001</v>
      </c>
      <c r="B1627" s="2" t="s">
        <v>39</v>
      </c>
      <c r="C1627" s="2" t="s">
        <v>38</v>
      </c>
      <c r="D1627" s="2">
        <v>245</v>
      </c>
    </row>
    <row r="1628" spans="1:4">
      <c r="A1628" s="2" t="s">
        <v>2964</v>
      </c>
      <c r="B1628" s="2" t="s">
        <v>39</v>
      </c>
      <c r="C1628" s="2" t="s">
        <v>38</v>
      </c>
      <c r="D1628" s="2">
        <v>244</v>
      </c>
    </row>
    <row r="1629" spans="1:4">
      <c r="A1629" s="2" t="s">
        <v>76</v>
      </c>
      <c r="B1629" s="2" t="s">
        <v>39</v>
      </c>
      <c r="C1629" s="2" t="s">
        <v>38</v>
      </c>
      <c r="D1629" s="2">
        <v>242</v>
      </c>
    </row>
    <row r="1630" spans="1:4">
      <c r="A1630" s="2" t="s">
        <v>1104</v>
      </c>
      <c r="B1630" s="2" t="s">
        <v>39</v>
      </c>
      <c r="C1630" s="2" t="s">
        <v>38</v>
      </c>
      <c r="D1630" s="2">
        <v>242</v>
      </c>
    </row>
    <row r="1631" spans="1:4">
      <c r="A1631" s="2" t="s">
        <v>1936</v>
      </c>
      <c r="B1631" s="2" t="s">
        <v>39</v>
      </c>
      <c r="C1631" s="2" t="s">
        <v>38</v>
      </c>
      <c r="D1631" s="2">
        <v>242</v>
      </c>
    </row>
    <row r="1632" spans="1:4">
      <c r="A1632" s="2" t="s">
        <v>239</v>
      </c>
      <c r="B1632" s="2" t="s">
        <v>39</v>
      </c>
      <c r="C1632" s="2" t="s">
        <v>38</v>
      </c>
      <c r="D1632" s="2">
        <v>241</v>
      </c>
    </row>
    <row r="1633" spans="1:4">
      <c r="A1633" s="2" t="s">
        <v>164</v>
      </c>
      <c r="B1633" s="2" t="s">
        <v>39</v>
      </c>
      <c r="C1633" s="2" t="s">
        <v>38</v>
      </c>
      <c r="D1633" s="2">
        <v>241</v>
      </c>
    </row>
    <row r="1634" spans="1:4">
      <c r="A1634" s="2" t="s">
        <v>3852</v>
      </c>
      <c r="B1634" s="2" t="s">
        <v>39</v>
      </c>
      <c r="C1634" s="2" t="s">
        <v>38</v>
      </c>
      <c r="D1634" s="2">
        <v>241</v>
      </c>
    </row>
    <row r="1635" spans="1:4">
      <c r="A1635" s="2" t="s">
        <v>1847</v>
      </c>
      <c r="B1635" s="2" t="s">
        <v>39</v>
      </c>
      <c r="C1635" s="2" t="s">
        <v>38</v>
      </c>
      <c r="D1635" s="2">
        <v>241</v>
      </c>
    </row>
    <row r="1636" spans="1:4">
      <c r="A1636" s="2" t="s">
        <v>1006</v>
      </c>
      <c r="B1636" s="2" t="s">
        <v>39</v>
      </c>
      <c r="C1636" s="2" t="s">
        <v>38</v>
      </c>
      <c r="D1636" s="2">
        <v>239</v>
      </c>
    </row>
    <row r="1637" spans="1:4">
      <c r="A1637" s="2" t="s">
        <v>1598</v>
      </c>
      <c r="B1637" s="2" t="s">
        <v>39</v>
      </c>
      <c r="C1637" s="2" t="s">
        <v>38</v>
      </c>
      <c r="D1637" s="2">
        <v>238</v>
      </c>
    </row>
    <row r="1638" spans="1:4">
      <c r="A1638" s="2" t="s">
        <v>237</v>
      </c>
      <c r="B1638" s="2" t="s">
        <v>39</v>
      </c>
      <c r="C1638" s="2" t="s">
        <v>38</v>
      </c>
      <c r="D1638" s="2">
        <v>238</v>
      </c>
    </row>
    <row r="1639" spans="1:4">
      <c r="A1639" s="2" t="s">
        <v>2490</v>
      </c>
      <c r="B1639" s="2" t="s">
        <v>39</v>
      </c>
      <c r="C1639" s="2" t="s">
        <v>38</v>
      </c>
      <c r="D1639" s="2">
        <v>236</v>
      </c>
    </row>
    <row r="1640" spans="1:4">
      <c r="A1640" s="2" t="s">
        <v>2496</v>
      </c>
      <c r="B1640" s="2" t="s">
        <v>39</v>
      </c>
      <c r="C1640" s="2" t="s">
        <v>38</v>
      </c>
      <c r="D1640" s="2">
        <v>235</v>
      </c>
    </row>
    <row r="1641" spans="1:4">
      <c r="A1641" s="2" t="s">
        <v>2991</v>
      </c>
      <c r="B1641" s="2" t="s">
        <v>39</v>
      </c>
      <c r="C1641" s="2" t="s">
        <v>38</v>
      </c>
      <c r="D1641" s="2">
        <v>234</v>
      </c>
    </row>
    <row r="1642" spans="1:4">
      <c r="A1642" s="2" t="s">
        <v>1928</v>
      </c>
      <c r="B1642" s="2" t="s">
        <v>39</v>
      </c>
      <c r="C1642" s="2" t="s">
        <v>38</v>
      </c>
      <c r="D1642" s="2">
        <v>234</v>
      </c>
    </row>
    <row r="1643" spans="1:4">
      <c r="A1643" s="2" t="s">
        <v>2390</v>
      </c>
      <c r="B1643" s="2" t="s">
        <v>39</v>
      </c>
      <c r="C1643" s="2" t="s">
        <v>38</v>
      </c>
      <c r="D1643" s="2">
        <v>233</v>
      </c>
    </row>
    <row r="1644" spans="1:4">
      <c r="A1644" s="2" t="s">
        <v>103</v>
      </c>
      <c r="B1644" s="2" t="s">
        <v>39</v>
      </c>
      <c r="C1644" s="2" t="s">
        <v>38</v>
      </c>
      <c r="D1644" s="2">
        <v>231</v>
      </c>
    </row>
    <row r="1645" spans="1:4">
      <c r="A1645" s="2" t="s">
        <v>288</v>
      </c>
      <c r="B1645" s="2" t="s">
        <v>39</v>
      </c>
      <c r="C1645" s="2" t="s">
        <v>38</v>
      </c>
      <c r="D1645" s="2">
        <v>231</v>
      </c>
    </row>
    <row r="1646" spans="1:4">
      <c r="A1646" s="2" t="s">
        <v>3461</v>
      </c>
      <c r="B1646" s="2" t="s">
        <v>39</v>
      </c>
      <c r="C1646" s="2" t="s">
        <v>38</v>
      </c>
      <c r="D1646" s="2">
        <v>231</v>
      </c>
    </row>
    <row r="1647" spans="1:4">
      <c r="A1647" s="2" t="s">
        <v>2986</v>
      </c>
      <c r="B1647" s="2" t="s">
        <v>39</v>
      </c>
      <c r="C1647" s="2" t="s">
        <v>38</v>
      </c>
      <c r="D1647" s="2">
        <v>231</v>
      </c>
    </row>
    <row r="1648" spans="1:4">
      <c r="A1648" s="2" t="s">
        <v>2513</v>
      </c>
      <c r="B1648" s="2" t="s">
        <v>39</v>
      </c>
      <c r="C1648" s="2" t="s">
        <v>38</v>
      </c>
      <c r="D1648" s="2">
        <v>230</v>
      </c>
    </row>
    <row r="1649" spans="1:4">
      <c r="A1649" s="2" t="s">
        <v>79</v>
      </c>
      <c r="B1649" s="2" t="s">
        <v>39</v>
      </c>
      <c r="C1649" s="2" t="s">
        <v>38</v>
      </c>
      <c r="D1649" s="2">
        <v>230</v>
      </c>
    </row>
    <row r="1650" spans="1:4">
      <c r="A1650" s="2" t="s">
        <v>2443</v>
      </c>
      <c r="B1650" s="2" t="s">
        <v>39</v>
      </c>
      <c r="C1650" s="2" t="s">
        <v>38</v>
      </c>
      <c r="D1650" s="2">
        <v>230</v>
      </c>
    </row>
    <row r="1651" spans="1:4">
      <c r="A1651" s="2" t="s">
        <v>145</v>
      </c>
      <c r="B1651" s="2" t="s">
        <v>39</v>
      </c>
      <c r="C1651" s="2" t="s">
        <v>38</v>
      </c>
      <c r="D1651" s="2">
        <v>229</v>
      </c>
    </row>
    <row r="1652" spans="1:4">
      <c r="A1652" s="2" t="s">
        <v>3438</v>
      </c>
      <c r="B1652" s="2" t="s">
        <v>39</v>
      </c>
      <c r="C1652" s="2" t="s">
        <v>38</v>
      </c>
      <c r="D1652" s="2">
        <v>228</v>
      </c>
    </row>
    <row r="1653" spans="1:4">
      <c r="A1653" s="2" t="s">
        <v>121</v>
      </c>
      <c r="B1653" s="2" t="s">
        <v>39</v>
      </c>
      <c r="C1653" s="2" t="s">
        <v>38</v>
      </c>
      <c r="D1653" s="2">
        <v>227</v>
      </c>
    </row>
    <row r="1654" spans="1:4">
      <c r="A1654" s="2" t="s">
        <v>141</v>
      </c>
      <c r="B1654" s="2" t="s">
        <v>39</v>
      </c>
      <c r="C1654" s="2" t="s">
        <v>38</v>
      </c>
      <c r="D1654" s="2">
        <v>226</v>
      </c>
    </row>
    <row r="1655" spans="1:4">
      <c r="A1655" s="2" t="s">
        <v>3882</v>
      </c>
      <c r="B1655" s="2" t="s">
        <v>39</v>
      </c>
      <c r="C1655" s="2" t="s">
        <v>38</v>
      </c>
      <c r="D1655" s="2">
        <v>225</v>
      </c>
    </row>
    <row r="1656" spans="1:4">
      <c r="A1656" s="2" t="s">
        <v>3812</v>
      </c>
      <c r="B1656" s="2" t="s">
        <v>39</v>
      </c>
      <c r="C1656" s="2" t="s">
        <v>38</v>
      </c>
      <c r="D1656" s="2">
        <v>225</v>
      </c>
    </row>
    <row r="1657" spans="1:4">
      <c r="A1657" s="2" t="s">
        <v>1926</v>
      </c>
      <c r="B1657" s="2" t="s">
        <v>39</v>
      </c>
      <c r="C1657" s="2" t="s">
        <v>38</v>
      </c>
      <c r="D1657" s="2">
        <v>224</v>
      </c>
    </row>
    <row r="1658" spans="1:4">
      <c r="A1658" s="2" t="s">
        <v>1108</v>
      </c>
      <c r="B1658" s="2" t="s">
        <v>39</v>
      </c>
      <c r="C1658" s="2" t="s">
        <v>38</v>
      </c>
      <c r="D1658" s="2">
        <v>224</v>
      </c>
    </row>
    <row r="1659" spans="1:4">
      <c r="A1659" s="2" t="s">
        <v>1876</v>
      </c>
      <c r="B1659" s="2" t="s">
        <v>39</v>
      </c>
      <c r="C1659" s="2" t="s">
        <v>38</v>
      </c>
      <c r="D1659" s="2">
        <v>224</v>
      </c>
    </row>
    <row r="1660" spans="1:4">
      <c r="A1660" s="2" t="s">
        <v>266</v>
      </c>
      <c r="B1660" s="2" t="s">
        <v>39</v>
      </c>
      <c r="C1660" s="2" t="s">
        <v>38</v>
      </c>
      <c r="D1660" s="2">
        <v>222</v>
      </c>
    </row>
    <row r="1661" spans="1:4">
      <c r="A1661" s="2" t="s">
        <v>2401</v>
      </c>
      <c r="B1661" s="2" t="s">
        <v>39</v>
      </c>
      <c r="C1661" s="2" t="s">
        <v>38</v>
      </c>
      <c r="D1661" s="2">
        <v>222</v>
      </c>
    </row>
    <row r="1662" spans="1:4">
      <c r="A1662" s="2" t="s">
        <v>996</v>
      </c>
      <c r="B1662" s="2" t="s">
        <v>39</v>
      </c>
      <c r="C1662" s="2" t="s">
        <v>38</v>
      </c>
      <c r="D1662" s="2">
        <v>221</v>
      </c>
    </row>
    <row r="1663" spans="1:4">
      <c r="A1663" s="2" t="s">
        <v>1078</v>
      </c>
      <c r="B1663" s="2" t="s">
        <v>39</v>
      </c>
      <c r="C1663" s="2" t="s">
        <v>38</v>
      </c>
      <c r="D1663" s="2">
        <v>220</v>
      </c>
    </row>
    <row r="1664" spans="1:4">
      <c r="A1664" s="2" t="s">
        <v>85</v>
      </c>
      <c r="B1664" s="2" t="s">
        <v>39</v>
      </c>
      <c r="C1664" s="2" t="s">
        <v>38</v>
      </c>
      <c r="D1664" s="2">
        <v>220</v>
      </c>
    </row>
    <row r="1665" spans="1:4">
      <c r="A1665" s="2" t="s">
        <v>2432</v>
      </c>
      <c r="B1665" s="2" t="s">
        <v>39</v>
      </c>
      <c r="C1665" s="2" t="s">
        <v>38</v>
      </c>
      <c r="D1665" s="2">
        <v>219</v>
      </c>
    </row>
    <row r="1666" spans="1:4">
      <c r="A1666" s="2" t="s">
        <v>258</v>
      </c>
      <c r="B1666" s="2" t="s">
        <v>39</v>
      </c>
      <c r="C1666" s="2" t="s">
        <v>38</v>
      </c>
      <c r="D1666" s="2">
        <v>219</v>
      </c>
    </row>
    <row r="1667" spans="1:4">
      <c r="A1667" s="2" t="s">
        <v>2427</v>
      </c>
      <c r="B1667" s="2" t="s">
        <v>39</v>
      </c>
      <c r="C1667" s="2" t="s">
        <v>38</v>
      </c>
      <c r="D1667" s="2">
        <v>219</v>
      </c>
    </row>
    <row r="1668" spans="1:4">
      <c r="A1668" s="2" t="s">
        <v>2981</v>
      </c>
      <c r="B1668" s="2" t="s">
        <v>39</v>
      </c>
      <c r="C1668" s="2" t="s">
        <v>38</v>
      </c>
      <c r="D1668" s="2">
        <v>219</v>
      </c>
    </row>
    <row r="1669" spans="1:4">
      <c r="A1669" s="2" t="s">
        <v>3809</v>
      </c>
      <c r="B1669" s="2" t="s">
        <v>39</v>
      </c>
      <c r="C1669" s="2" t="s">
        <v>38</v>
      </c>
      <c r="D1669" s="2">
        <v>218</v>
      </c>
    </row>
    <row r="1670" spans="1:4">
      <c r="A1670" s="2" t="s">
        <v>116</v>
      </c>
      <c r="B1670" s="2" t="s">
        <v>39</v>
      </c>
      <c r="C1670" s="2" t="s">
        <v>38</v>
      </c>
      <c r="D1670" s="2">
        <v>217</v>
      </c>
    </row>
    <row r="1671" spans="1:4">
      <c r="A1671" s="2" t="s">
        <v>190</v>
      </c>
      <c r="B1671" s="2" t="s">
        <v>39</v>
      </c>
      <c r="C1671" s="2" t="s">
        <v>38</v>
      </c>
      <c r="D1671" s="2">
        <v>216</v>
      </c>
    </row>
    <row r="1672" spans="1:4">
      <c r="A1672" s="2" t="s">
        <v>3435</v>
      </c>
      <c r="B1672" s="2" t="s">
        <v>39</v>
      </c>
      <c r="C1672" s="2" t="s">
        <v>38</v>
      </c>
      <c r="D1672" s="2">
        <v>216</v>
      </c>
    </row>
    <row r="1673" spans="1:4">
      <c r="A1673" s="2" t="s">
        <v>1591</v>
      </c>
      <c r="B1673" s="2" t="s">
        <v>39</v>
      </c>
      <c r="C1673" s="2" t="s">
        <v>38</v>
      </c>
      <c r="D1673" s="2">
        <v>215</v>
      </c>
    </row>
    <row r="1674" spans="1:4">
      <c r="A1674" s="2" t="s">
        <v>1914</v>
      </c>
      <c r="B1674" s="2" t="s">
        <v>39</v>
      </c>
      <c r="C1674" s="2" t="s">
        <v>38</v>
      </c>
      <c r="D1674" s="2">
        <v>214</v>
      </c>
    </row>
    <row r="1675" spans="1:4">
      <c r="A1675" s="2" t="s">
        <v>3013</v>
      </c>
      <c r="B1675" s="2" t="s">
        <v>39</v>
      </c>
      <c r="C1675" s="2" t="s">
        <v>38</v>
      </c>
      <c r="D1675" s="2">
        <v>214</v>
      </c>
    </row>
    <row r="1676" spans="1:4">
      <c r="A1676" s="2" t="s">
        <v>1951</v>
      </c>
      <c r="B1676" s="2" t="s">
        <v>39</v>
      </c>
      <c r="C1676" s="2" t="s">
        <v>38</v>
      </c>
      <c r="D1676" s="2">
        <v>213</v>
      </c>
    </row>
    <row r="1677" spans="1:4">
      <c r="A1677" s="2" t="s">
        <v>215</v>
      </c>
      <c r="B1677" s="2" t="s">
        <v>39</v>
      </c>
      <c r="C1677" s="2" t="s">
        <v>38</v>
      </c>
      <c r="D1677" s="2">
        <v>213</v>
      </c>
    </row>
    <row r="1678" spans="1:4">
      <c r="A1678" s="2" t="s">
        <v>1063</v>
      </c>
      <c r="B1678" s="2" t="s">
        <v>39</v>
      </c>
      <c r="C1678" s="2" t="s">
        <v>38</v>
      </c>
      <c r="D1678" s="2">
        <v>212</v>
      </c>
    </row>
    <row r="1679" spans="1:4">
      <c r="A1679" s="2" t="s">
        <v>2970</v>
      </c>
      <c r="B1679" s="2" t="s">
        <v>39</v>
      </c>
      <c r="C1679" s="2" t="s">
        <v>38</v>
      </c>
      <c r="D1679" s="2">
        <v>211</v>
      </c>
    </row>
    <row r="1680" spans="1:4">
      <c r="A1680" s="2" t="s">
        <v>4246</v>
      </c>
      <c r="B1680" s="2" t="s">
        <v>39</v>
      </c>
      <c r="C1680" s="2" t="s">
        <v>38</v>
      </c>
      <c r="D1680" s="2">
        <v>210</v>
      </c>
    </row>
    <row r="1681" spans="1:4">
      <c r="A1681" s="2" t="s">
        <v>1581</v>
      </c>
      <c r="B1681" s="2" t="s">
        <v>39</v>
      </c>
      <c r="C1681" s="2" t="s">
        <v>38</v>
      </c>
      <c r="D1681" s="2">
        <v>210</v>
      </c>
    </row>
    <row r="1682" spans="1:4">
      <c r="A1682" s="2" t="s">
        <v>1893</v>
      </c>
      <c r="B1682" s="2" t="s">
        <v>39</v>
      </c>
      <c r="C1682" s="2" t="s">
        <v>38</v>
      </c>
      <c r="D1682" s="2">
        <v>210</v>
      </c>
    </row>
    <row r="1683" spans="1:4">
      <c r="A1683" s="2" t="s">
        <v>4504</v>
      </c>
      <c r="B1683" s="2" t="s">
        <v>39</v>
      </c>
      <c r="C1683" s="2" t="s">
        <v>38</v>
      </c>
      <c r="D1683" s="2">
        <v>209</v>
      </c>
    </row>
    <row r="1684" spans="1:4">
      <c r="A1684" s="2" t="s">
        <v>2978</v>
      </c>
      <c r="B1684" s="2" t="s">
        <v>39</v>
      </c>
      <c r="C1684" s="2" t="s">
        <v>38</v>
      </c>
      <c r="D1684" s="2">
        <v>208</v>
      </c>
    </row>
    <row r="1685" spans="1:4">
      <c r="A1685" s="2" t="s">
        <v>136</v>
      </c>
      <c r="B1685" s="2" t="s">
        <v>39</v>
      </c>
      <c r="C1685" s="2" t="s">
        <v>38</v>
      </c>
      <c r="D1685" s="2">
        <v>207</v>
      </c>
    </row>
    <row r="1686" spans="1:4">
      <c r="A1686" s="2" t="s">
        <v>246</v>
      </c>
      <c r="B1686" s="2" t="s">
        <v>39</v>
      </c>
      <c r="C1686" s="2" t="s">
        <v>38</v>
      </c>
      <c r="D1686" s="2">
        <v>207</v>
      </c>
    </row>
    <row r="1687" spans="1:4">
      <c r="A1687" s="2" t="s">
        <v>4260</v>
      </c>
      <c r="B1687" s="2" t="s">
        <v>39</v>
      </c>
      <c r="C1687" s="2" t="s">
        <v>38</v>
      </c>
      <c r="D1687" s="2">
        <v>207</v>
      </c>
    </row>
    <row r="1688" spans="1:4">
      <c r="A1688" s="2" t="s">
        <v>134</v>
      </c>
      <c r="B1688" s="2" t="s">
        <v>39</v>
      </c>
      <c r="C1688" s="2" t="s">
        <v>38</v>
      </c>
      <c r="D1688" s="2">
        <v>206</v>
      </c>
    </row>
    <row r="1689" spans="1:4">
      <c r="A1689" s="2" t="s">
        <v>3467</v>
      </c>
      <c r="B1689" s="2" t="s">
        <v>39</v>
      </c>
      <c r="C1689" s="2" t="s">
        <v>38</v>
      </c>
      <c r="D1689" s="2">
        <v>206</v>
      </c>
    </row>
    <row r="1690" spans="1:4">
      <c r="A1690" s="2" t="s">
        <v>3832</v>
      </c>
      <c r="B1690" s="2" t="s">
        <v>39</v>
      </c>
      <c r="C1690" s="2" t="s">
        <v>38</v>
      </c>
      <c r="D1690" s="2">
        <v>206</v>
      </c>
    </row>
    <row r="1691" spans="1:4">
      <c r="A1691" s="2" t="s">
        <v>1037</v>
      </c>
      <c r="B1691" s="2" t="s">
        <v>39</v>
      </c>
      <c r="C1691" s="2" t="s">
        <v>38</v>
      </c>
      <c r="D1691" s="2">
        <v>205</v>
      </c>
    </row>
    <row r="1692" spans="1:4">
      <c r="A1692" s="2" t="s">
        <v>3453</v>
      </c>
      <c r="B1692" s="2" t="s">
        <v>39</v>
      </c>
      <c r="C1692" s="2" t="s">
        <v>38</v>
      </c>
      <c r="D1692" s="2">
        <v>205</v>
      </c>
    </row>
    <row r="1693" spans="1:4">
      <c r="A1693" s="2" t="s">
        <v>271</v>
      </c>
      <c r="B1693" s="2" t="s">
        <v>39</v>
      </c>
      <c r="C1693" s="2" t="s">
        <v>38</v>
      </c>
      <c r="D1693" s="2">
        <v>205</v>
      </c>
    </row>
    <row r="1694" spans="1:4">
      <c r="A1694" s="2" t="s">
        <v>2406</v>
      </c>
      <c r="B1694" s="2" t="s">
        <v>39</v>
      </c>
      <c r="C1694" s="2" t="s">
        <v>38</v>
      </c>
      <c r="D1694" s="2">
        <v>205</v>
      </c>
    </row>
    <row r="1695" spans="1:4">
      <c r="A1695" s="2" t="s">
        <v>982</v>
      </c>
      <c r="B1695" s="2" t="s">
        <v>39</v>
      </c>
      <c r="C1695" s="2" t="s">
        <v>38</v>
      </c>
      <c r="D1695" s="2">
        <v>204</v>
      </c>
    </row>
    <row r="1696" spans="1:4">
      <c r="A1696" s="2" t="s">
        <v>1615</v>
      </c>
      <c r="B1696" s="2" t="s">
        <v>39</v>
      </c>
      <c r="C1696" s="2" t="s">
        <v>38</v>
      </c>
      <c r="D1696" s="2">
        <v>204</v>
      </c>
    </row>
    <row r="1697" spans="1:4">
      <c r="A1697" s="2" t="s">
        <v>2429</v>
      </c>
      <c r="B1697" s="2" t="s">
        <v>39</v>
      </c>
      <c r="C1697" s="2" t="s">
        <v>38</v>
      </c>
      <c r="D1697" s="2">
        <v>203</v>
      </c>
    </row>
    <row r="1698" spans="1:4">
      <c r="A1698" s="2" t="s">
        <v>4538</v>
      </c>
      <c r="B1698" s="2" t="s">
        <v>39</v>
      </c>
      <c r="C1698" s="2" t="s">
        <v>38</v>
      </c>
      <c r="D1698" s="2">
        <v>203</v>
      </c>
    </row>
    <row r="1699" spans="1:4">
      <c r="A1699" s="2" t="s">
        <v>3003</v>
      </c>
      <c r="B1699" s="2" t="s">
        <v>39</v>
      </c>
      <c r="C1699" s="2" t="s">
        <v>38</v>
      </c>
      <c r="D1699" s="2">
        <v>203</v>
      </c>
    </row>
    <row r="1700" spans="1:4">
      <c r="A1700" s="2" t="s">
        <v>273</v>
      </c>
      <c r="B1700" s="2" t="s">
        <v>39</v>
      </c>
      <c r="C1700" s="2" t="s">
        <v>38</v>
      </c>
      <c r="D1700" s="2">
        <v>203</v>
      </c>
    </row>
    <row r="1701" spans="1:4">
      <c r="A1701" s="2" t="s">
        <v>1880</v>
      </c>
      <c r="B1701" s="2" t="s">
        <v>39</v>
      </c>
      <c r="C1701" s="2" t="s">
        <v>38</v>
      </c>
      <c r="D1701" s="2">
        <v>201</v>
      </c>
    </row>
    <row r="1702" spans="1:4">
      <c r="A1702" s="2" t="s">
        <v>3440</v>
      </c>
      <c r="B1702" s="2" t="s">
        <v>39</v>
      </c>
      <c r="C1702" s="2" t="s">
        <v>38</v>
      </c>
      <c r="D1702" s="2">
        <v>201</v>
      </c>
    </row>
    <row r="1703" spans="1:4">
      <c r="A1703" s="2" t="s">
        <v>252</v>
      </c>
      <c r="B1703" s="2" t="s">
        <v>39</v>
      </c>
      <c r="C1703" s="2" t="s">
        <v>38</v>
      </c>
      <c r="D1703" s="2">
        <v>201</v>
      </c>
    </row>
    <row r="1704" spans="1:4">
      <c r="A1704" s="2" t="s">
        <v>3820</v>
      </c>
      <c r="B1704" s="2" t="s">
        <v>39</v>
      </c>
      <c r="C1704" s="2" t="s">
        <v>38</v>
      </c>
      <c r="D1704" s="2">
        <v>200</v>
      </c>
    </row>
    <row r="1705" spans="1:4">
      <c r="A1705" s="2" t="s">
        <v>3451</v>
      </c>
      <c r="B1705" s="2" t="s">
        <v>39</v>
      </c>
      <c r="C1705" s="2" t="s">
        <v>38</v>
      </c>
      <c r="D1705" s="2">
        <v>200</v>
      </c>
    </row>
    <row r="1706" spans="1:4">
      <c r="A1706" s="2" t="s">
        <v>1895</v>
      </c>
      <c r="B1706" s="2" t="s">
        <v>39</v>
      </c>
      <c r="C1706" s="2" t="s">
        <v>38</v>
      </c>
      <c r="D1706" s="2">
        <v>198</v>
      </c>
    </row>
    <row r="1707" spans="1:4">
      <c r="A1707" s="2" t="s">
        <v>132</v>
      </c>
      <c r="B1707" s="2" t="s">
        <v>39</v>
      </c>
      <c r="C1707" s="2" t="s">
        <v>38</v>
      </c>
      <c r="D1707" s="2">
        <v>198</v>
      </c>
    </row>
    <row r="1708" spans="1:4">
      <c r="A1708" s="2" t="s">
        <v>2515</v>
      </c>
      <c r="B1708" s="2" t="s">
        <v>39</v>
      </c>
      <c r="C1708" s="2" t="s">
        <v>38</v>
      </c>
      <c r="D1708" s="2">
        <v>198</v>
      </c>
    </row>
    <row r="1709" spans="1:4">
      <c r="A1709" s="2" t="s">
        <v>3463</v>
      </c>
      <c r="B1709" s="2" t="s">
        <v>39</v>
      </c>
      <c r="C1709" s="2" t="s">
        <v>38</v>
      </c>
      <c r="D1709" s="2">
        <v>198</v>
      </c>
    </row>
    <row r="1710" spans="1:4">
      <c r="A1710" s="2" t="s">
        <v>4235</v>
      </c>
      <c r="B1710" s="2" t="s">
        <v>39</v>
      </c>
      <c r="C1710" s="2" t="s">
        <v>38</v>
      </c>
      <c r="D1710" s="2">
        <v>197</v>
      </c>
    </row>
    <row r="1711" spans="1:4">
      <c r="A1711" s="2" t="s">
        <v>998</v>
      </c>
      <c r="B1711" s="2" t="s">
        <v>39</v>
      </c>
      <c r="C1711" s="2" t="s">
        <v>38</v>
      </c>
      <c r="D1711" s="2">
        <v>197</v>
      </c>
    </row>
    <row r="1712" spans="1:4">
      <c r="A1712" s="2" t="s">
        <v>2436</v>
      </c>
      <c r="B1712" s="2" t="s">
        <v>39</v>
      </c>
      <c r="C1712" s="2" t="s">
        <v>38</v>
      </c>
      <c r="D1712" s="2">
        <v>196</v>
      </c>
    </row>
    <row r="1713" spans="1:4">
      <c r="A1713" s="2" t="s">
        <v>2470</v>
      </c>
      <c r="B1713" s="2" t="s">
        <v>39</v>
      </c>
      <c r="C1713" s="2" t="s">
        <v>38</v>
      </c>
      <c r="D1713" s="2">
        <v>195</v>
      </c>
    </row>
    <row r="1714" spans="1:4">
      <c r="A1714" s="2" t="s">
        <v>1906</v>
      </c>
      <c r="B1714" s="2" t="s">
        <v>39</v>
      </c>
      <c r="C1714" s="2" t="s">
        <v>38</v>
      </c>
      <c r="D1714" s="2">
        <v>194</v>
      </c>
    </row>
    <row r="1715" spans="1:4">
      <c r="A1715" s="2" t="s">
        <v>4536</v>
      </c>
      <c r="B1715" s="2" t="s">
        <v>39</v>
      </c>
      <c r="C1715" s="2" t="s">
        <v>38</v>
      </c>
      <c r="D1715" s="2">
        <v>194</v>
      </c>
    </row>
    <row r="1716" spans="1:4">
      <c r="A1716" s="2" t="s">
        <v>2967</v>
      </c>
      <c r="B1716" s="2" t="s">
        <v>39</v>
      </c>
      <c r="C1716" s="2" t="s">
        <v>38</v>
      </c>
      <c r="D1716" s="2">
        <v>193</v>
      </c>
    </row>
    <row r="1717" spans="1:4">
      <c r="A1717" s="2" t="s">
        <v>248</v>
      </c>
      <c r="B1717" s="2" t="s">
        <v>39</v>
      </c>
      <c r="C1717" s="2" t="s">
        <v>38</v>
      </c>
      <c r="D1717" s="2">
        <v>192</v>
      </c>
    </row>
    <row r="1718" spans="1:4">
      <c r="A1718" s="2" t="s">
        <v>4515</v>
      </c>
      <c r="B1718" s="2" t="s">
        <v>39</v>
      </c>
      <c r="C1718" s="2" t="s">
        <v>38</v>
      </c>
      <c r="D1718" s="2">
        <v>192</v>
      </c>
    </row>
    <row r="1719" spans="1:4">
      <c r="A1719" s="2" t="s">
        <v>2511</v>
      </c>
      <c r="B1719" s="2" t="s">
        <v>39</v>
      </c>
      <c r="C1719" s="2" t="s">
        <v>38</v>
      </c>
      <c r="D1719" s="2">
        <v>192</v>
      </c>
    </row>
    <row r="1720" spans="1:4">
      <c r="A1720" s="2" t="s">
        <v>174</v>
      </c>
      <c r="B1720" s="2" t="s">
        <v>39</v>
      </c>
      <c r="C1720" s="2" t="s">
        <v>38</v>
      </c>
      <c r="D1720" s="2">
        <v>192</v>
      </c>
    </row>
    <row r="1721" spans="1:4">
      <c r="A1721" s="2" t="s">
        <v>934</v>
      </c>
      <c r="B1721" s="2" t="s">
        <v>39</v>
      </c>
      <c r="C1721" s="2" t="s">
        <v>38</v>
      </c>
      <c r="D1721" s="2">
        <v>191</v>
      </c>
    </row>
    <row r="1722" spans="1:4">
      <c r="A1722" s="2" t="s">
        <v>4523</v>
      </c>
      <c r="B1722" s="2" t="s">
        <v>39</v>
      </c>
      <c r="C1722" s="2" t="s">
        <v>38</v>
      </c>
      <c r="D1722" s="2">
        <v>191</v>
      </c>
    </row>
    <row r="1723" spans="1:4">
      <c r="A1723" s="2" t="s">
        <v>3830</v>
      </c>
      <c r="B1723" s="2" t="s">
        <v>39</v>
      </c>
      <c r="C1723" s="2" t="s">
        <v>38</v>
      </c>
      <c r="D1723" s="2">
        <v>191</v>
      </c>
    </row>
    <row r="1724" spans="1:4">
      <c r="A1724" s="2" t="s">
        <v>3816</v>
      </c>
      <c r="B1724" s="2" t="s">
        <v>39</v>
      </c>
      <c r="C1724" s="2" t="s">
        <v>38</v>
      </c>
      <c r="D1724" s="2">
        <v>190</v>
      </c>
    </row>
    <row r="1725" spans="1:4">
      <c r="A1725" s="2" t="s">
        <v>217</v>
      </c>
      <c r="B1725" s="2" t="s">
        <v>39</v>
      </c>
      <c r="C1725" s="2" t="s">
        <v>38</v>
      </c>
      <c r="D1725" s="2">
        <v>189</v>
      </c>
    </row>
    <row r="1726" spans="1:4">
      <c r="A1726" s="2" t="s">
        <v>1029</v>
      </c>
      <c r="B1726" s="2" t="s">
        <v>39</v>
      </c>
      <c r="C1726" s="2" t="s">
        <v>38</v>
      </c>
      <c r="D1726" s="2">
        <v>188</v>
      </c>
    </row>
    <row r="1727" spans="1:4">
      <c r="A1727" s="2" t="s">
        <v>1863</v>
      </c>
      <c r="B1727" s="2" t="s">
        <v>39</v>
      </c>
      <c r="C1727" s="2" t="s">
        <v>38</v>
      </c>
      <c r="D1727" s="2">
        <v>185</v>
      </c>
    </row>
    <row r="1728" spans="1:4">
      <c r="A1728" s="2" t="s">
        <v>3886</v>
      </c>
      <c r="B1728" s="2" t="s">
        <v>39</v>
      </c>
      <c r="C1728" s="2" t="s">
        <v>38</v>
      </c>
      <c r="D1728" s="2">
        <v>184</v>
      </c>
    </row>
    <row r="1729" spans="1:4">
      <c r="A1729" s="2" t="s">
        <v>4489</v>
      </c>
      <c r="B1729" s="2" t="s">
        <v>39</v>
      </c>
      <c r="C1729" s="2" t="s">
        <v>38</v>
      </c>
      <c r="D1729" s="2">
        <v>184</v>
      </c>
    </row>
    <row r="1730" spans="1:4">
      <c r="A1730" s="2" t="s">
        <v>930</v>
      </c>
      <c r="B1730" s="2" t="s">
        <v>39</v>
      </c>
      <c r="C1730" s="2" t="s">
        <v>38</v>
      </c>
      <c r="D1730" s="2">
        <v>184</v>
      </c>
    </row>
    <row r="1731" spans="1:4">
      <c r="A1731" s="2" t="s">
        <v>2995</v>
      </c>
      <c r="B1731" s="2" t="s">
        <v>39</v>
      </c>
      <c r="C1731" s="2" t="s">
        <v>38</v>
      </c>
      <c r="D1731" s="2">
        <v>183</v>
      </c>
    </row>
    <row r="1732" spans="1:4">
      <c r="A1732" s="2" t="s">
        <v>956</v>
      </c>
      <c r="B1732" s="2" t="s">
        <v>39</v>
      </c>
      <c r="C1732" s="2" t="s">
        <v>38</v>
      </c>
      <c r="D1732" s="2">
        <v>183</v>
      </c>
    </row>
    <row r="1733" spans="1:4">
      <c r="A1733" s="2" t="s">
        <v>2973</v>
      </c>
      <c r="B1733" s="2" t="s">
        <v>39</v>
      </c>
      <c r="C1733" s="2" t="s">
        <v>38</v>
      </c>
      <c r="D1733" s="2">
        <v>182</v>
      </c>
    </row>
    <row r="1734" spans="1:4">
      <c r="A1734" s="2" t="s">
        <v>967</v>
      </c>
      <c r="B1734" s="2" t="s">
        <v>39</v>
      </c>
      <c r="C1734" s="2" t="s">
        <v>38</v>
      </c>
      <c r="D1734" s="2">
        <v>182</v>
      </c>
    </row>
    <row r="1735" spans="1:4">
      <c r="A1735" s="2" t="s">
        <v>1611</v>
      </c>
      <c r="B1735" s="2" t="s">
        <v>39</v>
      </c>
      <c r="C1735" s="2" t="s">
        <v>38</v>
      </c>
      <c r="D1735" s="2">
        <v>182</v>
      </c>
    </row>
    <row r="1736" spans="1:4">
      <c r="A1736" s="2" t="s">
        <v>3884</v>
      </c>
      <c r="B1736" s="2" t="s">
        <v>39</v>
      </c>
      <c r="C1736" s="2" t="s">
        <v>38</v>
      </c>
      <c r="D1736" s="2">
        <v>182</v>
      </c>
    </row>
    <row r="1737" spans="1:4">
      <c r="A1737" s="2" t="s">
        <v>1953</v>
      </c>
      <c r="B1737" s="2" t="s">
        <v>39</v>
      </c>
      <c r="C1737" s="2" t="s">
        <v>38</v>
      </c>
      <c r="D1737" s="2">
        <v>181</v>
      </c>
    </row>
    <row r="1738" spans="1:4">
      <c r="A1738" s="2" t="s">
        <v>1019</v>
      </c>
      <c r="B1738" s="2" t="s">
        <v>39</v>
      </c>
      <c r="C1738" s="2" t="s">
        <v>38</v>
      </c>
      <c r="D1738" s="2">
        <v>181</v>
      </c>
    </row>
    <row r="1739" spans="1:4">
      <c r="A1739" s="2" t="s">
        <v>223</v>
      </c>
      <c r="B1739" s="2" t="s">
        <v>39</v>
      </c>
      <c r="C1739" s="2" t="s">
        <v>38</v>
      </c>
      <c r="D1739" s="2">
        <v>181</v>
      </c>
    </row>
    <row r="1740" spans="1:4">
      <c r="A1740" s="2" t="s">
        <v>290</v>
      </c>
      <c r="B1740" s="2" t="s">
        <v>39</v>
      </c>
      <c r="C1740" s="2" t="s">
        <v>38</v>
      </c>
      <c r="D1740" s="2">
        <v>181</v>
      </c>
    </row>
    <row r="1741" spans="1:4">
      <c r="A1741" s="2" t="s">
        <v>1885</v>
      </c>
      <c r="B1741" s="2" t="s">
        <v>39</v>
      </c>
      <c r="C1741" s="2" t="s">
        <v>38</v>
      </c>
      <c r="D1741" s="2">
        <v>181</v>
      </c>
    </row>
    <row r="1742" spans="1:4">
      <c r="A1742" s="2" t="s">
        <v>963</v>
      </c>
      <c r="B1742" s="2" t="s">
        <v>39</v>
      </c>
      <c r="C1742" s="2" t="s">
        <v>38</v>
      </c>
      <c r="D1742" s="2">
        <v>180</v>
      </c>
    </row>
    <row r="1743" spans="1:4">
      <c r="A1743" s="2" t="s">
        <v>3442</v>
      </c>
      <c r="B1743" s="2" t="s">
        <v>39</v>
      </c>
      <c r="C1743" s="2" t="s">
        <v>38</v>
      </c>
      <c r="D1743" s="2">
        <v>180</v>
      </c>
    </row>
    <row r="1744" spans="1:4">
      <c r="A1744" s="2" t="s">
        <v>3469</v>
      </c>
      <c r="B1744" s="2" t="s">
        <v>39</v>
      </c>
      <c r="C1744" s="2" t="s">
        <v>38</v>
      </c>
      <c r="D1744" s="2">
        <v>179</v>
      </c>
    </row>
    <row r="1745" spans="1:4">
      <c r="A1745" s="2" t="s">
        <v>4229</v>
      </c>
      <c r="B1745" s="2" t="s">
        <v>39</v>
      </c>
      <c r="C1745" s="2" t="s">
        <v>38</v>
      </c>
      <c r="D1745" s="2">
        <v>178</v>
      </c>
    </row>
    <row r="1746" spans="1:4">
      <c r="A1746" s="2" t="s">
        <v>4508</v>
      </c>
      <c r="B1746" s="2" t="s">
        <v>39</v>
      </c>
      <c r="C1746" s="2" t="s">
        <v>38</v>
      </c>
      <c r="D1746" s="2">
        <v>178</v>
      </c>
    </row>
    <row r="1747" spans="1:4">
      <c r="A1747" s="2" t="s">
        <v>4492</v>
      </c>
      <c r="B1747" s="2" t="s">
        <v>39</v>
      </c>
      <c r="C1747" s="2" t="s">
        <v>38</v>
      </c>
      <c r="D1747" s="2">
        <v>178</v>
      </c>
    </row>
    <row r="1748" spans="1:4">
      <c r="A1748" s="2" t="s">
        <v>2517</v>
      </c>
      <c r="B1748" s="2" t="s">
        <v>39</v>
      </c>
      <c r="C1748" s="2" t="s">
        <v>38</v>
      </c>
      <c r="D1748" s="2">
        <v>178</v>
      </c>
    </row>
    <row r="1749" spans="1:4">
      <c r="A1749" s="2" t="s">
        <v>106</v>
      </c>
      <c r="B1749" s="2" t="s">
        <v>39</v>
      </c>
      <c r="C1749" s="2" t="s">
        <v>38</v>
      </c>
      <c r="D1749" s="2">
        <v>177</v>
      </c>
    </row>
    <row r="1750" spans="1:4">
      <c r="A1750" s="2" t="s">
        <v>4485</v>
      </c>
      <c r="B1750" s="2" t="s">
        <v>39</v>
      </c>
      <c r="C1750" s="2" t="s">
        <v>38</v>
      </c>
      <c r="D1750" s="2">
        <v>177</v>
      </c>
    </row>
    <row r="1751" spans="1:4">
      <c r="A1751" s="2" t="s">
        <v>114</v>
      </c>
      <c r="B1751" s="2" t="s">
        <v>39</v>
      </c>
      <c r="C1751" s="2" t="s">
        <v>38</v>
      </c>
      <c r="D1751" s="2">
        <v>176</v>
      </c>
    </row>
    <row r="1752" spans="1:4">
      <c r="A1752" s="2" t="s">
        <v>2457</v>
      </c>
      <c r="B1752" s="2" t="s">
        <v>39</v>
      </c>
      <c r="C1752" s="2" t="s">
        <v>38</v>
      </c>
      <c r="D1752" s="2">
        <v>175</v>
      </c>
    </row>
    <row r="1753" spans="1:4">
      <c r="A1753" s="2" t="s">
        <v>176</v>
      </c>
      <c r="B1753" s="2" t="s">
        <v>39</v>
      </c>
      <c r="C1753" s="2" t="s">
        <v>38</v>
      </c>
      <c r="D1753" s="2">
        <v>174</v>
      </c>
    </row>
    <row r="1754" spans="1:4">
      <c r="A1754" s="2" t="s">
        <v>2393</v>
      </c>
      <c r="B1754" s="2" t="s">
        <v>39</v>
      </c>
      <c r="C1754" s="2" t="s">
        <v>38</v>
      </c>
      <c r="D1754" s="2">
        <v>174</v>
      </c>
    </row>
    <row r="1755" spans="1:4">
      <c r="A1755" s="2" t="s">
        <v>3876</v>
      </c>
      <c r="B1755" s="2" t="s">
        <v>39</v>
      </c>
      <c r="C1755" s="2" t="s">
        <v>38</v>
      </c>
      <c r="D1755" s="2">
        <v>173</v>
      </c>
    </row>
    <row r="1756" spans="1:4">
      <c r="A1756" s="2" t="s">
        <v>1861</v>
      </c>
      <c r="B1756" s="2" t="s">
        <v>39</v>
      </c>
      <c r="C1756" s="2" t="s">
        <v>38</v>
      </c>
      <c r="D1756" s="2">
        <v>173</v>
      </c>
    </row>
    <row r="1757" spans="1:4">
      <c r="A1757" s="2" t="s">
        <v>1027</v>
      </c>
      <c r="B1757" s="2" t="s">
        <v>39</v>
      </c>
      <c r="C1757" s="2" t="s">
        <v>38</v>
      </c>
      <c r="D1757" s="2">
        <v>173</v>
      </c>
    </row>
    <row r="1758" spans="1:4">
      <c r="A1758" s="2" t="s">
        <v>4264</v>
      </c>
      <c r="B1758" s="2" t="s">
        <v>39</v>
      </c>
      <c r="C1758" s="2" t="s">
        <v>38</v>
      </c>
      <c r="D1758" s="2">
        <v>173</v>
      </c>
    </row>
    <row r="1759" spans="1:4">
      <c r="A1759" s="2" t="s">
        <v>1039</v>
      </c>
      <c r="B1759" s="2" t="s">
        <v>39</v>
      </c>
      <c r="C1759" s="2" t="s">
        <v>38</v>
      </c>
      <c r="D1759" s="2">
        <v>172</v>
      </c>
    </row>
    <row r="1760" spans="1:4">
      <c r="A1760" s="2" t="s">
        <v>3814</v>
      </c>
      <c r="B1760" s="2" t="s">
        <v>39</v>
      </c>
      <c r="C1760" s="2" t="s">
        <v>38</v>
      </c>
      <c r="D1760" s="2">
        <v>172</v>
      </c>
    </row>
    <row r="1761" spans="1:4">
      <c r="A1761" s="2" t="s">
        <v>4266</v>
      </c>
      <c r="B1761" s="2" t="s">
        <v>39</v>
      </c>
      <c r="C1761" s="2" t="s">
        <v>38</v>
      </c>
      <c r="D1761" s="2">
        <v>172</v>
      </c>
    </row>
    <row r="1762" spans="1:4">
      <c r="A1762" s="2" t="s">
        <v>2498</v>
      </c>
      <c r="B1762" s="2" t="s">
        <v>39</v>
      </c>
      <c r="C1762" s="2" t="s">
        <v>38</v>
      </c>
      <c r="D1762" s="2">
        <v>170</v>
      </c>
    </row>
    <row r="1763" spans="1:4">
      <c r="A1763" s="2" t="s">
        <v>1855</v>
      </c>
      <c r="B1763" s="2" t="s">
        <v>39</v>
      </c>
      <c r="C1763" s="2" t="s">
        <v>38</v>
      </c>
      <c r="D1763" s="2">
        <v>169</v>
      </c>
    </row>
    <row r="1764" spans="1:4">
      <c r="A1764" s="2" t="s">
        <v>2997</v>
      </c>
      <c r="B1764" s="2" t="s">
        <v>39</v>
      </c>
      <c r="C1764" s="2" t="s">
        <v>38</v>
      </c>
      <c r="D1764" s="2">
        <v>168</v>
      </c>
    </row>
    <row r="1765" spans="1:4">
      <c r="A1765" s="2" t="s">
        <v>4248</v>
      </c>
      <c r="B1765" s="2" t="s">
        <v>39</v>
      </c>
      <c r="C1765" s="2" t="s">
        <v>38</v>
      </c>
      <c r="D1765" s="2">
        <v>168</v>
      </c>
    </row>
    <row r="1766" spans="1:4">
      <c r="A1766" s="2" t="s">
        <v>210</v>
      </c>
      <c r="B1766" s="2" t="s">
        <v>39</v>
      </c>
      <c r="C1766" s="2" t="s">
        <v>38</v>
      </c>
      <c r="D1766" s="2">
        <v>168</v>
      </c>
    </row>
    <row r="1767" spans="1:4">
      <c r="A1767" s="2" t="s">
        <v>4521</v>
      </c>
      <c r="B1767" s="2" t="s">
        <v>39</v>
      </c>
      <c r="C1767" s="2" t="s">
        <v>38</v>
      </c>
      <c r="D1767" s="2">
        <v>166</v>
      </c>
    </row>
    <row r="1768" spans="1:4">
      <c r="A1768" s="2" t="s">
        <v>231</v>
      </c>
      <c r="B1768" s="2" t="s">
        <v>39</v>
      </c>
      <c r="C1768" s="2" t="s">
        <v>38</v>
      </c>
      <c r="D1768" s="2">
        <v>164</v>
      </c>
    </row>
    <row r="1769" spans="1:4">
      <c r="A1769" s="2" t="s">
        <v>3007</v>
      </c>
      <c r="B1769" s="2" t="s">
        <v>39</v>
      </c>
      <c r="C1769" s="2" t="s">
        <v>38</v>
      </c>
      <c r="D1769" s="2">
        <v>164</v>
      </c>
    </row>
    <row r="1770" spans="1:4">
      <c r="A1770" s="2" t="s">
        <v>1834</v>
      </c>
      <c r="B1770" s="2" t="s">
        <v>39</v>
      </c>
      <c r="C1770" s="2" t="s">
        <v>38</v>
      </c>
      <c r="D1770" s="2">
        <v>164</v>
      </c>
    </row>
    <row r="1771" spans="1:4">
      <c r="A1771" s="2" t="s">
        <v>4530</v>
      </c>
      <c r="B1771" s="2" t="s">
        <v>39</v>
      </c>
      <c r="C1771" s="2" t="s">
        <v>38</v>
      </c>
      <c r="D1771" s="2">
        <v>162</v>
      </c>
    </row>
    <row r="1772" spans="1:4">
      <c r="A1772" s="2" t="s">
        <v>3850</v>
      </c>
      <c r="B1772" s="2" t="s">
        <v>39</v>
      </c>
      <c r="C1772" s="2" t="s">
        <v>38</v>
      </c>
      <c r="D1772" s="2">
        <v>162</v>
      </c>
    </row>
    <row r="1773" spans="1:4">
      <c r="A1773" s="2" t="s">
        <v>1069</v>
      </c>
      <c r="B1773" s="2" t="s">
        <v>39</v>
      </c>
      <c r="C1773" s="2" t="s">
        <v>38</v>
      </c>
      <c r="D1773" s="2">
        <v>162</v>
      </c>
    </row>
    <row r="1774" spans="1:4">
      <c r="A1774" s="2" t="s">
        <v>3823</v>
      </c>
      <c r="B1774" s="2" t="s">
        <v>39</v>
      </c>
      <c r="C1774" s="2" t="s">
        <v>38</v>
      </c>
      <c r="D1774" s="2">
        <v>161</v>
      </c>
    </row>
    <row r="1775" spans="1:4">
      <c r="A1775" s="2" t="s">
        <v>2492</v>
      </c>
      <c r="B1775" s="2" t="s">
        <v>39</v>
      </c>
      <c r="C1775" s="2" t="s">
        <v>38</v>
      </c>
      <c r="D1775" s="2">
        <v>161</v>
      </c>
    </row>
    <row r="1776" spans="1:4">
      <c r="A1776" s="2" t="s">
        <v>4566</v>
      </c>
      <c r="B1776" s="2" t="s">
        <v>39</v>
      </c>
      <c r="C1776" s="2" t="s">
        <v>38</v>
      </c>
      <c r="D1776" s="2">
        <v>160</v>
      </c>
    </row>
    <row r="1777" spans="1:4">
      <c r="A1777" s="2" t="s">
        <v>3017</v>
      </c>
      <c r="B1777" s="2" t="s">
        <v>39</v>
      </c>
      <c r="C1777" s="2" t="s">
        <v>38</v>
      </c>
      <c r="D1777" s="2">
        <v>160</v>
      </c>
    </row>
    <row r="1778" spans="1:4">
      <c r="A1778" s="2" t="s">
        <v>208</v>
      </c>
      <c r="B1778" s="2" t="s">
        <v>39</v>
      </c>
      <c r="C1778" s="2" t="s">
        <v>38</v>
      </c>
      <c r="D1778" s="2">
        <v>158</v>
      </c>
    </row>
    <row r="1779" spans="1:4">
      <c r="A1779" s="2" t="s">
        <v>1957</v>
      </c>
      <c r="B1779" s="2" t="s">
        <v>39</v>
      </c>
      <c r="C1779" s="2" t="s">
        <v>38</v>
      </c>
      <c r="D1779" s="2">
        <v>158</v>
      </c>
    </row>
    <row r="1780" spans="1:4">
      <c r="A1780" s="2" t="s">
        <v>2989</v>
      </c>
      <c r="B1780" s="2" t="s">
        <v>39</v>
      </c>
      <c r="C1780" s="2" t="s">
        <v>38</v>
      </c>
      <c r="D1780" s="2">
        <v>157</v>
      </c>
    </row>
    <row r="1781" spans="1:4">
      <c r="A1781" s="2" t="s">
        <v>1025</v>
      </c>
      <c r="B1781" s="2" t="s">
        <v>39</v>
      </c>
      <c r="C1781" s="2" t="s">
        <v>38</v>
      </c>
      <c r="D1781" s="2">
        <v>157</v>
      </c>
    </row>
    <row r="1782" spans="1:4">
      <c r="A1782" s="2" t="s">
        <v>994</v>
      </c>
      <c r="B1782" s="2" t="s">
        <v>39</v>
      </c>
      <c r="C1782" s="2" t="s">
        <v>38</v>
      </c>
      <c r="D1782" s="2">
        <v>157</v>
      </c>
    </row>
    <row r="1783" spans="1:4">
      <c r="A1783" s="2" t="s">
        <v>1595</v>
      </c>
      <c r="B1783" s="2" t="s">
        <v>39</v>
      </c>
      <c r="C1783" s="2" t="s">
        <v>38</v>
      </c>
      <c r="D1783" s="2">
        <v>156</v>
      </c>
    </row>
    <row r="1784" spans="1:4">
      <c r="A1784" s="2" t="s">
        <v>4534</v>
      </c>
      <c r="B1784" s="2" t="s">
        <v>39</v>
      </c>
      <c r="C1784" s="2" t="s">
        <v>38</v>
      </c>
      <c r="D1784" s="2">
        <v>156</v>
      </c>
    </row>
    <row r="1785" spans="1:4">
      <c r="A1785" s="2" t="s">
        <v>3416</v>
      </c>
      <c r="B1785" s="2" t="s">
        <v>39</v>
      </c>
      <c r="C1785" s="2" t="s">
        <v>38</v>
      </c>
      <c r="D1785" s="2">
        <v>156</v>
      </c>
    </row>
    <row r="1786" spans="1:4">
      <c r="A1786" s="2" t="s">
        <v>2475</v>
      </c>
      <c r="B1786" s="2" t="s">
        <v>39</v>
      </c>
      <c r="C1786" s="2" t="s">
        <v>38</v>
      </c>
      <c r="D1786" s="2">
        <v>154</v>
      </c>
    </row>
    <row r="1787" spans="1:4">
      <c r="A1787" s="2" t="s">
        <v>3471</v>
      </c>
      <c r="B1787" s="2" t="s">
        <v>39</v>
      </c>
      <c r="C1787" s="2" t="s">
        <v>38</v>
      </c>
      <c r="D1787" s="2">
        <v>154</v>
      </c>
    </row>
    <row r="1788" spans="1:4">
      <c r="A1788" s="2" t="s">
        <v>3866</v>
      </c>
      <c r="B1788" s="2" t="s">
        <v>39</v>
      </c>
      <c r="C1788" s="2" t="s">
        <v>38</v>
      </c>
      <c r="D1788" s="2">
        <v>153</v>
      </c>
    </row>
    <row r="1789" spans="1:4">
      <c r="A1789" s="2" t="s">
        <v>1891</v>
      </c>
      <c r="B1789" s="2" t="s">
        <v>39</v>
      </c>
      <c r="C1789" s="2" t="s">
        <v>38</v>
      </c>
      <c r="D1789" s="2">
        <v>153</v>
      </c>
    </row>
    <row r="1790" spans="1:4">
      <c r="A1790" s="2" t="s">
        <v>4570</v>
      </c>
      <c r="B1790" s="2" t="s">
        <v>39</v>
      </c>
      <c r="C1790" s="2" t="s">
        <v>38</v>
      </c>
      <c r="D1790" s="2">
        <v>153</v>
      </c>
    </row>
    <row r="1791" spans="1:4">
      <c r="A1791" s="2" t="s">
        <v>2413</v>
      </c>
      <c r="B1791" s="2" t="s">
        <v>39</v>
      </c>
      <c r="C1791" s="2" t="s">
        <v>38</v>
      </c>
      <c r="D1791" s="2">
        <v>152</v>
      </c>
    </row>
    <row r="1792" spans="1:4">
      <c r="A1792" s="2" t="s">
        <v>3433</v>
      </c>
      <c r="B1792" s="2" t="s">
        <v>39</v>
      </c>
      <c r="C1792" s="2" t="s">
        <v>38</v>
      </c>
      <c r="D1792" s="2">
        <v>152</v>
      </c>
    </row>
    <row r="1793" spans="1:4">
      <c r="A1793" s="2" t="s">
        <v>2488</v>
      </c>
      <c r="B1793" s="2" t="s">
        <v>39</v>
      </c>
      <c r="C1793" s="2" t="s">
        <v>38</v>
      </c>
      <c r="D1793" s="2">
        <v>151</v>
      </c>
    </row>
    <row r="1794" spans="1:4">
      <c r="A1794" s="2" t="s">
        <v>2384</v>
      </c>
      <c r="B1794" s="2" t="s">
        <v>39</v>
      </c>
      <c r="C1794" s="2" t="s">
        <v>38</v>
      </c>
      <c r="D1794" s="2">
        <v>151</v>
      </c>
    </row>
    <row r="1795" spans="1:4">
      <c r="A1795" s="2" t="s">
        <v>1106</v>
      </c>
      <c r="B1795" s="2" t="s">
        <v>39</v>
      </c>
      <c r="C1795" s="2" t="s">
        <v>38</v>
      </c>
      <c r="D1795" s="2">
        <v>150</v>
      </c>
    </row>
    <row r="1796" spans="1:4">
      <c r="A1796" s="2" t="s">
        <v>212</v>
      </c>
      <c r="B1796" s="2" t="s">
        <v>39</v>
      </c>
      <c r="C1796" s="2" t="s">
        <v>38</v>
      </c>
      <c r="D1796" s="2">
        <v>149</v>
      </c>
    </row>
    <row r="1797" spans="1:4">
      <c r="A1797" s="2" t="s">
        <v>1015</v>
      </c>
      <c r="B1797" s="2" t="s">
        <v>39</v>
      </c>
      <c r="C1797" s="2" t="s">
        <v>38</v>
      </c>
      <c r="D1797" s="2">
        <v>147</v>
      </c>
    </row>
    <row r="1798" spans="1:4">
      <c r="A1798" s="2" t="s">
        <v>1851</v>
      </c>
      <c r="B1798" s="2" t="s">
        <v>39</v>
      </c>
      <c r="C1798" s="2" t="s">
        <v>38</v>
      </c>
      <c r="D1798" s="2">
        <v>147</v>
      </c>
    </row>
    <row r="1799" spans="1:4">
      <c r="A1799" s="2" t="s">
        <v>1088</v>
      </c>
      <c r="B1799" s="2" t="s">
        <v>39</v>
      </c>
      <c r="C1799" s="2" t="s">
        <v>38</v>
      </c>
      <c r="D1799" s="2">
        <v>147</v>
      </c>
    </row>
    <row r="1800" spans="1:4">
      <c r="A1800" s="2" t="s">
        <v>1924</v>
      </c>
      <c r="B1800" s="2" t="s">
        <v>39</v>
      </c>
      <c r="C1800" s="2" t="s">
        <v>38</v>
      </c>
      <c r="D1800" s="2">
        <v>147</v>
      </c>
    </row>
    <row r="1801" spans="1:4">
      <c r="A1801" s="2" t="s">
        <v>3457</v>
      </c>
      <c r="B1801" s="2" t="s">
        <v>39</v>
      </c>
      <c r="C1801" s="2" t="s">
        <v>38</v>
      </c>
      <c r="D1801" s="2">
        <v>147</v>
      </c>
    </row>
    <row r="1802" spans="1:4">
      <c r="A1802" s="2" t="s">
        <v>2455</v>
      </c>
      <c r="B1802" s="2" t="s">
        <v>39</v>
      </c>
      <c r="C1802" s="2" t="s">
        <v>38</v>
      </c>
      <c r="D1802" s="2">
        <v>144</v>
      </c>
    </row>
    <row r="1803" spans="1:4">
      <c r="A1803" s="2" t="s">
        <v>4574</v>
      </c>
      <c r="B1803" s="2" t="s">
        <v>39</v>
      </c>
      <c r="C1803" s="2" t="s">
        <v>38</v>
      </c>
      <c r="D1803" s="2">
        <v>143</v>
      </c>
    </row>
    <row r="1804" spans="1:4">
      <c r="A1804" s="2" t="s">
        <v>1055</v>
      </c>
      <c r="B1804" s="2" t="s">
        <v>39</v>
      </c>
      <c r="C1804" s="2" t="s">
        <v>38</v>
      </c>
      <c r="D1804" s="2">
        <v>142</v>
      </c>
    </row>
    <row r="1805" spans="1:4">
      <c r="A1805" s="2" t="s">
        <v>2502</v>
      </c>
      <c r="B1805" s="2" t="s">
        <v>39</v>
      </c>
      <c r="C1805" s="2" t="s">
        <v>38</v>
      </c>
      <c r="D1805" s="2">
        <v>142</v>
      </c>
    </row>
    <row r="1806" spans="1:4">
      <c r="A1806" s="2" t="s">
        <v>2983</v>
      </c>
      <c r="B1806" s="2" t="s">
        <v>39</v>
      </c>
      <c r="C1806" s="2" t="s">
        <v>38</v>
      </c>
      <c r="D1806" s="2">
        <v>140</v>
      </c>
    </row>
    <row r="1807" spans="1:4">
      <c r="A1807" s="2" t="s">
        <v>3421</v>
      </c>
      <c r="B1807" s="2" t="s">
        <v>39</v>
      </c>
      <c r="C1807" s="2" t="s">
        <v>38</v>
      </c>
      <c r="D1807" s="2">
        <v>139</v>
      </c>
    </row>
    <row r="1808" spans="1:4">
      <c r="A1808" s="2" t="s">
        <v>1000</v>
      </c>
      <c r="B1808" s="2" t="s">
        <v>39</v>
      </c>
      <c r="C1808" s="2" t="s">
        <v>38</v>
      </c>
      <c r="D1808" s="2">
        <v>138</v>
      </c>
    </row>
    <row r="1809" spans="1:4">
      <c r="A1809" s="2" t="s">
        <v>2993</v>
      </c>
      <c r="B1809" s="2" t="s">
        <v>39</v>
      </c>
      <c r="C1809" s="2" t="s">
        <v>38</v>
      </c>
      <c r="D1809" s="2">
        <v>136</v>
      </c>
    </row>
    <row r="1810" spans="1:4">
      <c r="A1810" s="2" t="s">
        <v>143</v>
      </c>
      <c r="B1810" s="2" t="s">
        <v>39</v>
      </c>
      <c r="C1810" s="2" t="s">
        <v>38</v>
      </c>
      <c r="D1810" s="2">
        <v>136</v>
      </c>
    </row>
    <row r="1811" spans="1:4">
      <c r="A1811" s="2" t="s">
        <v>1619</v>
      </c>
      <c r="B1811" s="2" t="s">
        <v>39</v>
      </c>
      <c r="C1811" s="2" t="s">
        <v>38</v>
      </c>
      <c r="D1811" s="2">
        <v>136</v>
      </c>
    </row>
    <row r="1812" spans="1:4">
      <c r="A1812" s="2" t="s">
        <v>977</v>
      </c>
      <c r="B1812" s="2" t="s">
        <v>39</v>
      </c>
      <c r="C1812" s="2" t="s">
        <v>38</v>
      </c>
      <c r="D1812" s="2">
        <v>135</v>
      </c>
    </row>
    <row r="1813" spans="1:4">
      <c r="A1813" s="2" t="s">
        <v>3878</v>
      </c>
      <c r="B1813" s="2" t="s">
        <v>39</v>
      </c>
      <c r="C1813" s="2" t="s">
        <v>38</v>
      </c>
      <c r="D1813" s="2">
        <v>135</v>
      </c>
    </row>
    <row r="1814" spans="1:4">
      <c r="A1814" s="2" t="s">
        <v>1090</v>
      </c>
      <c r="B1814" s="2" t="s">
        <v>39</v>
      </c>
      <c r="C1814" s="2" t="s">
        <v>38</v>
      </c>
      <c r="D1814" s="2">
        <v>135</v>
      </c>
    </row>
    <row r="1815" spans="1:4">
      <c r="A1815" s="2" t="s">
        <v>973</v>
      </c>
      <c r="B1815" s="2" t="s">
        <v>39</v>
      </c>
      <c r="C1815" s="2" t="s">
        <v>38</v>
      </c>
      <c r="D1815" s="2">
        <v>135</v>
      </c>
    </row>
    <row r="1816" spans="1:4">
      <c r="A1816" s="2" t="s">
        <v>2403</v>
      </c>
      <c r="B1816" s="2" t="s">
        <v>39</v>
      </c>
      <c r="C1816" s="2" t="s">
        <v>38</v>
      </c>
      <c r="D1816" s="2">
        <v>135</v>
      </c>
    </row>
    <row r="1817" spans="1:4">
      <c r="A1817" s="2" t="s">
        <v>4481</v>
      </c>
      <c r="B1817" s="2" t="s">
        <v>39</v>
      </c>
      <c r="C1817" s="2" t="s">
        <v>38</v>
      </c>
      <c r="D1817" s="2">
        <v>134</v>
      </c>
    </row>
    <row r="1818" spans="1:4">
      <c r="A1818" s="2" t="s">
        <v>4540</v>
      </c>
      <c r="B1818" s="2" t="s">
        <v>39</v>
      </c>
      <c r="C1818" s="2" t="s">
        <v>38</v>
      </c>
      <c r="D1818" s="2">
        <v>134</v>
      </c>
    </row>
    <row r="1819" spans="1:4">
      <c r="A1819" s="2" t="s">
        <v>961</v>
      </c>
      <c r="B1819" s="2" t="s">
        <v>39</v>
      </c>
      <c r="C1819" s="2" t="s">
        <v>38</v>
      </c>
      <c r="D1819" s="2">
        <v>133</v>
      </c>
    </row>
    <row r="1820" spans="1:4">
      <c r="A1820" s="2" t="s">
        <v>3874</v>
      </c>
      <c r="B1820" s="2" t="s">
        <v>39</v>
      </c>
      <c r="C1820" s="2" t="s">
        <v>38</v>
      </c>
      <c r="D1820" s="2">
        <v>133</v>
      </c>
    </row>
    <row r="1821" spans="1:4">
      <c r="A1821" s="2" t="s">
        <v>1080</v>
      </c>
      <c r="B1821" s="2" t="s">
        <v>39</v>
      </c>
      <c r="C1821" s="2" t="s">
        <v>38</v>
      </c>
      <c r="D1821" s="2">
        <v>133</v>
      </c>
    </row>
    <row r="1822" spans="1:4">
      <c r="A1822" s="2" t="s">
        <v>55</v>
      </c>
      <c r="B1822" s="2" t="s">
        <v>39</v>
      </c>
      <c r="C1822" s="2" t="s">
        <v>38</v>
      </c>
      <c r="D1822" s="2">
        <v>133</v>
      </c>
    </row>
    <row r="1823" spans="1:4">
      <c r="A1823" s="2" t="s">
        <v>1100</v>
      </c>
      <c r="B1823" s="2" t="s">
        <v>39</v>
      </c>
      <c r="C1823" s="2" t="s">
        <v>38</v>
      </c>
      <c r="D1823" s="2">
        <v>133</v>
      </c>
    </row>
    <row r="1824" spans="1:4">
      <c r="A1824" s="2" t="s">
        <v>4506</v>
      </c>
      <c r="B1824" s="2" t="s">
        <v>39</v>
      </c>
      <c r="C1824" s="2" t="s">
        <v>38</v>
      </c>
      <c r="D1824" s="2">
        <v>133</v>
      </c>
    </row>
    <row r="1825" spans="1:4">
      <c r="A1825" s="2" t="s">
        <v>984</v>
      </c>
      <c r="B1825" s="2" t="s">
        <v>39</v>
      </c>
      <c r="C1825" s="2" t="s">
        <v>38</v>
      </c>
      <c r="D1825" s="2">
        <v>132</v>
      </c>
    </row>
    <row r="1826" spans="1:4">
      <c r="A1826" s="2" t="s">
        <v>3872</v>
      </c>
      <c r="B1826" s="2" t="s">
        <v>39</v>
      </c>
      <c r="C1826" s="2" t="s">
        <v>38</v>
      </c>
      <c r="D1826" s="2">
        <v>132</v>
      </c>
    </row>
    <row r="1827" spans="1:4">
      <c r="A1827" s="2" t="s">
        <v>4544</v>
      </c>
      <c r="B1827" s="2" t="s">
        <v>39</v>
      </c>
      <c r="C1827" s="2" t="s">
        <v>38</v>
      </c>
      <c r="D1827" s="2">
        <v>132</v>
      </c>
    </row>
    <row r="1828" spans="1:4">
      <c r="A1828" s="2" t="s">
        <v>1067</v>
      </c>
      <c r="B1828" s="2" t="s">
        <v>39</v>
      </c>
      <c r="C1828" s="2" t="s">
        <v>38</v>
      </c>
      <c r="D1828" s="2">
        <v>132</v>
      </c>
    </row>
    <row r="1829" spans="1:4">
      <c r="A1829" s="2" t="s">
        <v>221</v>
      </c>
      <c r="B1829" s="2" t="s">
        <v>39</v>
      </c>
      <c r="C1829" s="2" t="s">
        <v>38</v>
      </c>
      <c r="D1829" s="2">
        <v>131</v>
      </c>
    </row>
    <row r="1830" spans="1:4">
      <c r="A1830" s="2" t="s">
        <v>3005</v>
      </c>
      <c r="B1830" s="2" t="s">
        <v>39</v>
      </c>
      <c r="C1830" s="2" t="s">
        <v>38</v>
      </c>
      <c r="D1830" s="2">
        <v>130</v>
      </c>
    </row>
    <row r="1831" spans="1:4">
      <c r="A1831" s="2" t="s">
        <v>3868</v>
      </c>
      <c r="B1831" s="2" t="s">
        <v>39</v>
      </c>
      <c r="C1831" s="2" t="s">
        <v>38</v>
      </c>
      <c r="D1831" s="2">
        <v>129</v>
      </c>
    </row>
    <row r="1832" spans="1:4">
      <c r="A1832" s="2" t="s">
        <v>1043</v>
      </c>
      <c r="B1832" s="2" t="s">
        <v>39</v>
      </c>
      <c r="C1832" s="2" t="s">
        <v>38</v>
      </c>
      <c r="D1832" s="2">
        <v>129</v>
      </c>
    </row>
    <row r="1833" spans="1:4">
      <c r="A1833" s="2" t="s">
        <v>3015</v>
      </c>
      <c r="B1833" s="2" t="s">
        <v>39</v>
      </c>
      <c r="C1833" s="2" t="s">
        <v>38</v>
      </c>
      <c r="D1833" s="2">
        <v>129</v>
      </c>
    </row>
    <row r="1834" spans="1:4">
      <c r="A1834" s="2" t="s">
        <v>1872</v>
      </c>
      <c r="B1834" s="2" t="s">
        <v>39</v>
      </c>
      <c r="C1834" s="2" t="s">
        <v>38</v>
      </c>
      <c r="D1834" s="2">
        <v>128</v>
      </c>
    </row>
    <row r="1835" spans="1:4">
      <c r="A1835" s="2" t="s">
        <v>2418</v>
      </c>
      <c r="B1835" s="2" t="s">
        <v>39</v>
      </c>
      <c r="C1835" s="2" t="s">
        <v>38</v>
      </c>
      <c r="D1835" s="2">
        <v>128</v>
      </c>
    </row>
    <row r="1836" spans="1:4">
      <c r="A1836" s="2" t="s">
        <v>4252</v>
      </c>
      <c r="B1836" s="2" t="s">
        <v>39</v>
      </c>
      <c r="C1836" s="2" t="s">
        <v>38</v>
      </c>
      <c r="D1836" s="2">
        <v>127</v>
      </c>
    </row>
    <row r="1837" spans="1:4">
      <c r="A1837" s="2" t="s">
        <v>94</v>
      </c>
      <c r="B1837" s="2" t="s">
        <v>39</v>
      </c>
      <c r="C1837" s="2" t="s">
        <v>38</v>
      </c>
      <c r="D1837" s="2">
        <v>127</v>
      </c>
    </row>
    <row r="1838" spans="1:4">
      <c r="A1838" s="2" t="s">
        <v>1940</v>
      </c>
      <c r="B1838" s="2" t="s">
        <v>39</v>
      </c>
      <c r="C1838" s="2" t="s">
        <v>38</v>
      </c>
      <c r="D1838" s="2">
        <v>127</v>
      </c>
    </row>
    <row r="1839" spans="1:4">
      <c r="A1839" s="2" t="s">
        <v>3825</v>
      </c>
      <c r="B1839" s="2" t="s">
        <v>39</v>
      </c>
      <c r="C1839" s="2" t="s">
        <v>38</v>
      </c>
      <c r="D1839" s="2">
        <v>126</v>
      </c>
    </row>
    <row r="1840" spans="1:4">
      <c r="A1840" s="2" t="s">
        <v>3856</v>
      </c>
      <c r="B1840" s="2" t="s">
        <v>39</v>
      </c>
      <c r="C1840" s="2" t="s">
        <v>38</v>
      </c>
      <c r="D1840" s="2">
        <v>126</v>
      </c>
    </row>
    <row r="1841" spans="1:4">
      <c r="A1841" s="2" t="s">
        <v>1605</v>
      </c>
      <c r="B1841" s="2" t="s">
        <v>39</v>
      </c>
      <c r="C1841" s="2" t="s">
        <v>38</v>
      </c>
      <c r="D1841" s="2">
        <v>125</v>
      </c>
    </row>
    <row r="1842" spans="1:4">
      <c r="A1842" s="2" t="s">
        <v>3870</v>
      </c>
      <c r="B1842" s="2" t="s">
        <v>39</v>
      </c>
      <c r="C1842" s="2" t="s">
        <v>38</v>
      </c>
      <c r="D1842" s="2">
        <v>123</v>
      </c>
    </row>
    <row r="1843" spans="1:4">
      <c r="A1843" s="2" t="s">
        <v>986</v>
      </c>
      <c r="B1843" s="2" t="s">
        <v>39</v>
      </c>
      <c r="C1843" s="2" t="s">
        <v>38</v>
      </c>
      <c r="D1843" s="2">
        <v>122</v>
      </c>
    </row>
    <row r="1844" spans="1:4">
      <c r="A1844" s="2" t="s">
        <v>3860</v>
      </c>
      <c r="B1844" s="2" t="s">
        <v>39</v>
      </c>
      <c r="C1844" s="2" t="s">
        <v>38</v>
      </c>
      <c r="D1844" s="2">
        <v>120</v>
      </c>
    </row>
    <row r="1845" spans="1:4">
      <c r="A1845" s="2" t="s">
        <v>3444</v>
      </c>
      <c r="B1845" s="2" t="s">
        <v>39</v>
      </c>
      <c r="C1845" s="2" t="s">
        <v>38</v>
      </c>
      <c r="D1845" s="2">
        <v>118</v>
      </c>
    </row>
    <row r="1846" spans="1:4">
      <c r="A1846" s="2" t="s">
        <v>88</v>
      </c>
      <c r="B1846" s="2" t="s">
        <v>39</v>
      </c>
      <c r="C1846" s="2" t="s">
        <v>38</v>
      </c>
      <c r="D1846" s="2">
        <v>117</v>
      </c>
    </row>
    <row r="1847" spans="1:4">
      <c r="A1847" s="2" t="s">
        <v>3888</v>
      </c>
      <c r="B1847" s="2" t="s">
        <v>39</v>
      </c>
      <c r="C1847" s="2" t="s">
        <v>38</v>
      </c>
      <c r="D1847" s="2">
        <v>116</v>
      </c>
    </row>
    <row r="1848" spans="1:4">
      <c r="A1848" s="2" t="s">
        <v>197</v>
      </c>
      <c r="B1848" s="2" t="s">
        <v>39</v>
      </c>
      <c r="C1848" s="2" t="s">
        <v>38</v>
      </c>
      <c r="D1848" s="2">
        <v>115</v>
      </c>
    </row>
    <row r="1849" spans="1:4">
      <c r="A1849" s="2" t="s">
        <v>1071</v>
      </c>
      <c r="B1849" s="2" t="s">
        <v>39</v>
      </c>
      <c r="C1849" s="2" t="s">
        <v>38</v>
      </c>
      <c r="D1849" s="2">
        <v>115</v>
      </c>
    </row>
    <row r="1850" spans="1:4">
      <c r="A1850" s="2" t="s">
        <v>3848</v>
      </c>
      <c r="B1850" s="2" t="s">
        <v>39</v>
      </c>
      <c r="C1850" s="2" t="s">
        <v>38</v>
      </c>
      <c r="D1850" s="2">
        <v>115</v>
      </c>
    </row>
    <row r="1851" spans="1:4">
      <c r="A1851" s="2" t="s">
        <v>3890</v>
      </c>
      <c r="B1851" s="2" t="s">
        <v>39</v>
      </c>
      <c r="C1851" s="2" t="s">
        <v>38</v>
      </c>
      <c r="D1851" s="2">
        <v>115</v>
      </c>
    </row>
    <row r="1852" spans="1:4">
      <c r="A1852" s="2" t="s">
        <v>2481</v>
      </c>
      <c r="B1852" s="2" t="s">
        <v>39</v>
      </c>
      <c r="C1852" s="2" t="s">
        <v>38</v>
      </c>
      <c r="D1852" s="2">
        <v>114</v>
      </c>
    </row>
    <row r="1853" spans="1:4">
      <c r="A1853" s="2" t="s">
        <v>3799</v>
      </c>
      <c r="B1853" s="2" t="s">
        <v>39</v>
      </c>
      <c r="C1853" s="2" t="s">
        <v>38</v>
      </c>
      <c r="D1853" s="2">
        <v>114</v>
      </c>
    </row>
    <row r="1854" spans="1:4">
      <c r="A1854" s="2" t="s">
        <v>980</v>
      </c>
      <c r="B1854" s="2" t="s">
        <v>39</v>
      </c>
      <c r="C1854" s="2" t="s">
        <v>38</v>
      </c>
      <c r="D1854" s="2">
        <v>113</v>
      </c>
    </row>
    <row r="1855" spans="1:4">
      <c r="A1855" s="2" t="s">
        <v>3854</v>
      </c>
      <c r="B1855" s="2" t="s">
        <v>39</v>
      </c>
      <c r="C1855" s="2" t="s">
        <v>38</v>
      </c>
      <c r="D1855" s="2">
        <v>112</v>
      </c>
    </row>
    <row r="1856" spans="1:4">
      <c r="A1856" s="2" t="s">
        <v>1948</v>
      </c>
      <c r="B1856" s="2" t="s">
        <v>39</v>
      </c>
      <c r="C1856" s="2" t="s">
        <v>38</v>
      </c>
      <c r="D1856" s="2">
        <v>111</v>
      </c>
    </row>
    <row r="1857" spans="1:4">
      <c r="A1857" s="2" t="s">
        <v>1086</v>
      </c>
      <c r="B1857" s="2" t="s">
        <v>39</v>
      </c>
      <c r="C1857" s="2" t="s">
        <v>38</v>
      </c>
      <c r="D1857" s="2">
        <v>110</v>
      </c>
    </row>
    <row r="1858" spans="1:4">
      <c r="A1858" s="2" t="s">
        <v>1617</v>
      </c>
      <c r="B1858" s="2" t="s">
        <v>39</v>
      </c>
      <c r="C1858" s="2" t="s">
        <v>38</v>
      </c>
      <c r="D1858" s="2">
        <v>110</v>
      </c>
    </row>
    <row r="1859" spans="1:4">
      <c r="A1859" s="2" t="s">
        <v>951</v>
      </c>
      <c r="B1859" s="2" t="s">
        <v>39</v>
      </c>
      <c r="C1859" s="2" t="s">
        <v>38</v>
      </c>
      <c r="D1859" s="2">
        <v>109</v>
      </c>
    </row>
    <row r="1860" spans="1:4">
      <c r="A1860" s="2" t="s">
        <v>4258</v>
      </c>
      <c r="B1860" s="2" t="s">
        <v>39</v>
      </c>
      <c r="C1860" s="2" t="s">
        <v>38</v>
      </c>
      <c r="D1860" s="2">
        <v>109</v>
      </c>
    </row>
    <row r="1861" spans="1:4">
      <c r="A1861" s="2" t="s">
        <v>3842</v>
      </c>
      <c r="B1861" s="2" t="s">
        <v>39</v>
      </c>
      <c r="C1861" s="2" t="s">
        <v>38</v>
      </c>
      <c r="D1861" s="2">
        <v>108</v>
      </c>
    </row>
    <row r="1862" spans="1:4">
      <c r="A1862" s="2" t="s">
        <v>3818</v>
      </c>
      <c r="B1862" s="2" t="s">
        <v>39</v>
      </c>
      <c r="C1862" s="2" t="s">
        <v>38</v>
      </c>
      <c r="D1862" s="2">
        <v>108</v>
      </c>
    </row>
    <row r="1863" spans="1:4">
      <c r="A1863" s="2" t="s">
        <v>1017</v>
      </c>
      <c r="B1863" s="2" t="s">
        <v>39</v>
      </c>
      <c r="C1863" s="2" t="s">
        <v>38</v>
      </c>
      <c r="D1863" s="2">
        <v>106</v>
      </c>
    </row>
    <row r="1864" spans="1:4">
      <c r="A1864" s="2" t="s">
        <v>3465</v>
      </c>
      <c r="B1864" s="2" t="s">
        <v>39</v>
      </c>
      <c r="C1864" s="2" t="s">
        <v>38</v>
      </c>
      <c r="D1864" s="2">
        <v>106</v>
      </c>
    </row>
    <row r="1865" spans="1:4">
      <c r="A1865" s="2" t="s">
        <v>3840</v>
      </c>
      <c r="B1865" s="2" t="s">
        <v>39</v>
      </c>
      <c r="C1865" s="2" t="s">
        <v>38</v>
      </c>
      <c r="D1865" s="2">
        <v>105</v>
      </c>
    </row>
    <row r="1866" spans="1:4">
      <c r="A1866" s="2" t="s">
        <v>3801</v>
      </c>
      <c r="B1866" s="2" t="s">
        <v>39</v>
      </c>
      <c r="C1866" s="2" t="s">
        <v>38</v>
      </c>
      <c r="D1866" s="2">
        <v>105</v>
      </c>
    </row>
    <row r="1867" spans="1:4">
      <c r="A1867" s="2" t="s">
        <v>4519</v>
      </c>
      <c r="B1867" s="2" t="s">
        <v>39</v>
      </c>
      <c r="C1867" s="2" t="s">
        <v>38</v>
      </c>
      <c r="D1867" s="2">
        <v>105</v>
      </c>
    </row>
    <row r="1868" spans="1:4">
      <c r="A1868" s="2" t="s">
        <v>1013</v>
      </c>
      <c r="B1868" s="2" t="s">
        <v>39</v>
      </c>
      <c r="C1868" s="2" t="s">
        <v>38</v>
      </c>
      <c r="D1868" s="2">
        <v>104</v>
      </c>
    </row>
    <row r="1869" spans="1:4">
      <c r="A1869" s="2" t="s">
        <v>1858</v>
      </c>
      <c r="B1869" s="2" t="s">
        <v>39</v>
      </c>
      <c r="C1869" s="2" t="s">
        <v>38</v>
      </c>
      <c r="D1869" s="2">
        <v>101</v>
      </c>
    </row>
    <row r="1870" spans="1:4">
      <c r="A1870" s="2" t="s">
        <v>3009</v>
      </c>
      <c r="B1870" s="2" t="s">
        <v>39</v>
      </c>
      <c r="C1870" s="2" t="s">
        <v>38</v>
      </c>
      <c r="D1870" s="2">
        <v>101</v>
      </c>
    </row>
    <row r="1871" spans="1:4">
      <c r="A1871" s="2" t="s">
        <v>1898</v>
      </c>
      <c r="B1871" s="2" t="s">
        <v>39</v>
      </c>
      <c r="C1871" s="2" t="s">
        <v>38</v>
      </c>
      <c r="D1871" s="2">
        <v>100</v>
      </c>
    </row>
    <row r="1872" spans="1:4">
      <c r="A1872" s="2" t="s">
        <v>4560</v>
      </c>
      <c r="B1872" s="2" t="s">
        <v>39</v>
      </c>
      <c r="C1872" s="2" t="s">
        <v>38</v>
      </c>
      <c r="D1872" s="2">
        <v>100</v>
      </c>
    </row>
    <row r="1873" spans="1:4">
      <c r="A1873" s="2" t="s">
        <v>4556</v>
      </c>
      <c r="B1873" s="2" t="s">
        <v>39</v>
      </c>
      <c r="C1873" s="2" t="s">
        <v>38</v>
      </c>
      <c r="D1873" s="2">
        <v>98</v>
      </c>
    </row>
    <row r="1874" spans="1:4">
      <c r="A1874" s="2" t="s">
        <v>1102</v>
      </c>
      <c r="B1874" s="2" t="s">
        <v>39</v>
      </c>
      <c r="C1874" s="2" t="s">
        <v>38</v>
      </c>
      <c r="D1874" s="2">
        <v>97</v>
      </c>
    </row>
    <row r="1875" spans="1:4">
      <c r="A1875" s="2" t="s">
        <v>4568</v>
      </c>
      <c r="B1875" s="2" t="s">
        <v>39</v>
      </c>
      <c r="C1875" s="2" t="s">
        <v>38</v>
      </c>
      <c r="D1875" s="2">
        <v>97</v>
      </c>
    </row>
    <row r="1876" spans="1:4">
      <c r="A1876" s="2" t="s">
        <v>3858</v>
      </c>
      <c r="B1876" s="2" t="s">
        <v>39</v>
      </c>
      <c r="C1876" s="2" t="s">
        <v>38</v>
      </c>
      <c r="D1876" s="2">
        <v>96</v>
      </c>
    </row>
    <row r="1877" spans="1:4">
      <c r="A1877" s="2" t="s">
        <v>2500</v>
      </c>
      <c r="B1877" s="2" t="s">
        <v>39</v>
      </c>
      <c r="C1877" s="2" t="s">
        <v>38</v>
      </c>
      <c r="D1877" s="2">
        <v>96</v>
      </c>
    </row>
    <row r="1878" spans="1:4">
      <c r="A1878" s="2" t="s">
        <v>4513</v>
      </c>
      <c r="B1878" s="2" t="s">
        <v>39</v>
      </c>
      <c r="C1878" s="2" t="s">
        <v>38</v>
      </c>
      <c r="D1878" s="2">
        <v>95</v>
      </c>
    </row>
    <row r="1879" spans="1:4">
      <c r="A1879" s="2" t="s">
        <v>1110</v>
      </c>
      <c r="B1879" s="2" t="s">
        <v>39</v>
      </c>
      <c r="C1879" s="2" t="s">
        <v>38</v>
      </c>
      <c r="D1879" s="2">
        <v>95</v>
      </c>
    </row>
    <row r="1880" spans="1:4">
      <c r="A1880" s="2" t="s">
        <v>233</v>
      </c>
      <c r="B1880" s="2" t="s">
        <v>39</v>
      </c>
      <c r="C1880" s="2" t="s">
        <v>38</v>
      </c>
      <c r="D1880" s="2">
        <v>94</v>
      </c>
    </row>
    <row r="1881" spans="1:4">
      <c r="A1881" s="2" t="s">
        <v>3828</v>
      </c>
      <c r="B1881" s="2" t="s">
        <v>39</v>
      </c>
      <c r="C1881" s="2" t="s">
        <v>38</v>
      </c>
      <c r="D1881" s="2">
        <v>93</v>
      </c>
    </row>
    <row r="1882" spans="1:4">
      <c r="A1882" s="2" t="s">
        <v>3807</v>
      </c>
      <c r="B1882" s="2" t="s">
        <v>39</v>
      </c>
      <c r="C1882" s="2" t="s">
        <v>38</v>
      </c>
      <c r="D1882" s="2">
        <v>92</v>
      </c>
    </row>
    <row r="1883" spans="1:4">
      <c r="A1883" s="2" t="s">
        <v>4550</v>
      </c>
      <c r="B1883" s="2" t="s">
        <v>39</v>
      </c>
      <c r="C1883" s="2" t="s">
        <v>38</v>
      </c>
      <c r="D1883" s="2">
        <v>92</v>
      </c>
    </row>
    <row r="1884" spans="1:4">
      <c r="A1884" s="2" t="s">
        <v>1613</v>
      </c>
      <c r="B1884" s="2" t="s">
        <v>39</v>
      </c>
      <c r="C1884" s="2" t="s">
        <v>38</v>
      </c>
      <c r="D1884" s="2">
        <v>92</v>
      </c>
    </row>
    <row r="1885" spans="1:4">
      <c r="A1885" s="2" t="s">
        <v>3426</v>
      </c>
      <c r="B1885" s="2" t="s">
        <v>39</v>
      </c>
      <c r="C1885" s="2" t="s">
        <v>38</v>
      </c>
      <c r="D1885" s="2">
        <v>92</v>
      </c>
    </row>
    <row r="1886" spans="1:4">
      <c r="A1886" s="2" t="s">
        <v>1051</v>
      </c>
      <c r="B1886" s="2" t="s">
        <v>39</v>
      </c>
      <c r="C1886" s="2" t="s">
        <v>38</v>
      </c>
      <c r="D1886" s="2">
        <v>89</v>
      </c>
    </row>
    <row r="1887" spans="1:4">
      <c r="A1887" s="2" t="s">
        <v>1010</v>
      </c>
      <c r="B1887" s="2" t="s">
        <v>39</v>
      </c>
      <c r="C1887" s="2" t="s">
        <v>38</v>
      </c>
      <c r="D1887" s="2">
        <v>87</v>
      </c>
    </row>
    <row r="1888" spans="1:4">
      <c r="A1888" s="2" t="s">
        <v>3846</v>
      </c>
      <c r="B1888" s="2" t="s">
        <v>39</v>
      </c>
      <c r="C1888" s="2" t="s">
        <v>38</v>
      </c>
      <c r="D1888" s="2">
        <v>87</v>
      </c>
    </row>
    <row r="1889" spans="1:4">
      <c r="A1889" s="2" t="s">
        <v>244</v>
      </c>
      <c r="B1889" s="2" t="s">
        <v>39</v>
      </c>
      <c r="C1889" s="2" t="s">
        <v>38</v>
      </c>
      <c r="D1889" s="2">
        <v>85</v>
      </c>
    </row>
    <row r="1890" spans="1:4">
      <c r="A1890" s="2" t="s">
        <v>1843</v>
      </c>
      <c r="B1890" s="2" t="s">
        <v>39</v>
      </c>
      <c r="C1890" s="2" t="s">
        <v>38</v>
      </c>
      <c r="D1890" s="2">
        <v>85</v>
      </c>
    </row>
    <row r="1891" spans="1:4">
      <c r="A1891" s="2" t="s">
        <v>4241</v>
      </c>
      <c r="B1891" s="2" t="s">
        <v>39</v>
      </c>
      <c r="C1891" s="2" t="s">
        <v>38</v>
      </c>
      <c r="D1891" s="2">
        <v>84</v>
      </c>
    </row>
    <row r="1892" spans="1:4">
      <c r="A1892" s="2" t="s">
        <v>1031</v>
      </c>
      <c r="B1892" s="2" t="s">
        <v>39</v>
      </c>
      <c r="C1892" s="2" t="s">
        <v>38</v>
      </c>
      <c r="D1892" s="2">
        <v>83</v>
      </c>
    </row>
    <row r="1893" spans="1:4">
      <c r="A1893" s="2" t="s">
        <v>4552</v>
      </c>
      <c r="B1893" s="2" t="s">
        <v>39</v>
      </c>
      <c r="C1893" s="2" t="s">
        <v>38</v>
      </c>
      <c r="D1893" s="2">
        <v>83</v>
      </c>
    </row>
    <row r="1894" spans="1:4">
      <c r="A1894" s="2" t="s">
        <v>4268</v>
      </c>
      <c r="B1894" s="2" t="s">
        <v>39</v>
      </c>
      <c r="C1894" s="2" t="s">
        <v>38</v>
      </c>
      <c r="D1894" s="2">
        <v>83</v>
      </c>
    </row>
    <row r="1895" spans="1:4">
      <c r="A1895" s="2" t="s">
        <v>1047</v>
      </c>
      <c r="B1895" s="2" t="s">
        <v>39</v>
      </c>
      <c r="C1895" s="2" t="s">
        <v>38</v>
      </c>
      <c r="D1895" s="2">
        <v>82</v>
      </c>
    </row>
    <row r="1896" spans="1:4">
      <c r="A1896" s="2" t="s">
        <v>954</v>
      </c>
      <c r="B1896" s="2" t="s">
        <v>39</v>
      </c>
      <c r="C1896" s="2" t="s">
        <v>38</v>
      </c>
      <c r="D1896" s="2">
        <v>81</v>
      </c>
    </row>
    <row r="1897" spans="1:4">
      <c r="A1897" s="2" t="s">
        <v>1082</v>
      </c>
      <c r="B1897" s="2" t="s">
        <v>39</v>
      </c>
      <c r="C1897" s="2" t="s">
        <v>38</v>
      </c>
      <c r="D1897" s="2">
        <v>81</v>
      </c>
    </row>
    <row r="1898" spans="1:4">
      <c r="A1898" s="2" t="s">
        <v>1033</v>
      </c>
      <c r="B1898" s="2" t="s">
        <v>39</v>
      </c>
      <c r="C1898" s="2" t="s">
        <v>38</v>
      </c>
      <c r="D1898" s="2">
        <v>81</v>
      </c>
    </row>
    <row r="1899" spans="1:4">
      <c r="A1899" s="2" t="s">
        <v>1869</v>
      </c>
      <c r="B1899" s="2" t="s">
        <v>39</v>
      </c>
      <c r="C1899" s="2" t="s">
        <v>38</v>
      </c>
      <c r="D1899" s="2">
        <v>79</v>
      </c>
    </row>
    <row r="1900" spans="1:4">
      <c r="A1900" s="2" t="s">
        <v>4262</v>
      </c>
      <c r="B1900" s="2" t="s">
        <v>39</v>
      </c>
      <c r="C1900" s="2" t="s">
        <v>38</v>
      </c>
      <c r="D1900" s="2">
        <v>78</v>
      </c>
    </row>
    <row r="1901" spans="1:4">
      <c r="A1901" s="2" t="s">
        <v>3804</v>
      </c>
      <c r="B1901" s="2" t="s">
        <v>39</v>
      </c>
      <c r="C1901" s="2" t="s">
        <v>38</v>
      </c>
      <c r="D1901" s="2">
        <v>78</v>
      </c>
    </row>
    <row r="1902" spans="1:4">
      <c r="A1902" s="2" t="s">
        <v>3837</v>
      </c>
      <c r="B1902" s="2" t="s">
        <v>39</v>
      </c>
      <c r="C1902" s="2" t="s">
        <v>38</v>
      </c>
      <c r="D1902" s="2">
        <v>75</v>
      </c>
    </row>
    <row r="1903" spans="1:4">
      <c r="A1903" s="2" t="s">
        <v>4532</v>
      </c>
      <c r="B1903" s="2" t="s">
        <v>39</v>
      </c>
      <c r="C1903" s="2" t="s">
        <v>38</v>
      </c>
      <c r="D1903" s="2">
        <v>74</v>
      </c>
    </row>
    <row r="1904" spans="1:4">
      <c r="A1904" s="2" t="s">
        <v>242</v>
      </c>
      <c r="B1904" s="2" t="s">
        <v>39</v>
      </c>
      <c r="C1904" s="2" t="s">
        <v>38</v>
      </c>
      <c r="D1904" s="2">
        <v>74</v>
      </c>
    </row>
    <row r="1905" spans="1:4">
      <c r="A1905" s="2" t="s">
        <v>1942</v>
      </c>
      <c r="B1905" s="2" t="s">
        <v>39</v>
      </c>
      <c r="C1905" s="2" t="s">
        <v>38</v>
      </c>
      <c r="D1905" s="2">
        <v>74</v>
      </c>
    </row>
    <row r="1906" spans="1:4">
      <c r="A1906" s="2" t="s">
        <v>4511</v>
      </c>
      <c r="B1906" s="2" t="s">
        <v>39</v>
      </c>
      <c r="C1906" s="2" t="s">
        <v>38</v>
      </c>
      <c r="D1906" s="2">
        <v>73</v>
      </c>
    </row>
    <row r="1907" spans="1:4">
      <c r="A1907" s="2" t="s">
        <v>988</v>
      </c>
      <c r="B1907" s="2" t="s">
        <v>39</v>
      </c>
      <c r="C1907" s="2" t="s">
        <v>38</v>
      </c>
      <c r="D1907" s="2">
        <v>70</v>
      </c>
    </row>
    <row r="1908" spans="1:4">
      <c r="A1908" s="2" t="s">
        <v>4250</v>
      </c>
      <c r="B1908" s="2" t="s">
        <v>39</v>
      </c>
      <c r="C1908" s="2" t="s">
        <v>38</v>
      </c>
      <c r="D1908" s="2">
        <v>69</v>
      </c>
    </row>
    <row r="1909" spans="1:4">
      <c r="A1909" s="2" t="s">
        <v>4239</v>
      </c>
      <c r="B1909" s="2" t="s">
        <v>39</v>
      </c>
      <c r="C1909" s="2" t="s">
        <v>38</v>
      </c>
      <c r="D1909" s="2">
        <v>66</v>
      </c>
    </row>
    <row r="1910" spans="1:4">
      <c r="A1910" s="2" t="s">
        <v>3797</v>
      </c>
      <c r="B1910" s="2" t="s">
        <v>39</v>
      </c>
      <c r="C1910" s="2" t="s">
        <v>38</v>
      </c>
      <c r="D1910" s="2">
        <v>65</v>
      </c>
    </row>
    <row r="1911" spans="1:4">
      <c r="A1911" s="2" t="s">
        <v>2976</v>
      </c>
      <c r="B1911" s="2" t="s">
        <v>39</v>
      </c>
      <c r="C1911" s="2" t="s">
        <v>38</v>
      </c>
      <c r="D1911" s="2">
        <v>64</v>
      </c>
    </row>
    <row r="1912" spans="1:4">
      <c r="A1912" s="2" t="s">
        <v>4558</v>
      </c>
      <c r="B1912" s="2" t="s">
        <v>39</v>
      </c>
      <c r="C1912" s="2" t="s">
        <v>38</v>
      </c>
      <c r="D1912" s="2">
        <v>64</v>
      </c>
    </row>
    <row r="1913" spans="1:4">
      <c r="A1913" s="2" t="s">
        <v>4232</v>
      </c>
      <c r="B1913" s="2" t="s">
        <v>39</v>
      </c>
      <c r="C1913" s="2" t="s">
        <v>38</v>
      </c>
      <c r="D1913" s="2">
        <v>63</v>
      </c>
    </row>
    <row r="1914" spans="1:4">
      <c r="A1914" s="2" t="s">
        <v>3446</v>
      </c>
      <c r="B1914" s="2" t="s">
        <v>39</v>
      </c>
      <c r="C1914" s="2" t="s">
        <v>38</v>
      </c>
      <c r="D1914" s="2">
        <v>63</v>
      </c>
    </row>
    <row r="1915" spans="1:4">
      <c r="A1915" s="2" t="s">
        <v>1098</v>
      </c>
      <c r="B1915" s="2" t="s">
        <v>39</v>
      </c>
      <c r="C1915" s="2" t="s">
        <v>38</v>
      </c>
      <c r="D1915" s="2">
        <v>61</v>
      </c>
    </row>
    <row r="1916" spans="1:4">
      <c r="A1916" s="2" t="s">
        <v>3011</v>
      </c>
      <c r="B1916" s="2" t="s">
        <v>39</v>
      </c>
      <c r="C1916" s="2" t="s">
        <v>38</v>
      </c>
      <c r="D1916" s="2">
        <v>59</v>
      </c>
    </row>
    <row r="1917" spans="1:4">
      <c r="A1917" s="2" t="s">
        <v>1076</v>
      </c>
      <c r="B1917" s="2" t="s">
        <v>39</v>
      </c>
      <c r="C1917" s="2" t="s">
        <v>38</v>
      </c>
      <c r="D1917" s="2">
        <v>56</v>
      </c>
    </row>
    <row r="1918" spans="1:4">
      <c r="A1918" s="2" t="s">
        <v>3423</v>
      </c>
      <c r="B1918" s="2" t="s">
        <v>39</v>
      </c>
      <c r="C1918" s="2" t="s">
        <v>38</v>
      </c>
      <c r="D1918" s="2">
        <v>55</v>
      </c>
    </row>
    <row r="1919" spans="1:4">
      <c r="A1919" s="2" t="s">
        <v>4542</v>
      </c>
      <c r="B1919" s="2" t="s">
        <v>39</v>
      </c>
      <c r="C1919" s="2" t="s">
        <v>38</v>
      </c>
      <c r="D1919" s="2">
        <v>55</v>
      </c>
    </row>
    <row r="1920" spans="1:4">
      <c r="A1920" s="2" t="s">
        <v>992</v>
      </c>
      <c r="B1920" s="2" t="s">
        <v>39</v>
      </c>
      <c r="C1920" s="2" t="s">
        <v>38</v>
      </c>
      <c r="D1920" s="2">
        <v>55</v>
      </c>
    </row>
    <row r="1921" spans="1:4">
      <c r="A1921" s="2" t="s">
        <v>2466</v>
      </c>
      <c r="B1921" s="2" t="s">
        <v>39</v>
      </c>
      <c r="C1921" s="2" t="s">
        <v>38</v>
      </c>
      <c r="D1921" s="2">
        <v>54</v>
      </c>
    </row>
    <row r="1922" spans="1:4">
      <c r="A1922" s="2" t="s">
        <v>3862</v>
      </c>
      <c r="B1922" s="2" t="s">
        <v>39</v>
      </c>
      <c r="C1922" s="2" t="s">
        <v>38</v>
      </c>
      <c r="D1922" s="2">
        <v>49</v>
      </c>
    </row>
    <row r="1923" spans="1:4">
      <c r="A1923" s="2" t="s">
        <v>2486</v>
      </c>
      <c r="B1923" s="2" t="s">
        <v>39</v>
      </c>
      <c r="C1923" s="2" t="s">
        <v>38</v>
      </c>
      <c r="D1923" s="2">
        <v>49</v>
      </c>
    </row>
    <row r="1924" spans="1:4">
      <c r="A1924" s="2" t="s">
        <v>1057</v>
      </c>
      <c r="B1924" s="2" t="s">
        <v>39</v>
      </c>
      <c r="C1924" s="2" t="s">
        <v>38</v>
      </c>
      <c r="D1924" s="2">
        <v>48</v>
      </c>
    </row>
    <row r="1925" spans="1:4">
      <c r="A1925" s="2" t="s">
        <v>4498</v>
      </c>
      <c r="B1925" s="2" t="s">
        <v>39</v>
      </c>
      <c r="C1925" s="2" t="s">
        <v>38</v>
      </c>
      <c r="D1925" s="2">
        <v>47</v>
      </c>
    </row>
    <row r="1926" spans="1:4">
      <c r="A1926" s="2" t="s">
        <v>4572</v>
      </c>
      <c r="B1926" s="2" t="s">
        <v>39</v>
      </c>
      <c r="C1926" s="2" t="s">
        <v>38</v>
      </c>
      <c r="D1926" s="2">
        <v>47</v>
      </c>
    </row>
    <row r="1927" spans="1:4">
      <c r="A1927" s="2" t="s">
        <v>1023</v>
      </c>
      <c r="B1927" s="2" t="s">
        <v>39</v>
      </c>
      <c r="C1927" s="2" t="s">
        <v>38</v>
      </c>
      <c r="D1927" s="2">
        <v>46</v>
      </c>
    </row>
    <row r="1928" spans="1:4">
      <c r="A1928" s="2" t="s">
        <v>1602</v>
      </c>
      <c r="B1928" s="2" t="s">
        <v>39</v>
      </c>
      <c r="C1928" s="2" t="s">
        <v>38</v>
      </c>
      <c r="D1928" s="2">
        <v>44</v>
      </c>
    </row>
    <row r="1929" spans="1:4">
      <c r="A1929" s="2" t="s">
        <v>1955</v>
      </c>
      <c r="B1929" s="2" t="s">
        <v>39</v>
      </c>
      <c r="C1929" s="2" t="s">
        <v>38</v>
      </c>
      <c r="D1929" s="2">
        <v>44</v>
      </c>
    </row>
    <row r="1930" spans="1:4">
      <c r="A1930" s="2" t="s">
        <v>67</v>
      </c>
      <c r="B1930" s="2" t="s">
        <v>39</v>
      </c>
      <c r="C1930" s="2" t="s">
        <v>38</v>
      </c>
      <c r="D1930" s="2">
        <v>41</v>
      </c>
    </row>
    <row r="1931" spans="1:4">
      <c r="A1931" s="2" t="s">
        <v>1840</v>
      </c>
      <c r="B1931" s="2" t="s">
        <v>39</v>
      </c>
      <c r="C1931" s="2" t="s">
        <v>38</v>
      </c>
      <c r="D1931" s="2">
        <v>41</v>
      </c>
    </row>
    <row r="1932" spans="1:4">
      <c r="A1932" s="2" t="s">
        <v>1061</v>
      </c>
      <c r="B1932" s="2" t="s">
        <v>39</v>
      </c>
      <c r="C1932" s="2" t="s">
        <v>38</v>
      </c>
      <c r="D1932" s="2">
        <v>39</v>
      </c>
    </row>
    <row r="1933" spans="1:4">
      <c r="A1933" s="2" t="s">
        <v>1041</v>
      </c>
      <c r="B1933" s="2" t="s">
        <v>39</v>
      </c>
      <c r="C1933" s="2" t="s">
        <v>38</v>
      </c>
      <c r="D1933" s="2">
        <v>38</v>
      </c>
    </row>
    <row r="1934" spans="1:4">
      <c r="A1934" s="2" t="s">
        <v>4226</v>
      </c>
      <c r="B1934" s="2" t="s">
        <v>39</v>
      </c>
      <c r="C1934" s="2" t="s">
        <v>38</v>
      </c>
      <c r="D1934" s="2">
        <v>37</v>
      </c>
    </row>
    <row r="1935" spans="1:4">
      <c r="A1935" s="2" t="s">
        <v>958</v>
      </c>
      <c r="B1935" s="2" t="s">
        <v>39</v>
      </c>
      <c r="C1935" s="2" t="s">
        <v>38</v>
      </c>
      <c r="D1935" s="2">
        <v>37</v>
      </c>
    </row>
    <row r="1936" spans="1:4">
      <c r="A1936" s="2" t="s">
        <v>4527</v>
      </c>
      <c r="B1936" s="2" t="s">
        <v>39</v>
      </c>
      <c r="C1936" s="2" t="s">
        <v>38</v>
      </c>
      <c r="D1936" s="2">
        <v>35</v>
      </c>
    </row>
    <row r="1937" spans="1:4">
      <c r="A1937" s="2" t="s">
        <v>4244</v>
      </c>
      <c r="B1937" s="2" t="s">
        <v>39</v>
      </c>
      <c r="C1937" s="2" t="s">
        <v>38</v>
      </c>
      <c r="D1937" s="2">
        <v>30</v>
      </c>
    </row>
    <row r="1938" spans="1:4">
      <c r="A1938" s="2" t="s">
        <v>4576</v>
      </c>
      <c r="B1938" s="2" t="s">
        <v>39</v>
      </c>
      <c r="C1938" s="2" t="s">
        <v>38</v>
      </c>
      <c r="D1938" s="2">
        <v>30</v>
      </c>
    </row>
    <row r="1939" spans="1:4">
      <c r="A1939" s="2" t="s">
        <v>4517</v>
      </c>
      <c r="B1939" s="2" t="s">
        <v>39</v>
      </c>
      <c r="C1939" s="2" t="s">
        <v>38</v>
      </c>
      <c r="D1939" s="2">
        <v>25</v>
      </c>
    </row>
    <row r="1940" spans="1:4">
      <c r="A1940" s="2" t="s">
        <v>3459</v>
      </c>
      <c r="B1940" s="2" t="s">
        <v>39</v>
      </c>
      <c r="C1940" s="2" t="s">
        <v>38</v>
      </c>
      <c r="D1940" s="2">
        <v>25</v>
      </c>
    </row>
    <row r="1941" spans="1:4">
      <c r="A1941" s="2" t="s">
        <v>4223</v>
      </c>
      <c r="B1941" s="2" t="s">
        <v>39</v>
      </c>
      <c r="C1941" s="2" t="s">
        <v>38</v>
      </c>
      <c r="D1941" s="2">
        <v>22</v>
      </c>
    </row>
    <row r="1942" spans="1:4">
      <c r="A1942" s="2" t="s">
        <v>4256</v>
      </c>
      <c r="B1942" s="2" t="s">
        <v>39</v>
      </c>
      <c r="C1942" s="2" t="s">
        <v>38</v>
      </c>
      <c r="D1942" s="2">
        <v>20</v>
      </c>
    </row>
    <row r="1943" spans="1:4">
      <c r="A1943" s="2" t="s">
        <v>3892</v>
      </c>
      <c r="B1943" s="2" t="s">
        <v>39</v>
      </c>
      <c r="C1943" s="2" t="s">
        <v>38</v>
      </c>
      <c r="D1943" s="2">
        <v>20</v>
      </c>
    </row>
    <row r="1944" spans="1:4">
      <c r="A1944" s="2" t="s">
        <v>1065</v>
      </c>
      <c r="B1944" s="2" t="s">
        <v>39</v>
      </c>
      <c r="C1944" s="2" t="s">
        <v>38</v>
      </c>
      <c r="D1944" s="2">
        <v>13</v>
      </c>
    </row>
    <row r="1945" spans="1:4">
      <c r="A1945" s="2" t="s">
        <v>990</v>
      </c>
      <c r="B1945" s="2" t="s">
        <v>39</v>
      </c>
      <c r="C1945" s="2" t="s">
        <v>38</v>
      </c>
      <c r="D1945" s="2">
        <v>10</v>
      </c>
    </row>
    <row r="1946" spans="1:4">
      <c r="A1946" s="2" t="s">
        <v>3834</v>
      </c>
      <c r="B1946" s="2" t="s">
        <v>39</v>
      </c>
      <c r="C1946" s="2" t="s">
        <v>38</v>
      </c>
      <c r="D1946" s="2">
        <v>9</v>
      </c>
    </row>
    <row r="1947" spans="1:4">
      <c r="A1947" s="2" t="s">
        <v>1916</v>
      </c>
      <c r="B1947" s="2" t="s">
        <v>39</v>
      </c>
      <c r="C1947" s="2" t="s">
        <v>38</v>
      </c>
      <c r="D1947" s="2">
        <v>9</v>
      </c>
    </row>
    <row r="1948" spans="1:4">
      <c r="A1948" s="2" t="s">
        <v>3448</v>
      </c>
      <c r="B1948" s="2" t="s">
        <v>39</v>
      </c>
      <c r="C1948" s="2" t="s">
        <v>38</v>
      </c>
      <c r="D1948" s="2">
        <v>7</v>
      </c>
    </row>
    <row r="1949" spans="1:4">
      <c r="A1949" s="2" t="s">
        <v>4564</v>
      </c>
      <c r="B1949" s="2" t="s">
        <v>39</v>
      </c>
      <c r="C1949" s="2" t="s">
        <v>38</v>
      </c>
      <c r="D1949" s="2">
        <v>3</v>
      </c>
    </row>
    <row r="1950" spans="1:4">
      <c r="A1950" s="2" t="s">
        <v>118</v>
      </c>
      <c r="B1950" s="2" t="s">
        <v>39</v>
      </c>
      <c r="C1950" s="2" t="s">
        <v>37</v>
      </c>
      <c r="D1950" s="2">
        <v>365</v>
      </c>
    </row>
    <row r="1951" spans="1:4">
      <c r="A1951" s="2" t="s">
        <v>153</v>
      </c>
      <c r="B1951" s="2" t="s">
        <v>39</v>
      </c>
      <c r="C1951" s="2" t="s">
        <v>37</v>
      </c>
      <c r="D1951" s="2">
        <v>357</v>
      </c>
    </row>
    <row r="1952" spans="1:4">
      <c r="A1952" s="2" t="s">
        <v>109</v>
      </c>
      <c r="B1952" s="2" t="s">
        <v>39</v>
      </c>
      <c r="C1952" s="2" t="s">
        <v>37</v>
      </c>
      <c r="D1952" s="2">
        <v>356</v>
      </c>
    </row>
    <row r="1953" spans="1:4">
      <c r="A1953" s="2" t="s">
        <v>91</v>
      </c>
      <c r="B1953" s="2" t="s">
        <v>39</v>
      </c>
      <c r="C1953" s="2" t="s">
        <v>37</v>
      </c>
      <c r="D1953" s="2">
        <v>353</v>
      </c>
    </row>
    <row r="1954" spans="1:4">
      <c r="A1954" s="2" t="s">
        <v>4515</v>
      </c>
      <c r="B1954" s="2" t="s">
        <v>39</v>
      </c>
      <c r="C1954" s="2" t="s">
        <v>37</v>
      </c>
      <c r="D1954" s="2">
        <v>344</v>
      </c>
    </row>
    <row r="1955" spans="1:4">
      <c r="A1955" s="2" t="s">
        <v>139</v>
      </c>
      <c r="B1955" s="2" t="s">
        <v>39</v>
      </c>
      <c r="C1955" s="2" t="s">
        <v>37</v>
      </c>
      <c r="D1955" s="2">
        <v>344</v>
      </c>
    </row>
    <row r="1956" spans="1:4">
      <c r="A1956" s="2" t="s">
        <v>185</v>
      </c>
      <c r="B1956" s="2" t="s">
        <v>39</v>
      </c>
      <c r="C1956" s="2" t="s">
        <v>37</v>
      </c>
      <c r="D1956" s="2">
        <v>340</v>
      </c>
    </row>
    <row r="1957" spans="1:4">
      <c r="A1957" s="2" t="s">
        <v>129</v>
      </c>
      <c r="B1957" s="2" t="s">
        <v>39</v>
      </c>
      <c r="C1957" s="2" t="s">
        <v>37</v>
      </c>
      <c r="D1957" s="2">
        <v>339</v>
      </c>
    </row>
    <row r="1958" spans="1:4">
      <c r="A1958" s="2" t="s">
        <v>100</v>
      </c>
      <c r="B1958" s="2" t="s">
        <v>39</v>
      </c>
      <c r="C1958" s="2" t="s">
        <v>37</v>
      </c>
      <c r="D1958" s="2">
        <v>335</v>
      </c>
    </row>
    <row r="1959" spans="1:4">
      <c r="A1959" s="2" t="s">
        <v>73</v>
      </c>
      <c r="B1959" s="2" t="s">
        <v>39</v>
      </c>
      <c r="C1959" s="2" t="s">
        <v>37</v>
      </c>
      <c r="D1959" s="2">
        <v>333</v>
      </c>
    </row>
    <row r="1960" spans="1:4">
      <c r="A1960" s="2" t="s">
        <v>82</v>
      </c>
      <c r="B1960" s="2" t="s">
        <v>39</v>
      </c>
      <c r="C1960" s="2" t="s">
        <v>37</v>
      </c>
      <c r="D1960" s="2">
        <v>327</v>
      </c>
    </row>
    <row r="1961" spans="1:4">
      <c r="A1961" s="2" t="s">
        <v>156</v>
      </c>
      <c r="B1961" s="2" t="s">
        <v>39</v>
      </c>
      <c r="C1961" s="2" t="s">
        <v>37</v>
      </c>
      <c r="D1961" s="2">
        <v>323</v>
      </c>
    </row>
    <row r="1962" spans="1:4">
      <c r="A1962" s="2" t="s">
        <v>1600</v>
      </c>
      <c r="B1962" s="2" t="s">
        <v>39</v>
      </c>
      <c r="C1962" s="2" t="s">
        <v>37</v>
      </c>
      <c r="D1962" s="2">
        <v>323</v>
      </c>
    </row>
    <row r="1963" spans="1:4">
      <c r="A1963" s="2" t="s">
        <v>1035</v>
      </c>
      <c r="B1963" s="2" t="s">
        <v>39</v>
      </c>
      <c r="C1963" s="2" t="s">
        <v>37</v>
      </c>
      <c r="D1963" s="2">
        <v>320</v>
      </c>
    </row>
    <row r="1964" spans="1:4">
      <c r="A1964" s="2" t="s">
        <v>199</v>
      </c>
      <c r="B1964" s="2" t="s">
        <v>39</v>
      </c>
      <c r="C1964" s="2" t="s">
        <v>37</v>
      </c>
      <c r="D1964" s="2">
        <v>319</v>
      </c>
    </row>
    <row r="1965" spans="1:4">
      <c r="A1965" s="2" t="s">
        <v>172</v>
      </c>
      <c r="B1965" s="2" t="s">
        <v>39</v>
      </c>
      <c r="C1965" s="2" t="s">
        <v>37</v>
      </c>
      <c r="D1965" s="2">
        <v>318</v>
      </c>
    </row>
    <row r="1966" spans="1:4">
      <c r="A1966" s="2" t="s">
        <v>971</v>
      </c>
      <c r="B1966" s="2" t="s">
        <v>39</v>
      </c>
      <c r="C1966" s="2" t="s">
        <v>37</v>
      </c>
      <c r="D1966" s="2">
        <v>318</v>
      </c>
    </row>
    <row r="1967" spans="1:4">
      <c r="A1967" s="2" t="s">
        <v>262</v>
      </c>
      <c r="B1967" s="2" t="s">
        <v>39</v>
      </c>
      <c r="C1967" s="2" t="s">
        <v>37</v>
      </c>
      <c r="D1967" s="2">
        <v>316</v>
      </c>
    </row>
    <row r="1968" spans="1:4">
      <c r="A1968" s="2" t="s">
        <v>250</v>
      </c>
      <c r="B1968" s="2" t="s">
        <v>39</v>
      </c>
      <c r="C1968" s="2" t="s">
        <v>37</v>
      </c>
      <c r="D1968" s="2">
        <v>312</v>
      </c>
    </row>
    <row r="1969" spans="1:4">
      <c r="A1969" s="2" t="s">
        <v>204</v>
      </c>
      <c r="B1969" s="2" t="s">
        <v>39</v>
      </c>
      <c r="C1969" s="2" t="s">
        <v>37</v>
      </c>
      <c r="D1969" s="2">
        <v>312</v>
      </c>
    </row>
    <row r="1970" spans="1:4">
      <c r="A1970" s="2" t="s">
        <v>4562</v>
      </c>
      <c r="B1970" s="2" t="s">
        <v>39</v>
      </c>
      <c r="C1970" s="2" t="s">
        <v>37</v>
      </c>
      <c r="D1970" s="2">
        <v>312</v>
      </c>
    </row>
    <row r="1971" spans="1:4">
      <c r="A1971" s="2" t="s">
        <v>161</v>
      </c>
      <c r="B1971" s="2" t="s">
        <v>39</v>
      </c>
      <c r="C1971" s="2" t="s">
        <v>37</v>
      </c>
      <c r="D1971" s="2">
        <v>311</v>
      </c>
    </row>
    <row r="1972" spans="1:4">
      <c r="A1972" s="2" t="s">
        <v>97</v>
      </c>
      <c r="B1972" s="2" t="s">
        <v>39</v>
      </c>
      <c r="C1972" s="2" t="s">
        <v>37</v>
      </c>
      <c r="D1972" s="2">
        <v>310</v>
      </c>
    </row>
    <row r="1973" spans="1:4">
      <c r="A1973" s="2" t="s">
        <v>1900</v>
      </c>
      <c r="B1973" s="2" t="s">
        <v>39</v>
      </c>
      <c r="C1973" s="2" t="s">
        <v>37</v>
      </c>
      <c r="D1973" s="2">
        <v>309</v>
      </c>
    </row>
    <row r="1974" spans="1:4">
      <c r="A1974" s="2" t="s">
        <v>273</v>
      </c>
      <c r="B1974" s="2" t="s">
        <v>39</v>
      </c>
      <c r="C1974" s="2" t="s">
        <v>37</v>
      </c>
      <c r="D1974" s="2">
        <v>309</v>
      </c>
    </row>
    <row r="1975" spans="1:4">
      <c r="A1975" s="2" t="s">
        <v>3475</v>
      </c>
      <c r="B1975" s="2" t="s">
        <v>39</v>
      </c>
      <c r="C1975" s="2" t="s">
        <v>37</v>
      </c>
      <c r="D1975" s="2">
        <v>309</v>
      </c>
    </row>
    <row r="1976" spans="1:4">
      <c r="A1976" s="2" t="s">
        <v>2473</v>
      </c>
      <c r="B1976" s="2" t="s">
        <v>39</v>
      </c>
      <c r="C1976" s="2" t="s">
        <v>37</v>
      </c>
      <c r="D1976" s="2">
        <v>308</v>
      </c>
    </row>
    <row r="1977" spans="1:4">
      <c r="A1977" s="2" t="s">
        <v>126</v>
      </c>
      <c r="B1977" s="2" t="s">
        <v>39</v>
      </c>
      <c r="C1977" s="2" t="s">
        <v>37</v>
      </c>
      <c r="D1977" s="2">
        <v>307</v>
      </c>
    </row>
    <row r="1978" spans="1:4">
      <c r="A1978" s="2" t="s">
        <v>283</v>
      </c>
      <c r="B1978" s="2" t="s">
        <v>39</v>
      </c>
      <c r="C1978" s="2" t="s">
        <v>37</v>
      </c>
      <c r="D1978" s="2">
        <v>305</v>
      </c>
    </row>
    <row r="1979" spans="1:4">
      <c r="A1979" s="2" t="s">
        <v>4489</v>
      </c>
      <c r="B1979" s="2" t="s">
        <v>39</v>
      </c>
      <c r="C1979" s="2" t="s">
        <v>37</v>
      </c>
      <c r="D1979" s="2">
        <v>305</v>
      </c>
    </row>
    <row r="1980" spans="1:4">
      <c r="A1980" s="2" t="s">
        <v>2462</v>
      </c>
      <c r="B1980" s="2" t="s">
        <v>39</v>
      </c>
      <c r="C1980" s="2" t="s">
        <v>37</v>
      </c>
      <c r="D1980" s="2">
        <v>305</v>
      </c>
    </row>
    <row r="1981" spans="1:4">
      <c r="A1981" s="2" t="s">
        <v>246</v>
      </c>
      <c r="B1981" s="2" t="s">
        <v>39</v>
      </c>
      <c r="C1981" s="2" t="s">
        <v>37</v>
      </c>
      <c r="D1981" s="2">
        <v>304</v>
      </c>
    </row>
    <row r="1982" spans="1:4">
      <c r="A1982" s="2" t="s">
        <v>1876</v>
      </c>
      <c r="B1982" s="2" t="s">
        <v>39</v>
      </c>
      <c r="C1982" s="2" t="s">
        <v>37</v>
      </c>
      <c r="D1982" s="2">
        <v>302</v>
      </c>
    </row>
    <row r="1983" spans="1:4">
      <c r="A1983" s="2" t="s">
        <v>1930</v>
      </c>
      <c r="B1983" s="2" t="s">
        <v>39</v>
      </c>
      <c r="C1983" s="2" t="s">
        <v>37</v>
      </c>
      <c r="D1983" s="2">
        <v>301</v>
      </c>
    </row>
    <row r="1984" spans="1:4">
      <c r="A1984" s="2" t="s">
        <v>61</v>
      </c>
      <c r="B1984" s="2" t="s">
        <v>39</v>
      </c>
      <c r="C1984" s="2" t="s">
        <v>37</v>
      </c>
      <c r="D1984" s="2">
        <v>299</v>
      </c>
    </row>
    <row r="1985" spans="1:4">
      <c r="A1985" s="2" t="s">
        <v>965</v>
      </c>
      <c r="B1985" s="2" t="s">
        <v>39</v>
      </c>
      <c r="C1985" s="2" t="s">
        <v>37</v>
      </c>
      <c r="D1985" s="2">
        <v>298</v>
      </c>
    </row>
    <row r="1986" spans="1:4">
      <c r="A1986" s="2" t="s">
        <v>281</v>
      </c>
      <c r="B1986" s="2" t="s">
        <v>39</v>
      </c>
      <c r="C1986" s="2" t="s">
        <v>37</v>
      </c>
      <c r="D1986" s="2">
        <v>298</v>
      </c>
    </row>
    <row r="1987" spans="1:4">
      <c r="A1987" s="2" t="s">
        <v>4536</v>
      </c>
      <c r="B1987" s="2" t="s">
        <v>39</v>
      </c>
      <c r="C1987" s="2" t="s">
        <v>37</v>
      </c>
      <c r="D1987" s="2">
        <v>297</v>
      </c>
    </row>
    <row r="1988" spans="1:4">
      <c r="A1988" s="2" t="s">
        <v>1920</v>
      </c>
      <c r="B1988" s="2" t="s">
        <v>39</v>
      </c>
      <c r="C1988" s="2" t="s">
        <v>37</v>
      </c>
      <c r="D1988" s="2">
        <v>297</v>
      </c>
    </row>
    <row r="1989" spans="1:4">
      <c r="A1989" s="2" t="s">
        <v>192</v>
      </c>
      <c r="B1989" s="2" t="s">
        <v>39</v>
      </c>
      <c r="C1989" s="2" t="s">
        <v>37</v>
      </c>
      <c r="D1989" s="2">
        <v>296</v>
      </c>
    </row>
    <row r="1990" spans="1:4">
      <c r="A1990" s="2" t="s">
        <v>292</v>
      </c>
      <c r="B1990" s="2" t="s">
        <v>39</v>
      </c>
      <c r="C1990" s="2" t="s">
        <v>37</v>
      </c>
      <c r="D1990" s="2">
        <v>295</v>
      </c>
    </row>
    <row r="1991" spans="1:4">
      <c r="A1991" s="2" t="s">
        <v>2411</v>
      </c>
      <c r="B1991" s="2" t="s">
        <v>39</v>
      </c>
      <c r="C1991" s="2" t="s">
        <v>37</v>
      </c>
      <c r="D1991" s="2">
        <v>294</v>
      </c>
    </row>
    <row r="1992" spans="1:4">
      <c r="A1992" s="2" t="s">
        <v>1878</v>
      </c>
      <c r="B1992" s="2" t="s">
        <v>39</v>
      </c>
      <c r="C1992" s="2" t="s">
        <v>37</v>
      </c>
      <c r="D1992" s="2">
        <v>294</v>
      </c>
    </row>
    <row r="1993" spans="1:4">
      <c r="A1993" s="2" t="s">
        <v>64</v>
      </c>
      <c r="B1993" s="2" t="s">
        <v>39</v>
      </c>
      <c r="C1993" s="2" t="s">
        <v>37</v>
      </c>
      <c r="D1993" s="2">
        <v>293</v>
      </c>
    </row>
    <row r="1994" spans="1:4">
      <c r="A1994" s="2" t="s">
        <v>3440</v>
      </c>
      <c r="B1994" s="2" t="s">
        <v>39</v>
      </c>
      <c r="C1994" s="2" t="s">
        <v>37</v>
      </c>
      <c r="D1994" s="2">
        <v>291</v>
      </c>
    </row>
    <row r="1995" spans="1:4">
      <c r="A1995" s="2" t="s">
        <v>3809</v>
      </c>
      <c r="B1995" s="2" t="s">
        <v>39</v>
      </c>
      <c r="C1995" s="2" t="s">
        <v>37</v>
      </c>
      <c r="D1995" s="2">
        <v>291</v>
      </c>
    </row>
    <row r="1996" spans="1:4">
      <c r="A1996" s="2" t="s">
        <v>1883</v>
      </c>
      <c r="B1996" s="2" t="s">
        <v>39</v>
      </c>
      <c r="C1996" s="2" t="s">
        <v>37</v>
      </c>
      <c r="D1996" s="2">
        <v>290</v>
      </c>
    </row>
    <row r="1997" spans="1:4">
      <c r="A1997" s="2" t="s">
        <v>264</v>
      </c>
      <c r="B1997" s="2" t="s">
        <v>39</v>
      </c>
      <c r="C1997" s="2" t="s">
        <v>37</v>
      </c>
      <c r="D1997" s="2">
        <v>290</v>
      </c>
    </row>
    <row r="1998" spans="1:4">
      <c r="A1998" s="2" t="s">
        <v>150</v>
      </c>
      <c r="B1998" s="2" t="s">
        <v>39</v>
      </c>
      <c r="C1998" s="2" t="s">
        <v>37</v>
      </c>
      <c r="D1998" s="2">
        <v>289</v>
      </c>
    </row>
    <row r="1999" spans="1:4">
      <c r="A1999" s="2" t="s">
        <v>942</v>
      </c>
      <c r="B1999" s="2" t="s">
        <v>39</v>
      </c>
      <c r="C1999" s="2" t="s">
        <v>37</v>
      </c>
      <c r="D1999" s="2">
        <v>289</v>
      </c>
    </row>
    <row r="2000" spans="1:4">
      <c r="A2000" s="2" t="s">
        <v>256</v>
      </c>
      <c r="B2000" s="2" t="s">
        <v>39</v>
      </c>
      <c r="C2000" s="2" t="s">
        <v>37</v>
      </c>
      <c r="D2000" s="2">
        <v>289</v>
      </c>
    </row>
    <row r="2001" spans="1:4">
      <c r="A2001" s="2" t="s">
        <v>2509</v>
      </c>
      <c r="B2001" s="2" t="s">
        <v>39</v>
      </c>
      <c r="C2001" s="2" t="s">
        <v>37</v>
      </c>
      <c r="D2001" s="2">
        <v>288</v>
      </c>
    </row>
    <row r="2002" spans="1:4">
      <c r="A2002" s="2" t="s">
        <v>179</v>
      </c>
      <c r="B2002" s="2" t="s">
        <v>39</v>
      </c>
      <c r="C2002" s="2" t="s">
        <v>37</v>
      </c>
      <c r="D2002" s="2">
        <v>287</v>
      </c>
    </row>
    <row r="2003" spans="1:4">
      <c r="A2003" s="2" t="s">
        <v>1621</v>
      </c>
      <c r="B2003" s="2" t="s">
        <v>39</v>
      </c>
      <c r="C2003" s="2" t="s">
        <v>37</v>
      </c>
      <c r="D2003" s="2">
        <v>286</v>
      </c>
    </row>
    <row r="2004" spans="1:4">
      <c r="A2004" s="2" t="s">
        <v>111</v>
      </c>
      <c r="B2004" s="2" t="s">
        <v>39</v>
      </c>
      <c r="C2004" s="2" t="s">
        <v>37</v>
      </c>
      <c r="D2004" s="2">
        <v>285</v>
      </c>
    </row>
    <row r="2005" spans="1:4">
      <c r="A2005" s="2" t="s">
        <v>930</v>
      </c>
      <c r="B2005" s="2" t="s">
        <v>39</v>
      </c>
      <c r="C2005" s="2" t="s">
        <v>37</v>
      </c>
      <c r="D2005" s="2">
        <v>285</v>
      </c>
    </row>
    <row r="2006" spans="1:4">
      <c r="A2006" s="2" t="s">
        <v>923</v>
      </c>
      <c r="B2006" s="2" t="s">
        <v>39</v>
      </c>
      <c r="C2006" s="2" t="s">
        <v>37</v>
      </c>
      <c r="D2006" s="2">
        <v>283</v>
      </c>
    </row>
    <row r="2007" spans="1:4">
      <c r="A2007" s="2" t="s">
        <v>279</v>
      </c>
      <c r="B2007" s="2" t="s">
        <v>39</v>
      </c>
      <c r="C2007" s="2" t="s">
        <v>37</v>
      </c>
      <c r="D2007" s="2">
        <v>283</v>
      </c>
    </row>
    <row r="2008" spans="1:4">
      <c r="A2008" s="2" t="s">
        <v>2991</v>
      </c>
      <c r="B2008" s="2" t="s">
        <v>39</v>
      </c>
      <c r="C2008" s="2" t="s">
        <v>37</v>
      </c>
      <c r="D2008" s="2">
        <v>282</v>
      </c>
    </row>
    <row r="2009" spans="1:4">
      <c r="A2009" s="2" t="s">
        <v>190</v>
      </c>
      <c r="B2009" s="2" t="s">
        <v>39</v>
      </c>
      <c r="C2009" s="2" t="s">
        <v>37</v>
      </c>
      <c r="D2009" s="2">
        <v>282</v>
      </c>
    </row>
    <row r="2010" spans="1:4">
      <c r="A2010" s="2" t="s">
        <v>188</v>
      </c>
      <c r="B2010" s="2" t="s">
        <v>39</v>
      </c>
      <c r="C2010" s="2" t="s">
        <v>37</v>
      </c>
      <c r="D2010" s="2">
        <v>281</v>
      </c>
    </row>
    <row r="2011" spans="1:4">
      <c r="A2011" s="2" t="s">
        <v>2981</v>
      </c>
      <c r="B2011" s="2" t="s">
        <v>39</v>
      </c>
      <c r="C2011" s="2" t="s">
        <v>37</v>
      </c>
      <c r="D2011" s="2">
        <v>281</v>
      </c>
    </row>
    <row r="2012" spans="1:4">
      <c r="A2012" s="2" t="s">
        <v>1830</v>
      </c>
      <c r="B2012" s="2" t="s">
        <v>39</v>
      </c>
      <c r="C2012" s="2" t="s">
        <v>37</v>
      </c>
      <c r="D2012" s="2">
        <v>281</v>
      </c>
    </row>
    <row r="2013" spans="1:4">
      <c r="A2013" s="2" t="s">
        <v>3844</v>
      </c>
      <c r="B2013" s="2" t="s">
        <v>39</v>
      </c>
      <c r="C2013" s="2" t="s">
        <v>37</v>
      </c>
      <c r="D2013" s="2">
        <v>279</v>
      </c>
    </row>
    <row r="2014" spans="1:4">
      <c r="A2014" s="2" t="s">
        <v>1918</v>
      </c>
      <c r="B2014" s="2" t="s">
        <v>39</v>
      </c>
      <c r="C2014" s="2" t="s">
        <v>37</v>
      </c>
      <c r="D2014" s="2">
        <v>279</v>
      </c>
    </row>
    <row r="2015" spans="1:4">
      <c r="A2015" s="2" t="s">
        <v>1938</v>
      </c>
      <c r="B2015" s="2" t="s">
        <v>39</v>
      </c>
      <c r="C2015" s="2" t="s">
        <v>37</v>
      </c>
      <c r="D2015" s="2">
        <v>279</v>
      </c>
    </row>
    <row r="2016" spans="1:4">
      <c r="A2016" s="2" t="s">
        <v>1008</v>
      </c>
      <c r="B2016" s="2" t="s">
        <v>39</v>
      </c>
      <c r="C2016" s="2" t="s">
        <v>37</v>
      </c>
      <c r="D2016" s="2">
        <v>277</v>
      </c>
    </row>
    <row r="2017" spans="1:4">
      <c r="A2017" s="2" t="s">
        <v>2494</v>
      </c>
      <c r="B2017" s="2" t="s">
        <v>39</v>
      </c>
      <c r="C2017" s="2" t="s">
        <v>37</v>
      </c>
      <c r="D2017" s="2">
        <v>276</v>
      </c>
    </row>
    <row r="2018" spans="1:4">
      <c r="A2018" s="2" t="s">
        <v>2468</v>
      </c>
      <c r="B2018" s="2" t="s">
        <v>39</v>
      </c>
      <c r="C2018" s="2" t="s">
        <v>37</v>
      </c>
      <c r="D2018" s="2">
        <v>276</v>
      </c>
    </row>
    <row r="2019" spans="1:4">
      <c r="A2019" s="2" t="s">
        <v>167</v>
      </c>
      <c r="B2019" s="2" t="s">
        <v>39</v>
      </c>
      <c r="C2019" s="2" t="s">
        <v>37</v>
      </c>
      <c r="D2019" s="2">
        <v>273</v>
      </c>
    </row>
    <row r="2020" spans="1:4">
      <c r="A2020" s="2" t="s">
        <v>1912</v>
      </c>
      <c r="B2020" s="2" t="s">
        <v>39</v>
      </c>
      <c r="C2020" s="2" t="s">
        <v>37</v>
      </c>
      <c r="D2020" s="2">
        <v>272</v>
      </c>
    </row>
    <row r="2021" spans="1:4">
      <c r="A2021" s="2" t="s">
        <v>229</v>
      </c>
      <c r="B2021" s="2" t="s">
        <v>39</v>
      </c>
      <c r="C2021" s="2" t="s">
        <v>37</v>
      </c>
      <c r="D2021" s="2">
        <v>272</v>
      </c>
    </row>
    <row r="2022" spans="1:4">
      <c r="A2022" s="2" t="s">
        <v>1887</v>
      </c>
      <c r="B2022" s="2" t="s">
        <v>39</v>
      </c>
      <c r="C2022" s="2" t="s">
        <v>37</v>
      </c>
      <c r="D2022" s="2">
        <v>272</v>
      </c>
    </row>
    <row r="2023" spans="1:4">
      <c r="A2023" s="2" t="s">
        <v>3438</v>
      </c>
      <c r="B2023" s="2" t="s">
        <v>39</v>
      </c>
      <c r="C2023" s="2" t="s">
        <v>37</v>
      </c>
      <c r="D2023" s="2">
        <v>271</v>
      </c>
    </row>
    <row r="2024" spans="1:4">
      <c r="A2024" s="2" t="s">
        <v>927</v>
      </c>
      <c r="B2024" s="2" t="s">
        <v>39</v>
      </c>
      <c r="C2024" s="2" t="s">
        <v>37</v>
      </c>
      <c r="D2024" s="2">
        <v>270</v>
      </c>
    </row>
    <row r="2025" spans="1:4">
      <c r="A2025" s="2" t="s">
        <v>2983</v>
      </c>
      <c r="B2025" s="2" t="s">
        <v>39</v>
      </c>
      <c r="C2025" s="2" t="s">
        <v>37</v>
      </c>
      <c r="D2025" s="2">
        <v>269</v>
      </c>
    </row>
    <row r="2026" spans="1:4">
      <c r="A2026" s="2" t="s">
        <v>2490</v>
      </c>
      <c r="B2026" s="2" t="s">
        <v>39</v>
      </c>
      <c r="C2026" s="2" t="s">
        <v>37</v>
      </c>
      <c r="D2026" s="2">
        <v>268</v>
      </c>
    </row>
    <row r="2027" spans="1:4">
      <c r="A2027" s="2" t="s">
        <v>239</v>
      </c>
      <c r="B2027" s="2" t="s">
        <v>39</v>
      </c>
      <c r="C2027" s="2" t="s">
        <v>37</v>
      </c>
      <c r="D2027" s="2">
        <v>267</v>
      </c>
    </row>
    <row r="2028" spans="1:4">
      <c r="A2028" s="2" t="s">
        <v>1609</v>
      </c>
      <c r="B2028" s="2" t="s">
        <v>39</v>
      </c>
      <c r="C2028" s="2" t="s">
        <v>37</v>
      </c>
      <c r="D2028" s="2">
        <v>267</v>
      </c>
    </row>
    <row r="2029" spans="1:4">
      <c r="A2029" s="2" t="s">
        <v>159</v>
      </c>
      <c r="B2029" s="2" t="s">
        <v>39</v>
      </c>
      <c r="C2029" s="2" t="s">
        <v>37</v>
      </c>
      <c r="D2029" s="2">
        <v>267</v>
      </c>
    </row>
    <row r="2030" spans="1:4">
      <c r="A2030" s="2" t="s">
        <v>2453</v>
      </c>
      <c r="B2030" s="2" t="s">
        <v>39</v>
      </c>
      <c r="C2030" s="2" t="s">
        <v>37</v>
      </c>
      <c r="D2030" s="2">
        <v>267</v>
      </c>
    </row>
    <row r="2031" spans="1:4">
      <c r="A2031" s="2" t="s">
        <v>2443</v>
      </c>
      <c r="B2031" s="2" t="s">
        <v>39</v>
      </c>
      <c r="C2031" s="2" t="s">
        <v>37</v>
      </c>
      <c r="D2031" s="2">
        <v>266</v>
      </c>
    </row>
    <row r="2032" spans="1:4">
      <c r="A2032" s="2" t="s">
        <v>254</v>
      </c>
      <c r="B2032" s="2" t="s">
        <v>39</v>
      </c>
      <c r="C2032" s="2" t="s">
        <v>37</v>
      </c>
      <c r="D2032" s="2">
        <v>265</v>
      </c>
    </row>
    <row r="2033" spans="1:4">
      <c r="A2033" s="2" t="s">
        <v>271</v>
      </c>
      <c r="B2033" s="2" t="s">
        <v>39</v>
      </c>
      <c r="C2033" s="2" t="s">
        <v>37</v>
      </c>
      <c r="D2033" s="2">
        <v>265</v>
      </c>
    </row>
    <row r="2034" spans="1:4">
      <c r="A2034" s="2" t="s">
        <v>2989</v>
      </c>
      <c r="B2034" s="2" t="s">
        <v>39</v>
      </c>
      <c r="C2034" s="2" t="s">
        <v>37</v>
      </c>
      <c r="D2034" s="2">
        <v>264</v>
      </c>
    </row>
    <row r="2035" spans="1:4">
      <c r="A2035" s="2" t="s">
        <v>2381</v>
      </c>
      <c r="B2035" s="2" t="s">
        <v>39</v>
      </c>
      <c r="C2035" s="2" t="s">
        <v>37</v>
      </c>
      <c r="D2035" s="2">
        <v>263</v>
      </c>
    </row>
    <row r="2036" spans="1:4">
      <c r="A2036" s="2" t="s">
        <v>945</v>
      </c>
      <c r="B2036" s="2" t="s">
        <v>39</v>
      </c>
      <c r="C2036" s="2" t="s">
        <v>37</v>
      </c>
      <c r="D2036" s="2">
        <v>263</v>
      </c>
    </row>
    <row r="2037" spans="1:4">
      <c r="A2037" s="2" t="s">
        <v>4501</v>
      </c>
      <c r="B2037" s="2" t="s">
        <v>39</v>
      </c>
      <c r="C2037" s="2" t="s">
        <v>37</v>
      </c>
      <c r="D2037" s="2">
        <v>262</v>
      </c>
    </row>
    <row r="2038" spans="1:4">
      <c r="A2038" s="2" t="s">
        <v>1902</v>
      </c>
      <c r="B2038" s="2" t="s">
        <v>39</v>
      </c>
      <c r="C2038" s="2" t="s">
        <v>37</v>
      </c>
      <c r="D2038" s="2">
        <v>262</v>
      </c>
    </row>
    <row r="2039" spans="1:4">
      <c r="A2039" s="2" t="s">
        <v>114</v>
      </c>
      <c r="B2039" s="2" t="s">
        <v>39</v>
      </c>
      <c r="C2039" s="2" t="s">
        <v>37</v>
      </c>
      <c r="D2039" s="2">
        <v>262</v>
      </c>
    </row>
    <row r="2040" spans="1:4">
      <c r="A2040" s="2" t="s">
        <v>1863</v>
      </c>
      <c r="B2040" s="2" t="s">
        <v>39</v>
      </c>
      <c r="C2040" s="2" t="s">
        <v>37</v>
      </c>
      <c r="D2040" s="2">
        <v>262</v>
      </c>
    </row>
    <row r="2041" spans="1:4">
      <c r="A2041" s="2" t="s">
        <v>1049</v>
      </c>
      <c r="B2041" s="2" t="s">
        <v>39</v>
      </c>
      <c r="C2041" s="2" t="s">
        <v>37</v>
      </c>
      <c r="D2041" s="2">
        <v>262</v>
      </c>
    </row>
    <row r="2042" spans="1:4">
      <c r="A2042" s="2" t="s">
        <v>1889</v>
      </c>
      <c r="B2042" s="2" t="s">
        <v>39</v>
      </c>
      <c r="C2042" s="2" t="s">
        <v>37</v>
      </c>
      <c r="D2042" s="2">
        <v>262</v>
      </c>
    </row>
    <row r="2043" spans="1:4">
      <c r="A2043" s="2" t="s">
        <v>2423</v>
      </c>
      <c r="B2043" s="2" t="s">
        <v>39</v>
      </c>
      <c r="C2043" s="2" t="s">
        <v>37</v>
      </c>
      <c r="D2043" s="2">
        <v>261</v>
      </c>
    </row>
    <row r="2044" spans="1:4">
      <c r="A2044" s="2" t="s">
        <v>1855</v>
      </c>
      <c r="B2044" s="2" t="s">
        <v>39</v>
      </c>
      <c r="C2044" s="2" t="s">
        <v>37</v>
      </c>
      <c r="D2044" s="2">
        <v>259</v>
      </c>
    </row>
    <row r="2045" spans="1:4">
      <c r="A2045" s="2" t="s">
        <v>275</v>
      </c>
      <c r="B2045" s="2" t="s">
        <v>39</v>
      </c>
      <c r="C2045" s="2" t="s">
        <v>37</v>
      </c>
      <c r="D2045" s="2">
        <v>259</v>
      </c>
    </row>
    <row r="2046" spans="1:4">
      <c r="A2046" s="2" t="s">
        <v>3882</v>
      </c>
      <c r="B2046" s="2" t="s">
        <v>39</v>
      </c>
      <c r="C2046" s="2" t="s">
        <v>37</v>
      </c>
      <c r="D2046" s="2">
        <v>258</v>
      </c>
    </row>
    <row r="2047" spans="1:4">
      <c r="A2047" s="2" t="s">
        <v>1934</v>
      </c>
      <c r="B2047" s="2" t="s">
        <v>39</v>
      </c>
      <c r="C2047" s="2" t="s">
        <v>37</v>
      </c>
      <c r="D2047" s="2">
        <v>258</v>
      </c>
    </row>
    <row r="2048" spans="1:4">
      <c r="A2048" s="2" t="s">
        <v>266</v>
      </c>
      <c r="B2048" s="2" t="s">
        <v>39</v>
      </c>
      <c r="C2048" s="2" t="s">
        <v>37</v>
      </c>
      <c r="D2048" s="2">
        <v>256</v>
      </c>
    </row>
    <row r="2049" spans="1:4">
      <c r="A2049" s="2" t="s">
        <v>148</v>
      </c>
      <c r="B2049" s="2" t="s">
        <v>39</v>
      </c>
      <c r="C2049" s="2" t="s">
        <v>37</v>
      </c>
      <c r="D2049" s="2">
        <v>256</v>
      </c>
    </row>
    <row r="2050" spans="1:4">
      <c r="A2050" s="2" t="s">
        <v>194</v>
      </c>
      <c r="B2050" s="2" t="s">
        <v>39</v>
      </c>
      <c r="C2050" s="2" t="s">
        <v>37</v>
      </c>
      <c r="D2050" s="2">
        <v>255</v>
      </c>
    </row>
    <row r="2051" spans="1:4">
      <c r="A2051" s="2" t="s">
        <v>1096</v>
      </c>
      <c r="B2051" s="2" t="s">
        <v>39</v>
      </c>
      <c r="C2051" s="2" t="s">
        <v>37</v>
      </c>
      <c r="D2051" s="2">
        <v>255</v>
      </c>
    </row>
    <row r="2052" spans="1:4">
      <c r="A2052" s="2" t="s">
        <v>4548</v>
      </c>
      <c r="B2052" s="2" t="s">
        <v>39</v>
      </c>
      <c r="C2052" s="2" t="s">
        <v>37</v>
      </c>
      <c r="D2052" s="2">
        <v>254</v>
      </c>
    </row>
    <row r="2053" spans="1:4">
      <c r="A2053" s="2" t="s">
        <v>206</v>
      </c>
      <c r="B2053" s="2" t="s">
        <v>39</v>
      </c>
      <c r="C2053" s="2" t="s">
        <v>37</v>
      </c>
      <c r="D2053" s="2">
        <v>253</v>
      </c>
    </row>
    <row r="2054" spans="1:4">
      <c r="A2054" s="2" t="s">
        <v>996</v>
      </c>
      <c r="B2054" s="2" t="s">
        <v>39</v>
      </c>
      <c r="C2054" s="2" t="s">
        <v>37</v>
      </c>
      <c r="D2054" s="2">
        <v>253</v>
      </c>
    </row>
    <row r="2055" spans="1:4">
      <c r="A2055" s="2" t="s">
        <v>1019</v>
      </c>
      <c r="B2055" s="2" t="s">
        <v>39</v>
      </c>
      <c r="C2055" s="2" t="s">
        <v>37</v>
      </c>
      <c r="D2055" s="2">
        <v>252</v>
      </c>
    </row>
    <row r="2056" spans="1:4">
      <c r="A2056" s="2" t="s">
        <v>219</v>
      </c>
      <c r="B2056" s="2" t="s">
        <v>39</v>
      </c>
      <c r="C2056" s="2" t="s">
        <v>37</v>
      </c>
      <c r="D2056" s="2">
        <v>252</v>
      </c>
    </row>
    <row r="2057" spans="1:4">
      <c r="A2057" s="2" t="s">
        <v>286</v>
      </c>
      <c r="B2057" s="2" t="s">
        <v>39</v>
      </c>
      <c r="C2057" s="2" t="s">
        <v>37</v>
      </c>
      <c r="D2057" s="2">
        <v>252</v>
      </c>
    </row>
    <row r="2058" spans="1:4">
      <c r="A2058" s="2" t="s">
        <v>3850</v>
      </c>
      <c r="B2058" s="2" t="s">
        <v>39</v>
      </c>
      <c r="C2058" s="2" t="s">
        <v>37</v>
      </c>
      <c r="D2058" s="2">
        <v>252</v>
      </c>
    </row>
    <row r="2059" spans="1:4">
      <c r="A2059" s="2" t="s">
        <v>4229</v>
      </c>
      <c r="B2059" s="2" t="s">
        <v>39</v>
      </c>
      <c r="C2059" s="2" t="s">
        <v>37</v>
      </c>
      <c r="D2059" s="2">
        <v>251</v>
      </c>
    </row>
    <row r="2060" spans="1:4">
      <c r="A2060" s="2" t="s">
        <v>967</v>
      </c>
      <c r="B2060" s="2" t="s">
        <v>39</v>
      </c>
      <c r="C2060" s="2" t="s">
        <v>37</v>
      </c>
      <c r="D2060" s="2">
        <v>251</v>
      </c>
    </row>
    <row r="2061" spans="1:4">
      <c r="A2061" s="2" t="s">
        <v>2464</v>
      </c>
      <c r="B2061" s="2" t="s">
        <v>39</v>
      </c>
      <c r="C2061" s="2" t="s">
        <v>37</v>
      </c>
      <c r="D2061" s="2">
        <v>251</v>
      </c>
    </row>
    <row r="2062" spans="1:4">
      <c r="A2062" s="2" t="s">
        <v>2504</v>
      </c>
      <c r="B2062" s="2" t="s">
        <v>39</v>
      </c>
      <c r="C2062" s="2" t="s">
        <v>37</v>
      </c>
      <c r="D2062" s="2">
        <v>250</v>
      </c>
    </row>
    <row r="2063" spans="1:4">
      <c r="A2063" s="2" t="s">
        <v>277</v>
      </c>
      <c r="B2063" s="2" t="s">
        <v>39</v>
      </c>
      <c r="C2063" s="2" t="s">
        <v>37</v>
      </c>
      <c r="D2063" s="2">
        <v>249</v>
      </c>
    </row>
    <row r="2064" spans="1:4">
      <c r="A2064" s="2" t="s">
        <v>3408</v>
      </c>
      <c r="B2064" s="2" t="s">
        <v>39</v>
      </c>
      <c r="C2064" s="2" t="s">
        <v>37</v>
      </c>
      <c r="D2064" s="2">
        <v>247</v>
      </c>
    </row>
    <row r="2065" spans="1:4">
      <c r="A2065" s="2" t="s">
        <v>2986</v>
      </c>
      <c r="B2065" s="2" t="s">
        <v>39</v>
      </c>
      <c r="C2065" s="2" t="s">
        <v>37</v>
      </c>
      <c r="D2065" s="2">
        <v>246</v>
      </c>
    </row>
    <row r="2066" spans="1:4">
      <c r="A2066" s="2" t="s">
        <v>3814</v>
      </c>
      <c r="B2066" s="2" t="s">
        <v>39</v>
      </c>
      <c r="C2066" s="2" t="s">
        <v>37</v>
      </c>
      <c r="D2066" s="2">
        <v>244</v>
      </c>
    </row>
    <row r="2067" spans="1:4">
      <c r="A2067" s="2" t="s">
        <v>1932</v>
      </c>
      <c r="B2067" s="2" t="s">
        <v>39</v>
      </c>
      <c r="C2067" s="2" t="s">
        <v>37</v>
      </c>
      <c r="D2067" s="2">
        <v>244</v>
      </c>
    </row>
    <row r="2068" spans="1:4">
      <c r="A2068" s="2" t="s">
        <v>969</v>
      </c>
      <c r="B2068" s="2" t="s">
        <v>39</v>
      </c>
      <c r="C2068" s="2" t="s">
        <v>37</v>
      </c>
      <c r="D2068" s="2">
        <v>243</v>
      </c>
    </row>
    <row r="2069" spans="1:4">
      <c r="A2069" s="2" t="s">
        <v>2436</v>
      </c>
      <c r="B2069" s="2" t="s">
        <v>39</v>
      </c>
      <c r="C2069" s="2" t="s">
        <v>37</v>
      </c>
      <c r="D2069" s="2">
        <v>243</v>
      </c>
    </row>
    <row r="2070" spans="1:4">
      <c r="A2070" s="2" t="s">
        <v>1895</v>
      </c>
      <c r="B2070" s="2" t="s">
        <v>39</v>
      </c>
      <c r="C2070" s="2" t="s">
        <v>37</v>
      </c>
      <c r="D2070" s="2">
        <v>242</v>
      </c>
    </row>
    <row r="2071" spans="1:4">
      <c r="A2071" s="2" t="s">
        <v>3017</v>
      </c>
      <c r="B2071" s="2" t="s">
        <v>39</v>
      </c>
      <c r="C2071" s="2" t="s">
        <v>37</v>
      </c>
      <c r="D2071" s="2">
        <v>241</v>
      </c>
    </row>
    <row r="2072" spans="1:4">
      <c r="A2072" s="2" t="s">
        <v>2475</v>
      </c>
      <c r="B2072" s="2" t="s">
        <v>39</v>
      </c>
      <c r="C2072" s="2" t="s">
        <v>37</v>
      </c>
      <c r="D2072" s="2">
        <v>239</v>
      </c>
    </row>
    <row r="2073" spans="1:4">
      <c r="A2073" s="2" t="s">
        <v>4519</v>
      </c>
      <c r="B2073" s="2" t="s">
        <v>39</v>
      </c>
      <c r="C2073" s="2" t="s">
        <v>37</v>
      </c>
      <c r="D2073" s="2">
        <v>239</v>
      </c>
    </row>
    <row r="2074" spans="1:4">
      <c r="A2074" s="2" t="s">
        <v>2425</v>
      </c>
      <c r="B2074" s="2" t="s">
        <v>39</v>
      </c>
      <c r="C2074" s="2" t="s">
        <v>37</v>
      </c>
      <c r="D2074" s="2">
        <v>239</v>
      </c>
    </row>
    <row r="2075" spans="1:4">
      <c r="A2075" s="2" t="s">
        <v>1944</v>
      </c>
      <c r="B2075" s="2" t="s">
        <v>39</v>
      </c>
      <c r="C2075" s="2" t="s">
        <v>37</v>
      </c>
      <c r="D2075" s="2">
        <v>239</v>
      </c>
    </row>
    <row r="2076" spans="1:4">
      <c r="A2076" s="2" t="s">
        <v>2477</v>
      </c>
      <c r="B2076" s="2" t="s">
        <v>39</v>
      </c>
      <c r="C2076" s="2" t="s">
        <v>37</v>
      </c>
      <c r="D2076" s="2">
        <v>238</v>
      </c>
    </row>
    <row r="2077" spans="1:4">
      <c r="A2077" s="2" t="s">
        <v>1053</v>
      </c>
      <c r="B2077" s="2" t="s">
        <v>39</v>
      </c>
      <c r="C2077" s="2" t="s">
        <v>37</v>
      </c>
      <c r="D2077" s="2">
        <v>238</v>
      </c>
    </row>
    <row r="2078" spans="1:4">
      <c r="A2078" s="2" t="s">
        <v>1959</v>
      </c>
      <c r="B2078" s="2" t="s">
        <v>39</v>
      </c>
      <c r="C2078" s="2" t="s">
        <v>37</v>
      </c>
      <c r="D2078" s="2">
        <v>238</v>
      </c>
    </row>
    <row r="2079" spans="1:4">
      <c r="A2079" s="2" t="s">
        <v>1847</v>
      </c>
      <c r="B2079" s="2" t="s">
        <v>39</v>
      </c>
      <c r="C2079" s="2" t="s">
        <v>37</v>
      </c>
      <c r="D2079" s="2">
        <v>237</v>
      </c>
    </row>
    <row r="2080" spans="1:4">
      <c r="A2080" s="2" t="s">
        <v>2451</v>
      </c>
      <c r="B2080" s="2" t="s">
        <v>39</v>
      </c>
      <c r="C2080" s="2" t="s">
        <v>37</v>
      </c>
      <c r="D2080" s="2">
        <v>236</v>
      </c>
    </row>
    <row r="2081" spans="1:4">
      <c r="A2081" s="2" t="s">
        <v>70</v>
      </c>
      <c r="B2081" s="2" t="s">
        <v>39</v>
      </c>
      <c r="C2081" s="2" t="s">
        <v>37</v>
      </c>
      <c r="D2081" s="2">
        <v>236</v>
      </c>
    </row>
    <row r="2082" spans="1:4">
      <c r="A2082" s="2" t="s">
        <v>3005</v>
      </c>
      <c r="B2082" s="2" t="s">
        <v>39</v>
      </c>
      <c r="C2082" s="2" t="s">
        <v>37</v>
      </c>
      <c r="D2082" s="2">
        <v>236</v>
      </c>
    </row>
    <row r="2083" spans="1:4">
      <c r="A2083" s="2" t="s">
        <v>1059</v>
      </c>
      <c r="B2083" s="2" t="s">
        <v>39</v>
      </c>
      <c r="C2083" s="2" t="s">
        <v>37</v>
      </c>
      <c r="D2083" s="2">
        <v>236</v>
      </c>
    </row>
    <row r="2084" spans="1:4">
      <c r="A2084" s="2" t="s">
        <v>1029</v>
      </c>
      <c r="B2084" s="2" t="s">
        <v>39</v>
      </c>
      <c r="C2084" s="2" t="s">
        <v>37</v>
      </c>
      <c r="D2084" s="2">
        <v>235</v>
      </c>
    </row>
    <row r="2085" spans="1:4">
      <c r="A2085" s="2" t="s">
        <v>1910</v>
      </c>
      <c r="B2085" s="2" t="s">
        <v>39</v>
      </c>
      <c r="C2085" s="2" t="s">
        <v>37</v>
      </c>
      <c r="D2085" s="2">
        <v>234</v>
      </c>
    </row>
    <row r="2086" spans="1:4">
      <c r="A2086" s="2" t="s">
        <v>3856</v>
      </c>
      <c r="B2086" s="2" t="s">
        <v>39</v>
      </c>
      <c r="C2086" s="2" t="s">
        <v>37</v>
      </c>
      <c r="D2086" s="2">
        <v>233</v>
      </c>
    </row>
    <row r="2087" spans="1:4">
      <c r="A2087" s="2" t="s">
        <v>1037</v>
      </c>
      <c r="B2087" s="2" t="s">
        <v>39</v>
      </c>
      <c r="C2087" s="2" t="s">
        <v>37</v>
      </c>
      <c r="D2087" s="2">
        <v>232</v>
      </c>
    </row>
    <row r="2088" spans="1:4">
      <c r="A2088" s="2" t="s">
        <v>1908</v>
      </c>
      <c r="B2088" s="2" t="s">
        <v>39</v>
      </c>
      <c r="C2088" s="2" t="s">
        <v>37</v>
      </c>
      <c r="D2088" s="2">
        <v>231</v>
      </c>
    </row>
    <row r="2089" spans="1:4">
      <c r="A2089" s="2" t="s">
        <v>2479</v>
      </c>
      <c r="B2089" s="2" t="s">
        <v>39</v>
      </c>
      <c r="C2089" s="2" t="s">
        <v>37</v>
      </c>
      <c r="D2089" s="2">
        <v>231</v>
      </c>
    </row>
    <row r="2090" spans="1:4">
      <c r="A2090" s="2" t="s">
        <v>1104</v>
      </c>
      <c r="B2090" s="2" t="s">
        <v>39</v>
      </c>
      <c r="C2090" s="2" t="s">
        <v>37</v>
      </c>
      <c r="D2090" s="2">
        <v>231</v>
      </c>
    </row>
    <row r="2091" spans="1:4">
      <c r="A2091" s="2" t="s">
        <v>1004</v>
      </c>
      <c r="B2091" s="2" t="s">
        <v>39</v>
      </c>
      <c r="C2091" s="2" t="s">
        <v>37</v>
      </c>
      <c r="D2091" s="2">
        <v>231</v>
      </c>
    </row>
    <row r="2092" spans="1:4">
      <c r="A2092" s="2" t="s">
        <v>4523</v>
      </c>
      <c r="B2092" s="2" t="s">
        <v>39</v>
      </c>
      <c r="C2092" s="2" t="s">
        <v>37</v>
      </c>
      <c r="D2092" s="2">
        <v>230</v>
      </c>
    </row>
    <row r="2093" spans="1:4">
      <c r="A2093" s="2" t="s">
        <v>1928</v>
      </c>
      <c r="B2093" s="2" t="s">
        <v>39</v>
      </c>
      <c r="C2093" s="2" t="s">
        <v>37</v>
      </c>
      <c r="D2093" s="2">
        <v>229</v>
      </c>
    </row>
    <row r="2094" spans="1:4">
      <c r="A2094" s="2" t="s">
        <v>4504</v>
      </c>
      <c r="B2094" s="2" t="s">
        <v>39</v>
      </c>
      <c r="C2094" s="2" t="s">
        <v>37</v>
      </c>
      <c r="D2094" s="2">
        <v>227</v>
      </c>
    </row>
    <row r="2095" spans="1:4">
      <c r="A2095" s="2" t="s">
        <v>1615</v>
      </c>
      <c r="B2095" s="2" t="s">
        <v>39</v>
      </c>
      <c r="C2095" s="2" t="s">
        <v>37</v>
      </c>
      <c r="D2095" s="2">
        <v>227</v>
      </c>
    </row>
    <row r="2096" spans="1:4">
      <c r="A2096" s="2" t="s">
        <v>2445</v>
      </c>
      <c r="B2096" s="2" t="s">
        <v>39</v>
      </c>
      <c r="C2096" s="2" t="s">
        <v>37</v>
      </c>
      <c r="D2096" s="2">
        <v>226</v>
      </c>
    </row>
    <row r="2097" spans="1:4">
      <c r="A2097" s="2" t="s">
        <v>3876</v>
      </c>
      <c r="B2097" s="2" t="s">
        <v>39</v>
      </c>
      <c r="C2097" s="2" t="s">
        <v>37</v>
      </c>
      <c r="D2097" s="2">
        <v>225</v>
      </c>
    </row>
    <row r="2098" spans="1:4">
      <c r="A2098" s="2" t="s">
        <v>4544</v>
      </c>
      <c r="B2098" s="2" t="s">
        <v>39</v>
      </c>
      <c r="C2098" s="2" t="s">
        <v>37</v>
      </c>
      <c r="D2098" s="2">
        <v>225</v>
      </c>
    </row>
    <row r="2099" spans="1:4">
      <c r="A2099" s="2" t="s">
        <v>3429</v>
      </c>
      <c r="B2099" s="2" t="s">
        <v>39</v>
      </c>
      <c r="C2099" s="2" t="s">
        <v>37</v>
      </c>
      <c r="D2099" s="2">
        <v>225</v>
      </c>
    </row>
    <row r="2100" spans="1:4">
      <c r="A2100" s="2" t="s">
        <v>4513</v>
      </c>
      <c r="B2100" s="2" t="s">
        <v>39</v>
      </c>
      <c r="C2100" s="2" t="s">
        <v>37</v>
      </c>
      <c r="D2100" s="2">
        <v>224</v>
      </c>
    </row>
    <row r="2101" spans="1:4">
      <c r="A2101" s="2" t="s">
        <v>948</v>
      </c>
      <c r="B2101" s="2" t="s">
        <v>39</v>
      </c>
      <c r="C2101" s="2" t="s">
        <v>37</v>
      </c>
      <c r="D2101" s="2">
        <v>224</v>
      </c>
    </row>
    <row r="2102" spans="1:4">
      <c r="A2102" s="2" t="s">
        <v>260</v>
      </c>
      <c r="B2102" s="2" t="s">
        <v>39</v>
      </c>
      <c r="C2102" s="2" t="s">
        <v>37</v>
      </c>
      <c r="D2102" s="2">
        <v>224</v>
      </c>
    </row>
    <row r="2103" spans="1:4">
      <c r="A2103" s="2" t="s">
        <v>3842</v>
      </c>
      <c r="B2103" s="2" t="s">
        <v>39</v>
      </c>
      <c r="C2103" s="2" t="s">
        <v>37</v>
      </c>
      <c r="D2103" s="2">
        <v>222</v>
      </c>
    </row>
    <row r="2104" spans="1:4">
      <c r="A2104" s="2" t="s">
        <v>1837</v>
      </c>
      <c r="B2104" s="2" t="s">
        <v>39</v>
      </c>
      <c r="C2104" s="2" t="s">
        <v>37</v>
      </c>
      <c r="D2104" s="2">
        <v>222</v>
      </c>
    </row>
    <row r="2105" spans="1:4">
      <c r="A2105" s="2" t="s">
        <v>201</v>
      </c>
      <c r="B2105" s="2" t="s">
        <v>39</v>
      </c>
      <c r="C2105" s="2" t="s">
        <v>37</v>
      </c>
      <c r="D2105" s="2">
        <v>222</v>
      </c>
    </row>
    <row r="2106" spans="1:4">
      <c r="A2106" s="2" t="s">
        <v>2432</v>
      </c>
      <c r="B2106" s="2" t="s">
        <v>39</v>
      </c>
      <c r="C2106" s="2" t="s">
        <v>37</v>
      </c>
      <c r="D2106" s="2">
        <v>221</v>
      </c>
    </row>
    <row r="2107" spans="1:4">
      <c r="A2107" s="2" t="s">
        <v>982</v>
      </c>
      <c r="B2107" s="2" t="s">
        <v>39</v>
      </c>
      <c r="C2107" s="2" t="s">
        <v>37</v>
      </c>
      <c r="D2107" s="2">
        <v>220</v>
      </c>
    </row>
    <row r="2108" spans="1:4">
      <c r="A2108" s="2" t="s">
        <v>2513</v>
      </c>
      <c r="B2108" s="2" t="s">
        <v>39</v>
      </c>
      <c r="C2108" s="2" t="s">
        <v>37</v>
      </c>
      <c r="D2108" s="2">
        <v>220</v>
      </c>
    </row>
    <row r="2109" spans="1:4">
      <c r="A2109" s="2" t="s">
        <v>227</v>
      </c>
      <c r="B2109" s="2" t="s">
        <v>39</v>
      </c>
      <c r="C2109" s="2" t="s">
        <v>37</v>
      </c>
      <c r="D2109" s="2">
        <v>220</v>
      </c>
    </row>
    <row r="2110" spans="1:4">
      <c r="A2110" s="2" t="s">
        <v>4254</v>
      </c>
      <c r="B2110" s="2" t="s">
        <v>39</v>
      </c>
      <c r="C2110" s="2" t="s">
        <v>37</v>
      </c>
      <c r="D2110" s="2">
        <v>219</v>
      </c>
    </row>
    <row r="2111" spans="1:4">
      <c r="A2111" s="2" t="s">
        <v>124</v>
      </c>
      <c r="B2111" s="2" t="s">
        <v>39</v>
      </c>
      <c r="C2111" s="2" t="s">
        <v>37</v>
      </c>
      <c r="D2111" s="2">
        <v>219</v>
      </c>
    </row>
    <row r="2112" spans="1:4">
      <c r="A2112" s="2" t="s">
        <v>3451</v>
      </c>
      <c r="B2112" s="2" t="s">
        <v>39</v>
      </c>
      <c r="C2112" s="2" t="s">
        <v>37</v>
      </c>
      <c r="D2112" s="2">
        <v>219</v>
      </c>
    </row>
    <row r="2113" spans="1:4">
      <c r="A2113" s="2" t="s">
        <v>1051</v>
      </c>
      <c r="B2113" s="2" t="s">
        <v>39</v>
      </c>
      <c r="C2113" s="2" t="s">
        <v>37</v>
      </c>
      <c r="D2113" s="2">
        <v>219</v>
      </c>
    </row>
    <row r="2114" spans="1:4">
      <c r="A2114" s="2" t="s">
        <v>121</v>
      </c>
      <c r="B2114" s="2" t="s">
        <v>39</v>
      </c>
      <c r="C2114" s="2" t="s">
        <v>37</v>
      </c>
      <c r="D2114" s="2">
        <v>218</v>
      </c>
    </row>
    <row r="2115" spans="1:4">
      <c r="A2115" s="2" t="s">
        <v>4546</v>
      </c>
      <c r="B2115" s="2" t="s">
        <v>39</v>
      </c>
      <c r="C2115" s="2" t="s">
        <v>37</v>
      </c>
      <c r="D2115" s="2">
        <v>218</v>
      </c>
    </row>
    <row r="2116" spans="1:4">
      <c r="A2116" s="2" t="s">
        <v>1045</v>
      </c>
      <c r="B2116" s="2" t="s">
        <v>39</v>
      </c>
      <c r="C2116" s="2" t="s">
        <v>37</v>
      </c>
      <c r="D2116" s="2">
        <v>216</v>
      </c>
    </row>
    <row r="2117" spans="1:4">
      <c r="A2117" s="2" t="s">
        <v>174</v>
      </c>
      <c r="B2117" s="2" t="s">
        <v>39</v>
      </c>
      <c r="C2117" s="2" t="s">
        <v>37</v>
      </c>
      <c r="D2117" s="2">
        <v>216</v>
      </c>
    </row>
    <row r="2118" spans="1:4">
      <c r="A2118" s="2" t="s">
        <v>3013</v>
      </c>
      <c r="B2118" s="2" t="s">
        <v>39</v>
      </c>
      <c r="C2118" s="2" t="s">
        <v>37</v>
      </c>
      <c r="D2118" s="2">
        <v>216</v>
      </c>
    </row>
    <row r="2119" spans="1:4">
      <c r="A2119" s="2" t="s">
        <v>1946</v>
      </c>
      <c r="B2119" s="2" t="s">
        <v>39</v>
      </c>
      <c r="C2119" s="2" t="s">
        <v>37</v>
      </c>
      <c r="D2119" s="2">
        <v>216</v>
      </c>
    </row>
    <row r="2120" spans="1:4">
      <c r="A2120" s="2" t="s">
        <v>288</v>
      </c>
      <c r="B2120" s="2" t="s">
        <v>39</v>
      </c>
      <c r="C2120" s="2" t="s">
        <v>37</v>
      </c>
      <c r="D2120" s="2">
        <v>215</v>
      </c>
    </row>
    <row r="2121" spans="1:4">
      <c r="A2121" s="2" t="s">
        <v>4556</v>
      </c>
      <c r="B2121" s="2" t="s">
        <v>39</v>
      </c>
      <c r="C2121" s="2" t="s">
        <v>37</v>
      </c>
      <c r="D2121" s="2">
        <v>215</v>
      </c>
    </row>
    <row r="2122" spans="1:4">
      <c r="A2122" s="2" t="s">
        <v>1858</v>
      </c>
      <c r="B2122" s="2" t="s">
        <v>39</v>
      </c>
      <c r="C2122" s="2" t="s">
        <v>37</v>
      </c>
      <c r="D2122" s="2">
        <v>215</v>
      </c>
    </row>
    <row r="2123" spans="1:4">
      <c r="A2123" s="2" t="s">
        <v>1063</v>
      </c>
      <c r="B2123" s="2" t="s">
        <v>39</v>
      </c>
      <c r="C2123" s="2" t="s">
        <v>37</v>
      </c>
      <c r="D2123" s="2">
        <v>215</v>
      </c>
    </row>
    <row r="2124" spans="1:4">
      <c r="A2124" s="2" t="s">
        <v>4570</v>
      </c>
      <c r="B2124" s="2" t="s">
        <v>39</v>
      </c>
      <c r="C2124" s="2" t="s">
        <v>37</v>
      </c>
      <c r="D2124" s="2">
        <v>215</v>
      </c>
    </row>
    <row r="2125" spans="1:4">
      <c r="A2125" s="2" t="s">
        <v>2507</v>
      </c>
      <c r="B2125" s="2" t="s">
        <v>39</v>
      </c>
      <c r="C2125" s="2" t="s">
        <v>37</v>
      </c>
      <c r="D2125" s="2">
        <v>214</v>
      </c>
    </row>
    <row r="2126" spans="1:4">
      <c r="A2126" s="2" t="s">
        <v>1867</v>
      </c>
      <c r="B2126" s="2" t="s">
        <v>39</v>
      </c>
      <c r="C2126" s="2" t="s">
        <v>37</v>
      </c>
      <c r="D2126" s="2">
        <v>213</v>
      </c>
    </row>
    <row r="2127" spans="1:4">
      <c r="A2127" s="2" t="s">
        <v>1043</v>
      </c>
      <c r="B2127" s="2" t="s">
        <v>39</v>
      </c>
      <c r="C2127" s="2" t="s">
        <v>37</v>
      </c>
      <c r="D2127" s="2">
        <v>212</v>
      </c>
    </row>
    <row r="2128" spans="1:4">
      <c r="A2128" s="2" t="s">
        <v>3007</v>
      </c>
      <c r="B2128" s="2" t="s">
        <v>39</v>
      </c>
      <c r="C2128" s="2" t="s">
        <v>37</v>
      </c>
      <c r="D2128" s="2">
        <v>212</v>
      </c>
    </row>
    <row r="2129" spans="1:4">
      <c r="A2129" s="2" t="s">
        <v>4506</v>
      </c>
      <c r="B2129" s="2" t="s">
        <v>39</v>
      </c>
      <c r="C2129" s="2" t="s">
        <v>37</v>
      </c>
      <c r="D2129" s="2">
        <v>212</v>
      </c>
    </row>
    <row r="2130" spans="1:4">
      <c r="A2130" s="2" t="s">
        <v>1906</v>
      </c>
      <c r="B2130" s="2" t="s">
        <v>39</v>
      </c>
      <c r="C2130" s="2" t="s">
        <v>37</v>
      </c>
      <c r="D2130" s="2">
        <v>211</v>
      </c>
    </row>
    <row r="2131" spans="1:4">
      <c r="A2131" s="2" t="s">
        <v>934</v>
      </c>
      <c r="B2131" s="2" t="s">
        <v>39</v>
      </c>
      <c r="C2131" s="2" t="s">
        <v>37</v>
      </c>
      <c r="D2131" s="2">
        <v>211</v>
      </c>
    </row>
    <row r="2132" spans="1:4">
      <c r="A2132" s="2" t="s">
        <v>3852</v>
      </c>
      <c r="B2132" s="2" t="s">
        <v>39</v>
      </c>
      <c r="C2132" s="2" t="s">
        <v>37</v>
      </c>
      <c r="D2132" s="2">
        <v>211</v>
      </c>
    </row>
    <row r="2133" spans="1:4">
      <c r="A2133" s="2" t="s">
        <v>1953</v>
      </c>
      <c r="B2133" s="2" t="s">
        <v>39</v>
      </c>
      <c r="C2133" s="2" t="s">
        <v>37</v>
      </c>
      <c r="D2133" s="2">
        <v>210</v>
      </c>
    </row>
    <row r="2134" spans="1:4">
      <c r="A2134" s="2" t="s">
        <v>1865</v>
      </c>
      <c r="B2134" s="2" t="s">
        <v>39</v>
      </c>
      <c r="C2134" s="2" t="s">
        <v>37</v>
      </c>
      <c r="D2134" s="2">
        <v>210</v>
      </c>
    </row>
    <row r="2135" spans="1:4">
      <c r="A2135" s="2" t="s">
        <v>1074</v>
      </c>
      <c r="B2135" s="2" t="s">
        <v>39</v>
      </c>
      <c r="C2135" s="2" t="s">
        <v>37</v>
      </c>
      <c r="D2135" s="2">
        <v>209</v>
      </c>
    </row>
    <row r="2136" spans="1:4">
      <c r="A2136" s="2" t="s">
        <v>1598</v>
      </c>
      <c r="B2136" s="2" t="s">
        <v>39</v>
      </c>
      <c r="C2136" s="2" t="s">
        <v>37</v>
      </c>
      <c r="D2136" s="2">
        <v>209</v>
      </c>
    </row>
    <row r="2137" spans="1:4">
      <c r="A2137" s="2" t="s">
        <v>1027</v>
      </c>
      <c r="B2137" s="2" t="s">
        <v>39</v>
      </c>
      <c r="C2137" s="2" t="s">
        <v>37</v>
      </c>
      <c r="D2137" s="2">
        <v>209</v>
      </c>
    </row>
    <row r="2138" spans="1:4">
      <c r="A2138" s="2" t="s">
        <v>3467</v>
      </c>
      <c r="B2138" s="2" t="s">
        <v>39</v>
      </c>
      <c r="C2138" s="2" t="s">
        <v>37</v>
      </c>
      <c r="D2138" s="2">
        <v>209</v>
      </c>
    </row>
    <row r="2139" spans="1:4">
      <c r="A2139" s="2" t="s">
        <v>4566</v>
      </c>
      <c r="B2139" s="2" t="s">
        <v>39</v>
      </c>
      <c r="C2139" s="2" t="s">
        <v>37</v>
      </c>
      <c r="D2139" s="2">
        <v>209</v>
      </c>
    </row>
    <row r="2140" spans="1:4">
      <c r="A2140" s="2" t="s">
        <v>1922</v>
      </c>
      <c r="B2140" s="2" t="s">
        <v>39</v>
      </c>
      <c r="C2140" s="2" t="s">
        <v>37</v>
      </c>
      <c r="D2140" s="2">
        <v>207</v>
      </c>
    </row>
    <row r="2141" spans="1:4">
      <c r="A2141" s="2" t="s">
        <v>1581</v>
      </c>
      <c r="B2141" s="2" t="s">
        <v>39</v>
      </c>
      <c r="C2141" s="2" t="s">
        <v>37</v>
      </c>
      <c r="D2141" s="2">
        <v>206</v>
      </c>
    </row>
    <row r="2142" spans="1:4">
      <c r="A2142" s="2" t="s">
        <v>2964</v>
      </c>
      <c r="B2142" s="2" t="s">
        <v>39</v>
      </c>
      <c r="C2142" s="2" t="s">
        <v>37</v>
      </c>
      <c r="D2142" s="2">
        <v>205</v>
      </c>
    </row>
    <row r="2143" spans="1:4">
      <c r="A2143" s="2" t="s">
        <v>4538</v>
      </c>
      <c r="B2143" s="2" t="s">
        <v>39</v>
      </c>
      <c r="C2143" s="2" t="s">
        <v>37</v>
      </c>
      <c r="D2143" s="2">
        <v>204</v>
      </c>
    </row>
    <row r="2144" spans="1:4">
      <c r="A2144" s="2" t="s">
        <v>1874</v>
      </c>
      <c r="B2144" s="2" t="s">
        <v>39</v>
      </c>
      <c r="C2144" s="2" t="s">
        <v>37</v>
      </c>
      <c r="D2144" s="2">
        <v>204</v>
      </c>
    </row>
    <row r="2145" spans="1:4">
      <c r="A2145" s="2" t="s">
        <v>4508</v>
      </c>
      <c r="B2145" s="2" t="s">
        <v>39</v>
      </c>
      <c r="C2145" s="2" t="s">
        <v>37</v>
      </c>
      <c r="D2145" s="2">
        <v>203</v>
      </c>
    </row>
    <row r="2146" spans="1:4">
      <c r="A2146" s="2" t="s">
        <v>2999</v>
      </c>
      <c r="B2146" s="2" t="s">
        <v>39</v>
      </c>
      <c r="C2146" s="2" t="s">
        <v>37</v>
      </c>
      <c r="D2146" s="2">
        <v>203</v>
      </c>
    </row>
    <row r="2147" spans="1:4">
      <c r="A2147" s="2" t="s">
        <v>973</v>
      </c>
      <c r="B2147" s="2" t="s">
        <v>39</v>
      </c>
      <c r="C2147" s="2" t="s">
        <v>37</v>
      </c>
      <c r="D2147" s="2">
        <v>202</v>
      </c>
    </row>
    <row r="2148" spans="1:4">
      <c r="A2148" s="2" t="s">
        <v>1015</v>
      </c>
      <c r="B2148" s="2" t="s">
        <v>39</v>
      </c>
      <c r="C2148" s="2" t="s">
        <v>37</v>
      </c>
      <c r="D2148" s="2">
        <v>201</v>
      </c>
    </row>
    <row r="2149" spans="1:4">
      <c r="A2149" s="2" t="s">
        <v>2973</v>
      </c>
      <c r="B2149" s="2" t="s">
        <v>39</v>
      </c>
      <c r="C2149" s="2" t="s">
        <v>37</v>
      </c>
      <c r="D2149" s="2">
        <v>201</v>
      </c>
    </row>
    <row r="2150" spans="1:4">
      <c r="A2150" s="2" t="s">
        <v>1002</v>
      </c>
      <c r="B2150" s="2" t="s">
        <v>39</v>
      </c>
      <c r="C2150" s="2" t="s">
        <v>37</v>
      </c>
      <c r="D2150" s="2">
        <v>201</v>
      </c>
    </row>
    <row r="2151" spans="1:4">
      <c r="A2151" s="2" t="s">
        <v>984</v>
      </c>
      <c r="B2151" s="2" t="s">
        <v>39</v>
      </c>
      <c r="C2151" s="2" t="s">
        <v>37</v>
      </c>
      <c r="D2151" s="2">
        <v>200</v>
      </c>
    </row>
    <row r="2152" spans="1:4">
      <c r="A2152" s="2" t="s">
        <v>1611</v>
      </c>
      <c r="B2152" s="2" t="s">
        <v>39</v>
      </c>
      <c r="C2152" s="2" t="s">
        <v>37</v>
      </c>
      <c r="D2152" s="2">
        <v>200</v>
      </c>
    </row>
    <row r="2153" spans="1:4">
      <c r="A2153" s="2" t="s">
        <v>3431</v>
      </c>
      <c r="B2153" s="2" t="s">
        <v>39</v>
      </c>
      <c r="C2153" s="2" t="s">
        <v>37</v>
      </c>
      <c r="D2153" s="2">
        <v>200</v>
      </c>
    </row>
    <row r="2154" spans="1:4">
      <c r="A2154" s="2" t="s">
        <v>1898</v>
      </c>
      <c r="B2154" s="2" t="s">
        <v>39</v>
      </c>
      <c r="C2154" s="2" t="s">
        <v>37</v>
      </c>
      <c r="D2154" s="2">
        <v>199</v>
      </c>
    </row>
    <row r="2155" spans="1:4">
      <c r="A2155" s="2" t="s">
        <v>4246</v>
      </c>
      <c r="B2155" s="2" t="s">
        <v>39</v>
      </c>
      <c r="C2155" s="2" t="s">
        <v>37</v>
      </c>
      <c r="D2155" s="2">
        <v>199</v>
      </c>
    </row>
    <row r="2156" spans="1:4">
      <c r="A2156" s="2" t="s">
        <v>2460</v>
      </c>
      <c r="B2156" s="2" t="s">
        <v>39</v>
      </c>
      <c r="C2156" s="2" t="s">
        <v>37</v>
      </c>
      <c r="D2156" s="2">
        <v>199</v>
      </c>
    </row>
    <row r="2157" spans="1:4">
      <c r="A2157" s="2" t="s">
        <v>2388</v>
      </c>
      <c r="B2157" s="2" t="s">
        <v>39</v>
      </c>
      <c r="C2157" s="2" t="s">
        <v>37</v>
      </c>
      <c r="D2157" s="2">
        <v>199</v>
      </c>
    </row>
    <row r="2158" spans="1:4">
      <c r="A2158" s="2" t="s">
        <v>3848</v>
      </c>
      <c r="B2158" s="2" t="s">
        <v>39</v>
      </c>
      <c r="C2158" s="2" t="s">
        <v>37</v>
      </c>
      <c r="D2158" s="2">
        <v>198</v>
      </c>
    </row>
    <row r="2159" spans="1:4">
      <c r="A2159" s="2" t="s">
        <v>79</v>
      </c>
      <c r="B2159" s="2" t="s">
        <v>39</v>
      </c>
      <c r="C2159" s="2" t="s">
        <v>37</v>
      </c>
      <c r="D2159" s="2">
        <v>198</v>
      </c>
    </row>
    <row r="2160" spans="1:4">
      <c r="A2160" s="2" t="s">
        <v>3433</v>
      </c>
      <c r="B2160" s="2" t="s">
        <v>39</v>
      </c>
      <c r="C2160" s="2" t="s">
        <v>37</v>
      </c>
      <c r="D2160" s="2">
        <v>198</v>
      </c>
    </row>
    <row r="2161" spans="1:4">
      <c r="A2161" s="2" t="s">
        <v>3416</v>
      </c>
      <c r="B2161" s="2" t="s">
        <v>39</v>
      </c>
      <c r="C2161" s="2" t="s">
        <v>37</v>
      </c>
      <c r="D2161" s="2">
        <v>198</v>
      </c>
    </row>
    <row r="2162" spans="1:4">
      <c r="A2162" s="2" t="s">
        <v>2427</v>
      </c>
      <c r="B2162" s="2" t="s">
        <v>39</v>
      </c>
      <c r="C2162" s="2" t="s">
        <v>37</v>
      </c>
      <c r="D2162" s="2">
        <v>198</v>
      </c>
    </row>
    <row r="2163" spans="1:4">
      <c r="A2163" s="2" t="s">
        <v>3015</v>
      </c>
      <c r="B2163" s="2" t="s">
        <v>39</v>
      </c>
      <c r="C2163" s="2" t="s">
        <v>37</v>
      </c>
      <c r="D2163" s="2">
        <v>198</v>
      </c>
    </row>
    <row r="2164" spans="1:4">
      <c r="A2164" s="2" t="s">
        <v>1025</v>
      </c>
      <c r="B2164" s="2" t="s">
        <v>39</v>
      </c>
      <c r="C2164" s="2" t="s">
        <v>37</v>
      </c>
      <c r="D2164" s="2">
        <v>197</v>
      </c>
    </row>
    <row r="2165" spans="1:4">
      <c r="A2165" s="2" t="s">
        <v>1940</v>
      </c>
      <c r="B2165" s="2" t="s">
        <v>39</v>
      </c>
      <c r="C2165" s="2" t="s">
        <v>37</v>
      </c>
      <c r="D2165" s="2">
        <v>197</v>
      </c>
    </row>
    <row r="2166" spans="1:4">
      <c r="A2166" s="2" t="s">
        <v>3868</v>
      </c>
      <c r="B2166" s="2" t="s">
        <v>39</v>
      </c>
      <c r="C2166" s="2" t="s">
        <v>37</v>
      </c>
      <c r="D2166" s="2">
        <v>196</v>
      </c>
    </row>
    <row r="2167" spans="1:4">
      <c r="A2167" s="2" t="s">
        <v>1861</v>
      </c>
      <c r="B2167" s="2" t="s">
        <v>39</v>
      </c>
      <c r="C2167" s="2" t="s">
        <v>37</v>
      </c>
      <c r="D2167" s="2">
        <v>196</v>
      </c>
    </row>
    <row r="2168" spans="1:4">
      <c r="A2168" s="2" t="s">
        <v>1039</v>
      </c>
      <c r="B2168" s="2" t="s">
        <v>39</v>
      </c>
      <c r="C2168" s="2" t="s">
        <v>37</v>
      </c>
      <c r="D2168" s="2">
        <v>196</v>
      </c>
    </row>
    <row r="2169" spans="1:4">
      <c r="A2169" s="2" t="s">
        <v>176</v>
      </c>
      <c r="B2169" s="2" t="s">
        <v>39</v>
      </c>
      <c r="C2169" s="2" t="s">
        <v>37</v>
      </c>
      <c r="D2169" s="2">
        <v>194</v>
      </c>
    </row>
    <row r="2170" spans="1:4">
      <c r="A2170" s="2" t="s">
        <v>248</v>
      </c>
      <c r="B2170" s="2" t="s">
        <v>39</v>
      </c>
      <c r="C2170" s="2" t="s">
        <v>37</v>
      </c>
      <c r="D2170" s="2">
        <v>194</v>
      </c>
    </row>
    <row r="2171" spans="1:4">
      <c r="A2171" s="2" t="s">
        <v>1021</v>
      </c>
      <c r="B2171" s="2" t="s">
        <v>39</v>
      </c>
      <c r="C2171" s="2" t="s">
        <v>37</v>
      </c>
      <c r="D2171" s="2">
        <v>193</v>
      </c>
    </row>
    <row r="2172" spans="1:4">
      <c r="A2172" s="2" t="s">
        <v>2441</v>
      </c>
      <c r="B2172" s="2" t="s">
        <v>39</v>
      </c>
      <c r="C2172" s="2" t="s">
        <v>37</v>
      </c>
      <c r="D2172" s="2">
        <v>192</v>
      </c>
    </row>
    <row r="2173" spans="1:4">
      <c r="A2173" s="2" t="s">
        <v>1067</v>
      </c>
      <c r="B2173" s="2" t="s">
        <v>39</v>
      </c>
      <c r="C2173" s="2" t="s">
        <v>37</v>
      </c>
      <c r="D2173" s="2">
        <v>192</v>
      </c>
    </row>
    <row r="2174" spans="1:4">
      <c r="A2174" s="2" t="s">
        <v>2448</v>
      </c>
      <c r="B2174" s="2" t="s">
        <v>39</v>
      </c>
      <c r="C2174" s="2" t="s">
        <v>37</v>
      </c>
      <c r="D2174" s="2">
        <v>192</v>
      </c>
    </row>
    <row r="2175" spans="1:4">
      <c r="A2175" s="2" t="s">
        <v>231</v>
      </c>
      <c r="B2175" s="2" t="s">
        <v>39</v>
      </c>
      <c r="C2175" s="2" t="s">
        <v>37</v>
      </c>
      <c r="D2175" s="2">
        <v>191</v>
      </c>
    </row>
    <row r="2176" spans="1:4">
      <c r="A2176" s="2" t="s">
        <v>1088</v>
      </c>
      <c r="B2176" s="2" t="s">
        <v>39</v>
      </c>
      <c r="C2176" s="2" t="s">
        <v>37</v>
      </c>
      <c r="D2176" s="2">
        <v>191</v>
      </c>
    </row>
    <row r="2177" spans="1:4">
      <c r="A2177" s="2" t="s">
        <v>4481</v>
      </c>
      <c r="B2177" s="2" t="s">
        <v>39</v>
      </c>
      <c r="C2177" s="2" t="s">
        <v>37</v>
      </c>
      <c r="D2177" s="2">
        <v>188</v>
      </c>
    </row>
    <row r="2178" spans="1:4">
      <c r="A2178" s="2" t="s">
        <v>963</v>
      </c>
      <c r="B2178" s="2" t="s">
        <v>39</v>
      </c>
      <c r="C2178" s="2" t="s">
        <v>37</v>
      </c>
      <c r="D2178" s="2">
        <v>187</v>
      </c>
    </row>
    <row r="2179" spans="1:4">
      <c r="A2179" s="2" t="s">
        <v>4264</v>
      </c>
      <c r="B2179" s="2" t="s">
        <v>39</v>
      </c>
      <c r="C2179" s="2" t="s">
        <v>37</v>
      </c>
      <c r="D2179" s="2">
        <v>187</v>
      </c>
    </row>
    <row r="2180" spans="1:4">
      <c r="A2180" s="2" t="s">
        <v>2398</v>
      </c>
      <c r="B2180" s="2" t="s">
        <v>39</v>
      </c>
      <c r="C2180" s="2" t="s">
        <v>37</v>
      </c>
      <c r="D2180" s="2">
        <v>186</v>
      </c>
    </row>
    <row r="2181" spans="1:4">
      <c r="A2181" s="2" t="s">
        <v>1055</v>
      </c>
      <c r="B2181" s="2" t="s">
        <v>39</v>
      </c>
      <c r="C2181" s="2" t="s">
        <v>37</v>
      </c>
      <c r="D2181" s="2">
        <v>185</v>
      </c>
    </row>
    <row r="2182" spans="1:4">
      <c r="A2182" s="2" t="s">
        <v>164</v>
      </c>
      <c r="B2182" s="2" t="s">
        <v>39</v>
      </c>
      <c r="C2182" s="2" t="s">
        <v>37</v>
      </c>
      <c r="D2182" s="2">
        <v>184</v>
      </c>
    </row>
    <row r="2183" spans="1:4">
      <c r="A2183" s="2" t="s">
        <v>4252</v>
      </c>
      <c r="B2183" s="2" t="s">
        <v>39</v>
      </c>
      <c r="C2183" s="2" t="s">
        <v>37</v>
      </c>
      <c r="D2183" s="2">
        <v>184</v>
      </c>
    </row>
    <row r="2184" spans="1:4">
      <c r="A2184" s="2" t="s">
        <v>269</v>
      </c>
      <c r="B2184" s="2" t="s">
        <v>39</v>
      </c>
      <c r="C2184" s="2" t="s">
        <v>37</v>
      </c>
      <c r="D2184" s="2">
        <v>184</v>
      </c>
    </row>
    <row r="2185" spans="1:4">
      <c r="A2185" s="2" t="s">
        <v>143</v>
      </c>
      <c r="B2185" s="2" t="s">
        <v>39</v>
      </c>
      <c r="C2185" s="2" t="s">
        <v>37</v>
      </c>
      <c r="D2185" s="2">
        <v>184</v>
      </c>
    </row>
    <row r="2186" spans="1:4">
      <c r="A2186" s="2" t="s">
        <v>4554</v>
      </c>
      <c r="B2186" s="2" t="s">
        <v>39</v>
      </c>
      <c r="C2186" s="2" t="s">
        <v>37</v>
      </c>
      <c r="D2186" s="2">
        <v>183</v>
      </c>
    </row>
    <row r="2187" spans="1:4">
      <c r="A2187" s="2" t="s">
        <v>258</v>
      </c>
      <c r="B2187" s="2" t="s">
        <v>39</v>
      </c>
      <c r="C2187" s="2" t="s">
        <v>37</v>
      </c>
      <c r="D2187" s="2">
        <v>183</v>
      </c>
    </row>
    <row r="2188" spans="1:4">
      <c r="A2188" s="2" t="s">
        <v>998</v>
      </c>
      <c r="B2188" s="2" t="s">
        <v>39</v>
      </c>
      <c r="C2188" s="2" t="s">
        <v>37</v>
      </c>
      <c r="D2188" s="2">
        <v>182</v>
      </c>
    </row>
    <row r="2189" spans="1:4">
      <c r="A2189" s="2" t="s">
        <v>4485</v>
      </c>
      <c r="B2189" s="2" t="s">
        <v>39</v>
      </c>
      <c r="C2189" s="2" t="s">
        <v>37</v>
      </c>
      <c r="D2189" s="2">
        <v>182</v>
      </c>
    </row>
    <row r="2190" spans="1:4">
      <c r="A2190" s="2" t="s">
        <v>986</v>
      </c>
      <c r="B2190" s="2" t="s">
        <v>39</v>
      </c>
      <c r="C2190" s="2" t="s">
        <v>37</v>
      </c>
      <c r="D2190" s="2">
        <v>179</v>
      </c>
    </row>
    <row r="2191" spans="1:4">
      <c r="A2191" s="2" t="s">
        <v>1108</v>
      </c>
      <c r="B2191" s="2" t="s">
        <v>39</v>
      </c>
      <c r="C2191" s="2" t="s">
        <v>37</v>
      </c>
      <c r="D2191" s="2">
        <v>177</v>
      </c>
    </row>
    <row r="2192" spans="1:4">
      <c r="A2192" s="2" t="s">
        <v>3793</v>
      </c>
      <c r="B2192" s="2" t="s">
        <v>39</v>
      </c>
      <c r="C2192" s="2" t="s">
        <v>37</v>
      </c>
      <c r="D2192" s="2">
        <v>176</v>
      </c>
    </row>
    <row r="2193" spans="1:4">
      <c r="A2193" s="2" t="s">
        <v>4492</v>
      </c>
      <c r="B2193" s="2" t="s">
        <v>39</v>
      </c>
      <c r="C2193" s="2" t="s">
        <v>37</v>
      </c>
      <c r="D2193" s="2">
        <v>175</v>
      </c>
    </row>
    <row r="2194" spans="1:4">
      <c r="A2194" s="2" t="s">
        <v>235</v>
      </c>
      <c r="B2194" s="2" t="s">
        <v>39</v>
      </c>
      <c r="C2194" s="2" t="s">
        <v>37</v>
      </c>
      <c r="D2194" s="2">
        <v>175</v>
      </c>
    </row>
    <row r="2195" spans="1:4">
      <c r="A2195" s="2" t="s">
        <v>3840</v>
      </c>
      <c r="B2195" s="2" t="s">
        <v>39</v>
      </c>
      <c r="C2195" s="2" t="s">
        <v>37</v>
      </c>
      <c r="D2195" s="2">
        <v>174</v>
      </c>
    </row>
    <row r="2196" spans="1:4">
      <c r="A2196" s="2" t="s">
        <v>2484</v>
      </c>
      <c r="B2196" s="2" t="s">
        <v>39</v>
      </c>
      <c r="C2196" s="2" t="s">
        <v>37</v>
      </c>
      <c r="D2196" s="2">
        <v>174</v>
      </c>
    </row>
    <row r="2197" spans="1:4">
      <c r="A2197" s="2" t="s">
        <v>290</v>
      </c>
      <c r="B2197" s="2" t="s">
        <v>39</v>
      </c>
      <c r="C2197" s="2" t="s">
        <v>37</v>
      </c>
      <c r="D2197" s="2">
        <v>173</v>
      </c>
    </row>
    <row r="2198" spans="1:4">
      <c r="A2198" s="2" t="s">
        <v>1619</v>
      </c>
      <c r="B2198" s="2" t="s">
        <v>39</v>
      </c>
      <c r="C2198" s="2" t="s">
        <v>37</v>
      </c>
      <c r="D2198" s="2">
        <v>173</v>
      </c>
    </row>
    <row r="2199" spans="1:4">
      <c r="A2199" s="2" t="s">
        <v>169</v>
      </c>
      <c r="B2199" s="2" t="s">
        <v>39</v>
      </c>
      <c r="C2199" s="2" t="s">
        <v>37</v>
      </c>
      <c r="D2199" s="2">
        <v>172</v>
      </c>
    </row>
    <row r="2200" spans="1:4">
      <c r="A2200" s="2" t="s">
        <v>4532</v>
      </c>
      <c r="B2200" s="2" t="s">
        <v>39</v>
      </c>
      <c r="C2200" s="2" t="s">
        <v>37</v>
      </c>
      <c r="D2200" s="2">
        <v>172</v>
      </c>
    </row>
    <row r="2201" spans="1:4">
      <c r="A2201" s="2" t="s">
        <v>954</v>
      </c>
      <c r="B2201" s="2" t="s">
        <v>39</v>
      </c>
      <c r="C2201" s="2" t="s">
        <v>37</v>
      </c>
      <c r="D2201" s="2">
        <v>172</v>
      </c>
    </row>
    <row r="2202" spans="1:4">
      <c r="A2202" s="10" t="s">
        <v>2438</v>
      </c>
      <c r="B2202" s="2" t="s">
        <v>39</v>
      </c>
      <c r="C2202" s="2" t="s">
        <v>37</v>
      </c>
      <c r="D2202" s="2">
        <v>172</v>
      </c>
    </row>
    <row r="2203" spans="1:4">
      <c r="A2203" s="2" t="s">
        <v>1591</v>
      </c>
      <c r="B2203" s="2" t="s">
        <v>39</v>
      </c>
      <c r="C2203" s="2" t="s">
        <v>37</v>
      </c>
      <c r="D2203" s="2">
        <v>171</v>
      </c>
    </row>
    <row r="2204" spans="1:4">
      <c r="A2204" s="2" t="s">
        <v>4530</v>
      </c>
      <c r="B2204" s="2" t="s">
        <v>39</v>
      </c>
      <c r="C2204" s="2" t="s">
        <v>37</v>
      </c>
      <c r="D2204" s="2">
        <v>169</v>
      </c>
    </row>
    <row r="2205" spans="1:4">
      <c r="A2205" s="2" t="s">
        <v>76</v>
      </c>
      <c r="B2205" s="2" t="s">
        <v>39</v>
      </c>
      <c r="C2205" s="2" t="s">
        <v>37</v>
      </c>
      <c r="D2205" s="2">
        <v>169</v>
      </c>
    </row>
    <row r="2206" spans="1:4">
      <c r="A2206" s="2" t="s">
        <v>103</v>
      </c>
      <c r="B2206" s="2" t="s">
        <v>39</v>
      </c>
      <c r="C2206" s="2" t="s">
        <v>37</v>
      </c>
      <c r="D2206" s="2">
        <v>169</v>
      </c>
    </row>
    <row r="2207" spans="1:4">
      <c r="A2207" s="2" t="s">
        <v>3858</v>
      </c>
      <c r="B2207" s="2" t="s">
        <v>39</v>
      </c>
      <c r="C2207" s="2" t="s">
        <v>37</v>
      </c>
      <c r="D2207" s="2">
        <v>169</v>
      </c>
    </row>
    <row r="2208" spans="1:4">
      <c r="A2208" s="2" t="s">
        <v>1080</v>
      </c>
      <c r="B2208" s="2" t="s">
        <v>39</v>
      </c>
      <c r="C2208" s="2" t="s">
        <v>37</v>
      </c>
      <c r="D2208" s="2">
        <v>168</v>
      </c>
    </row>
    <row r="2209" spans="1:4">
      <c r="A2209" s="2" t="s">
        <v>1086</v>
      </c>
      <c r="B2209" s="2" t="s">
        <v>39</v>
      </c>
      <c r="C2209" s="2" t="s">
        <v>37</v>
      </c>
      <c r="D2209" s="2">
        <v>168</v>
      </c>
    </row>
    <row r="2210" spans="1:4">
      <c r="A2210" s="2" t="s">
        <v>1926</v>
      </c>
      <c r="B2210" s="2" t="s">
        <v>39</v>
      </c>
      <c r="C2210" s="2" t="s">
        <v>37</v>
      </c>
      <c r="D2210" s="2">
        <v>168</v>
      </c>
    </row>
    <row r="2211" spans="1:4">
      <c r="A2211" s="2" t="s">
        <v>1936</v>
      </c>
      <c r="B2211" s="2" t="s">
        <v>39</v>
      </c>
      <c r="C2211" s="2" t="s">
        <v>37</v>
      </c>
      <c r="D2211" s="2">
        <v>168</v>
      </c>
    </row>
    <row r="2212" spans="1:4">
      <c r="A2212" s="2" t="s">
        <v>3832</v>
      </c>
      <c r="B2212" s="2" t="s">
        <v>39</v>
      </c>
      <c r="C2212" s="2" t="s">
        <v>37</v>
      </c>
      <c r="D2212" s="2">
        <v>168</v>
      </c>
    </row>
    <row r="2213" spans="1:4">
      <c r="A2213" s="2" t="s">
        <v>136</v>
      </c>
      <c r="B2213" s="2" t="s">
        <v>39</v>
      </c>
      <c r="C2213" s="2" t="s">
        <v>37</v>
      </c>
      <c r="D2213" s="2">
        <v>167</v>
      </c>
    </row>
    <row r="2214" spans="1:4">
      <c r="A2214" s="2" t="s">
        <v>1880</v>
      </c>
      <c r="B2214" s="2" t="s">
        <v>39</v>
      </c>
      <c r="C2214" s="2" t="s">
        <v>37</v>
      </c>
      <c r="D2214" s="2">
        <v>167</v>
      </c>
    </row>
    <row r="2215" spans="1:4">
      <c r="A2215" s="2" t="s">
        <v>2408</v>
      </c>
      <c r="B2215" s="2" t="s">
        <v>39</v>
      </c>
      <c r="C2215" s="2" t="s">
        <v>37</v>
      </c>
      <c r="D2215" s="2">
        <v>167</v>
      </c>
    </row>
    <row r="2216" spans="1:4">
      <c r="A2216" s="2" t="s">
        <v>237</v>
      </c>
      <c r="B2216" s="2" t="s">
        <v>39</v>
      </c>
      <c r="C2216" s="2" t="s">
        <v>37</v>
      </c>
      <c r="D2216" s="2">
        <v>167</v>
      </c>
    </row>
    <row r="2217" spans="1:4">
      <c r="A2217" s="2" t="s">
        <v>4534</v>
      </c>
      <c r="B2217" s="2" t="s">
        <v>39</v>
      </c>
      <c r="C2217" s="2" t="s">
        <v>37</v>
      </c>
      <c r="D2217" s="2">
        <v>165</v>
      </c>
    </row>
    <row r="2218" spans="1:4">
      <c r="A2218" s="2" t="s">
        <v>2997</v>
      </c>
      <c r="B2218" s="2" t="s">
        <v>39</v>
      </c>
      <c r="C2218" s="2" t="s">
        <v>37</v>
      </c>
      <c r="D2218" s="2">
        <v>165</v>
      </c>
    </row>
    <row r="2219" spans="1:4">
      <c r="A2219" s="2" t="s">
        <v>2978</v>
      </c>
      <c r="B2219" s="2" t="s">
        <v>39</v>
      </c>
      <c r="C2219" s="2" t="s">
        <v>37</v>
      </c>
      <c r="D2219" s="2">
        <v>165</v>
      </c>
    </row>
    <row r="2220" spans="1:4">
      <c r="A2220" s="2" t="s">
        <v>4560</v>
      </c>
      <c r="B2220" s="2" t="s">
        <v>39</v>
      </c>
      <c r="C2220" s="2" t="s">
        <v>37</v>
      </c>
      <c r="D2220" s="2">
        <v>165</v>
      </c>
    </row>
    <row r="2221" spans="1:4">
      <c r="A2221" s="2" t="s">
        <v>4237</v>
      </c>
      <c r="B2221" s="2" t="s">
        <v>39</v>
      </c>
      <c r="C2221" s="2" t="s">
        <v>37</v>
      </c>
      <c r="D2221" s="2">
        <v>165</v>
      </c>
    </row>
    <row r="2222" spans="1:4">
      <c r="A2222" s="2" t="s">
        <v>4258</v>
      </c>
      <c r="B2222" s="2" t="s">
        <v>39</v>
      </c>
      <c r="C2222" s="2" t="s">
        <v>37</v>
      </c>
      <c r="D2222" s="2">
        <v>164</v>
      </c>
    </row>
    <row r="2223" spans="1:4">
      <c r="A2223" s="2" t="s">
        <v>3455</v>
      </c>
      <c r="B2223" s="2" t="s">
        <v>39</v>
      </c>
      <c r="C2223" s="2" t="s">
        <v>37</v>
      </c>
      <c r="D2223" s="2">
        <v>163</v>
      </c>
    </row>
    <row r="2224" spans="1:4">
      <c r="A2224" s="2" t="s">
        <v>2967</v>
      </c>
      <c r="B2224" s="2" t="s">
        <v>39</v>
      </c>
      <c r="C2224" s="2" t="s">
        <v>37</v>
      </c>
      <c r="D2224" s="2">
        <v>163</v>
      </c>
    </row>
    <row r="2225" spans="1:4">
      <c r="A2225" s="2" t="s">
        <v>1605</v>
      </c>
      <c r="B2225" s="2" t="s">
        <v>39</v>
      </c>
      <c r="C2225" s="2" t="s">
        <v>37</v>
      </c>
      <c r="D2225" s="2">
        <v>162</v>
      </c>
    </row>
    <row r="2226" spans="1:4">
      <c r="A2226" s="2" t="s">
        <v>181</v>
      </c>
      <c r="B2226" s="2" t="s">
        <v>39</v>
      </c>
      <c r="C2226" s="2" t="s">
        <v>37</v>
      </c>
      <c r="D2226" s="2">
        <v>161</v>
      </c>
    </row>
    <row r="2227" spans="1:4">
      <c r="A2227" s="2" t="s">
        <v>1017</v>
      </c>
      <c r="B2227" s="2" t="s">
        <v>39</v>
      </c>
      <c r="C2227" s="2" t="s">
        <v>37</v>
      </c>
      <c r="D2227" s="2">
        <v>160</v>
      </c>
    </row>
    <row r="2228" spans="1:4">
      <c r="A2228" s="2" t="s">
        <v>1904</v>
      </c>
      <c r="B2228" s="2" t="s">
        <v>39</v>
      </c>
      <c r="C2228" s="2" t="s">
        <v>37</v>
      </c>
      <c r="D2228" s="2">
        <v>159</v>
      </c>
    </row>
    <row r="2229" spans="1:4">
      <c r="A2229" s="2" t="s">
        <v>252</v>
      </c>
      <c r="B2229" s="2" t="s">
        <v>39</v>
      </c>
      <c r="C2229" s="2" t="s">
        <v>37</v>
      </c>
      <c r="D2229" s="2">
        <v>159</v>
      </c>
    </row>
    <row r="2230" spans="1:4">
      <c r="A2230" s="2" t="s">
        <v>994</v>
      </c>
      <c r="B2230" s="2" t="s">
        <v>39</v>
      </c>
      <c r="C2230" s="2" t="s">
        <v>37</v>
      </c>
      <c r="D2230" s="2">
        <v>158</v>
      </c>
    </row>
    <row r="2231" spans="1:4">
      <c r="A2231" s="2" t="s">
        <v>183</v>
      </c>
      <c r="B2231" s="2" t="s">
        <v>39</v>
      </c>
      <c r="C2231" s="2" t="s">
        <v>37</v>
      </c>
      <c r="D2231" s="2">
        <v>158</v>
      </c>
    </row>
    <row r="2232" spans="1:4">
      <c r="A2232" s="2" t="s">
        <v>2993</v>
      </c>
      <c r="B2232" s="2" t="s">
        <v>39</v>
      </c>
      <c r="C2232" s="2" t="s">
        <v>37</v>
      </c>
      <c r="D2232" s="2">
        <v>157</v>
      </c>
    </row>
    <row r="2233" spans="1:4">
      <c r="A2233" s="2" t="s">
        <v>3830</v>
      </c>
      <c r="B2233" s="2" t="s">
        <v>39</v>
      </c>
      <c r="C2233" s="2" t="s">
        <v>37</v>
      </c>
      <c r="D2233" s="2">
        <v>157</v>
      </c>
    </row>
    <row r="2234" spans="1:4">
      <c r="A2234" s="2" t="s">
        <v>977</v>
      </c>
      <c r="B2234" s="2" t="s">
        <v>39</v>
      </c>
      <c r="C2234" s="2" t="s">
        <v>37</v>
      </c>
      <c r="D2234" s="2">
        <v>156</v>
      </c>
    </row>
    <row r="2235" spans="1:4">
      <c r="A2235" s="2" t="s">
        <v>1607</v>
      </c>
      <c r="B2235" s="2" t="s">
        <v>39</v>
      </c>
      <c r="C2235" s="2" t="s">
        <v>37</v>
      </c>
      <c r="D2235" s="2">
        <v>156</v>
      </c>
    </row>
    <row r="2236" spans="1:4">
      <c r="A2236" s="2" t="s">
        <v>937</v>
      </c>
      <c r="B2236" s="2" t="s">
        <v>39</v>
      </c>
      <c r="C2236" s="2" t="s">
        <v>37</v>
      </c>
      <c r="D2236" s="2">
        <v>155</v>
      </c>
    </row>
    <row r="2237" spans="1:4">
      <c r="A2237" s="2" t="s">
        <v>1914</v>
      </c>
      <c r="B2237" s="2" t="s">
        <v>39</v>
      </c>
      <c r="C2237" s="2" t="s">
        <v>37</v>
      </c>
      <c r="D2237" s="2">
        <v>155</v>
      </c>
    </row>
    <row r="2238" spans="1:4">
      <c r="A2238" s="2" t="s">
        <v>3801</v>
      </c>
      <c r="B2238" s="2" t="s">
        <v>39</v>
      </c>
      <c r="C2238" s="2" t="s">
        <v>37</v>
      </c>
      <c r="D2238" s="2">
        <v>154</v>
      </c>
    </row>
    <row r="2239" spans="1:4">
      <c r="A2239" s="2" t="s">
        <v>3463</v>
      </c>
      <c r="B2239" s="2" t="s">
        <v>39</v>
      </c>
      <c r="C2239" s="2" t="s">
        <v>37</v>
      </c>
      <c r="D2239" s="2">
        <v>154</v>
      </c>
    </row>
    <row r="2240" spans="1:4">
      <c r="A2240" s="2" t="s">
        <v>1834</v>
      </c>
      <c r="B2240" s="2" t="s">
        <v>39</v>
      </c>
      <c r="C2240" s="2" t="s">
        <v>37</v>
      </c>
      <c r="D2240" s="2">
        <v>154</v>
      </c>
    </row>
    <row r="2241" spans="1:4">
      <c r="A2241" s="2" t="s">
        <v>1872</v>
      </c>
      <c r="B2241" s="2" t="s">
        <v>39</v>
      </c>
      <c r="C2241" s="2" t="s">
        <v>37</v>
      </c>
      <c r="D2241" s="2">
        <v>152</v>
      </c>
    </row>
    <row r="2242" spans="1:4">
      <c r="A2242" s="2" t="s">
        <v>221</v>
      </c>
      <c r="B2242" s="2" t="s">
        <v>39</v>
      </c>
      <c r="C2242" s="2" t="s">
        <v>37</v>
      </c>
      <c r="D2242" s="2">
        <v>152</v>
      </c>
    </row>
    <row r="2243" spans="1:4">
      <c r="A2243" s="2" t="s">
        <v>3880</v>
      </c>
      <c r="B2243" s="2" t="s">
        <v>39</v>
      </c>
      <c r="C2243" s="2" t="s">
        <v>37</v>
      </c>
      <c r="D2243" s="2">
        <v>152</v>
      </c>
    </row>
    <row r="2244" spans="1:4">
      <c r="A2244" s="2" t="s">
        <v>145</v>
      </c>
      <c r="B2244" s="2" t="s">
        <v>39</v>
      </c>
      <c r="C2244" s="2" t="s">
        <v>37</v>
      </c>
      <c r="D2244" s="2">
        <v>152</v>
      </c>
    </row>
    <row r="2245" spans="1:4">
      <c r="A2245" s="2" t="s">
        <v>4540</v>
      </c>
      <c r="B2245" s="2" t="s">
        <v>39</v>
      </c>
      <c r="C2245" s="2" t="s">
        <v>37</v>
      </c>
      <c r="D2245" s="2">
        <v>151</v>
      </c>
    </row>
    <row r="2246" spans="1:4">
      <c r="A2246" s="2" t="s">
        <v>1013</v>
      </c>
      <c r="B2246" s="2" t="s">
        <v>39</v>
      </c>
      <c r="C2246" s="2" t="s">
        <v>37</v>
      </c>
      <c r="D2246" s="2">
        <v>150</v>
      </c>
    </row>
    <row r="2247" spans="1:4">
      <c r="A2247" s="2" t="s">
        <v>4511</v>
      </c>
      <c r="B2247" s="2" t="s">
        <v>39</v>
      </c>
      <c r="C2247" s="2" t="s">
        <v>37</v>
      </c>
      <c r="D2247" s="2">
        <v>150</v>
      </c>
    </row>
    <row r="2248" spans="1:4">
      <c r="A2248" s="2" t="s">
        <v>225</v>
      </c>
      <c r="B2248" s="2" t="s">
        <v>39</v>
      </c>
      <c r="C2248" s="2" t="s">
        <v>37</v>
      </c>
      <c r="D2248" s="2">
        <v>150</v>
      </c>
    </row>
    <row r="2249" spans="1:4">
      <c r="A2249" s="2" t="s">
        <v>1069</v>
      </c>
      <c r="B2249" s="2" t="s">
        <v>39</v>
      </c>
      <c r="C2249" s="2" t="s">
        <v>37</v>
      </c>
      <c r="D2249" s="2">
        <v>150</v>
      </c>
    </row>
    <row r="2250" spans="1:4">
      <c r="A2250" s="2" t="s">
        <v>3807</v>
      </c>
      <c r="B2250" s="2" t="s">
        <v>39</v>
      </c>
      <c r="C2250" s="2" t="s">
        <v>37</v>
      </c>
      <c r="D2250" s="2">
        <v>149</v>
      </c>
    </row>
    <row r="2251" spans="1:4">
      <c r="A2251" s="2" t="s">
        <v>1047</v>
      </c>
      <c r="B2251" s="2" t="s">
        <v>39</v>
      </c>
      <c r="C2251" s="2" t="s">
        <v>37</v>
      </c>
      <c r="D2251" s="2">
        <v>149</v>
      </c>
    </row>
    <row r="2252" spans="1:4">
      <c r="A2252" s="2" t="s">
        <v>4525</v>
      </c>
      <c r="B2252" s="2" t="s">
        <v>39</v>
      </c>
      <c r="C2252" s="2" t="s">
        <v>37</v>
      </c>
      <c r="D2252" s="2">
        <v>149</v>
      </c>
    </row>
    <row r="2253" spans="1:4">
      <c r="A2253" s="2" t="s">
        <v>2455</v>
      </c>
      <c r="B2253" s="2" t="s">
        <v>39</v>
      </c>
      <c r="C2253" s="2" t="s">
        <v>37</v>
      </c>
      <c r="D2253" s="2">
        <v>149</v>
      </c>
    </row>
    <row r="2254" spans="1:4">
      <c r="A2254" s="2" t="s">
        <v>1071</v>
      </c>
      <c r="B2254" s="2" t="s">
        <v>39</v>
      </c>
      <c r="C2254" s="2" t="s">
        <v>37</v>
      </c>
      <c r="D2254" s="2">
        <v>148</v>
      </c>
    </row>
    <row r="2255" spans="1:4">
      <c r="A2255" s="2" t="s">
        <v>1078</v>
      </c>
      <c r="B2255" s="2" t="s">
        <v>39</v>
      </c>
      <c r="C2255" s="2" t="s">
        <v>37</v>
      </c>
      <c r="D2255" s="2">
        <v>148</v>
      </c>
    </row>
    <row r="2256" spans="1:4">
      <c r="A2256" s="2" t="s">
        <v>3003</v>
      </c>
      <c r="B2256" s="2" t="s">
        <v>39</v>
      </c>
      <c r="C2256" s="2" t="s">
        <v>37</v>
      </c>
      <c r="D2256" s="2">
        <v>147</v>
      </c>
    </row>
    <row r="2257" spans="1:4">
      <c r="A2257" s="2" t="s">
        <v>4521</v>
      </c>
      <c r="B2257" s="2" t="s">
        <v>39</v>
      </c>
      <c r="C2257" s="2" t="s">
        <v>37</v>
      </c>
      <c r="D2257" s="2">
        <v>146</v>
      </c>
    </row>
    <row r="2258" spans="1:4">
      <c r="A2258" s="2" t="s">
        <v>1090</v>
      </c>
      <c r="B2258" s="2" t="s">
        <v>39</v>
      </c>
      <c r="C2258" s="2" t="s">
        <v>37</v>
      </c>
      <c r="D2258" s="2">
        <v>146</v>
      </c>
    </row>
    <row r="2259" spans="1:4">
      <c r="A2259" s="2" t="s">
        <v>3816</v>
      </c>
      <c r="B2259" s="2" t="s">
        <v>39</v>
      </c>
      <c r="C2259" s="2" t="s">
        <v>37</v>
      </c>
      <c r="D2259" s="2">
        <v>146</v>
      </c>
    </row>
    <row r="2260" spans="1:4">
      <c r="A2260" s="2" t="s">
        <v>2517</v>
      </c>
      <c r="B2260" s="2" t="s">
        <v>39</v>
      </c>
      <c r="C2260" s="2" t="s">
        <v>37</v>
      </c>
      <c r="D2260" s="2">
        <v>146</v>
      </c>
    </row>
    <row r="2261" spans="1:4">
      <c r="A2261" s="2" t="s">
        <v>1951</v>
      </c>
      <c r="B2261" s="2" t="s">
        <v>39</v>
      </c>
      <c r="C2261" s="2" t="s">
        <v>37</v>
      </c>
      <c r="D2261" s="2">
        <v>145</v>
      </c>
    </row>
    <row r="2262" spans="1:4">
      <c r="A2262" s="2" t="s">
        <v>2429</v>
      </c>
      <c r="B2262" s="2" t="s">
        <v>39</v>
      </c>
      <c r="C2262" s="2" t="s">
        <v>37</v>
      </c>
      <c r="D2262" s="2">
        <v>145</v>
      </c>
    </row>
    <row r="2263" spans="1:4">
      <c r="A2263" s="2" t="s">
        <v>55</v>
      </c>
      <c r="B2263" s="2" t="s">
        <v>39</v>
      </c>
      <c r="C2263" s="2" t="s">
        <v>37</v>
      </c>
      <c r="D2263" s="2">
        <v>144</v>
      </c>
    </row>
    <row r="2264" spans="1:4">
      <c r="A2264" s="2" t="s">
        <v>134</v>
      </c>
      <c r="B2264" s="2" t="s">
        <v>39</v>
      </c>
      <c r="C2264" s="2" t="s">
        <v>37</v>
      </c>
      <c r="D2264" s="2">
        <v>144</v>
      </c>
    </row>
    <row r="2265" spans="1:4">
      <c r="A2265" s="2" t="s">
        <v>3421</v>
      </c>
      <c r="B2265" s="2" t="s">
        <v>39</v>
      </c>
      <c r="C2265" s="2" t="s">
        <v>37</v>
      </c>
      <c r="D2265" s="2">
        <v>144</v>
      </c>
    </row>
    <row r="2266" spans="1:4">
      <c r="A2266" s="2" t="s">
        <v>2415</v>
      </c>
      <c r="B2266" s="2" t="s">
        <v>39</v>
      </c>
      <c r="C2266" s="2" t="s">
        <v>37</v>
      </c>
      <c r="D2266" s="2">
        <v>144</v>
      </c>
    </row>
    <row r="2267" spans="1:4">
      <c r="A2267" s="2" t="s">
        <v>116</v>
      </c>
      <c r="B2267" s="2" t="s">
        <v>39</v>
      </c>
      <c r="C2267" s="2" t="s">
        <v>37</v>
      </c>
      <c r="D2267" s="2">
        <v>144</v>
      </c>
    </row>
    <row r="2268" spans="1:4">
      <c r="A2268" s="2" t="s">
        <v>3473</v>
      </c>
      <c r="B2268" s="2" t="s">
        <v>39</v>
      </c>
      <c r="C2268" s="2" t="s">
        <v>37</v>
      </c>
      <c r="D2268" s="2">
        <v>143</v>
      </c>
    </row>
    <row r="2269" spans="1:4">
      <c r="A2269" s="2" t="s">
        <v>1110</v>
      </c>
      <c r="B2269" s="2" t="s">
        <v>39</v>
      </c>
      <c r="C2269" s="2" t="s">
        <v>37</v>
      </c>
      <c r="D2269" s="2">
        <v>142</v>
      </c>
    </row>
    <row r="2270" spans="1:4">
      <c r="A2270" s="2" t="s">
        <v>1094</v>
      </c>
      <c r="B2270" s="2" t="s">
        <v>39</v>
      </c>
      <c r="C2270" s="2" t="s">
        <v>37</v>
      </c>
      <c r="D2270" s="2">
        <v>141</v>
      </c>
    </row>
    <row r="2271" spans="1:4">
      <c r="A2271" s="2" t="s">
        <v>2492</v>
      </c>
      <c r="B2271" s="2" t="s">
        <v>39</v>
      </c>
      <c r="C2271" s="2" t="s">
        <v>37</v>
      </c>
      <c r="D2271" s="2">
        <v>140</v>
      </c>
    </row>
    <row r="2272" spans="1:4">
      <c r="A2272" s="2" t="s">
        <v>1092</v>
      </c>
      <c r="B2272" s="2" t="s">
        <v>39</v>
      </c>
      <c r="C2272" s="2" t="s">
        <v>37</v>
      </c>
      <c r="D2272" s="2">
        <v>139</v>
      </c>
    </row>
    <row r="2273" spans="1:4">
      <c r="A2273" s="2" t="s">
        <v>94</v>
      </c>
      <c r="B2273" s="2" t="s">
        <v>39</v>
      </c>
      <c r="C2273" s="2" t="s">
        <v>37</v>
      </c>
      <c r="D2273" s="2">
        <v>139</v>
      </c>
    </row>
    <row r="2274" spans="1:4">
      <c r="A2274" s="2" t="s">
        <v>961</v>
      </c>
      <c r="B2274" s="2" t="s">
        <v>39</v>
      </c>
      <c r="C2274" s="2" t="s">
        <v>37</v>
      </c>
      <c r="D2274" s="2">
        <v>138</v>
      </c>
    </row>
    <row r="2275" spans="1:4">
      <c r="A2275" s="2" t="s">
        <v>3469</v>
      </c>
      <c r="B2275" s="2" t="s">
        <v>39</v>
      </c>
      <c r="C2275" s="2" t="s">
        <v>37</v>
      </c>
      <c r="D2275" s="2">
        <v>138</v>
      </c>
    </row>
    <row r="2276" spans="1:4">
      <c r="A2276" s="2" t="s">
        <v>958</v>
      </c>
      <c r="B2276" s="2" t="s">
        <v>39</v>
      </c>
      <c r="C2276" s="2" t="s">
        <v>37</v>
      </c>
      <c r="D2276" s="2">
        <v>137</v>
      </c>
    </row>
    <row r="2277" spans="1:4">
      <c r="A2277" s="2" t="s">
        <v>980</v>
      </c>
      <c r="B2277" s="2" t="s">
        <v>39</v>
      </c>
      <c r="C2277" s="2" t="s">
        <v>37</v>
      </c>
      <c r="D2277" s="2">
        <v>137</v>
      </c>
    </row>
    <row r="2278" spans="1:4">
      <c r="A2278" s="2" t="s">
        <v>2995</v>
      </c>
      <c r="B2278" s="2" t="s">
        <v>39</v>
      </c>
      <c r="C2278" s="2" t="s">
        <v>37</v>
      </c>
      <c r="D2278" s="2">
        <v>137</v>
      </c>
    </row>
    <row r="2279" spans="1:4">
      <c r="A2279" s="2" t="s">
        <v>3001</v>
      </c>
      <c r="B2279" s="2" t="s">
        <v>39</v>
      </c>
      <c r="C2279" s="2" t="s">
        <v>37</v>
      </c>
      <c r="D2279" s="2">
        <v>137</v>
      </c>
    </row>
    <row r="2280" spans="1:4">
      <c r="A2280" s="2" t="s">
        <v>3888</v>
      </c>
      <c r="B2280" s="2" t="s">
        <v>39</v>
      </c>
      <c r="C2280" s="2" t="s">
        <v>37</v>
      </c>
      <c r="D2280" s="2">
        <v>137</v>
      </c>
    </row>
    <row r="2281" spans="1:4">
      <c r="A2281" s="2" t="s">
        <v>223</v>
      </c>
      <c r="B2281" s="2" t="s">
        <v>39</v>
      </c>
      <c r="C2281" s="2" t="s">
        <v>37</v>
      </c>
      <c r="D2281" s="2">
        <v>134</v>
      </c>
    </row>
    <row r="2282" spans="1:4">
      <c r="A2282" s="2" t="s">
        <v>2470</v>
      </c>
      <c r="B2282" s="2" t="s">
        <v>39</v>
      </c>
      <c r="C2282" s="2" t="s">
        <v>37</v>
      </c>
      <c r="D2282" s="2">
        <v>133</v>
      </c>
    </row>
    <row r="2283" spans="1:4">
      <c r="A2283" s="2" t="s">
        <v>2970</v>
      </c>
      <c r="B2283" s="2" t="s">
        <v>39</v>
      </c>
      <c r="C2283" s="2" t="s">
        <v>37</v>
      </c>
      <c r="D2283" s="2">
        <v>133</v>
      </c>
    </row>
    <row r="2284" spans="1:4">
      <c r="A2284" s="2" t="s">
        <v>3874</v>
      </c>
      <c r="B2284" s="2" t="s">
        <v>39</v>
      </c>
      <c r="C2284" s="2" t="s">
        <v>37</v>
      </c>
      <c r="D2284" s="2">
        <v>133</v>
      </c>
    </row>
    <row r="2285" spans="1:4">
      <c r="A2285" s="2" t="s">
        <v>3886</v>
      </c>
      <c r="B2285" s="2" t="s">
        <v>39</v>
      </c>
      <c r="C2285" s="2" t="s">
        <v>37</v>
      </c>
      <c r="D2285" s="2">
        <v>132</v>
      </c>
    </row>
    <row r="2286" spans="1:4">
      <c r="A2286" s="2" t="s">
        <v>1084</v>
      </c>
      <c r="B2286" s="2" t="s">
        <v>39</v>
      </c>
      <c r="C2286" s="2" t="s">
        <v>37</v>
      </c>
      <c r="D2286" s="2">
        <v>130</v>
      </c>
    </row>
    <row r="2287" spans="1:4">
      <c r="A2287" s="2" t="s">
        <v>2434</v>
      </c>
      <c r="B2287" s="2" t="s">
        <v>39</v>
      </c>
      <c r="C2287" s="2" t="s">
        <v>37</v>
      </c>
      <c r="D2287" s="2">
        <v>130</v>
      </c>
    </row>
    <row r="2288" spans="1:4">
      <c r="A2288" s="2" t="s">
        <v>1948</v>
      </c>
      <c r="B2288" s="2" t="s">
        <v>39</v>
      </c>
      <c r="C2288" s="2" t="s">
        <v>37</v>
      </c>
      <c r="D2288" s="2">
        <v>128</v>
      </c>
    </row>
    <row r="2289" spans="1:4">
      <c r="A2289" s="2" t="s">
        <v>58</v>
      </c>
      <c r="B2289" s="2" t="s">
        <v>39</v>
      </c>
      <c r="C2289" s="2" t="s">
        <v>37</v>
      </c>
      <c r="D2289" s="2">
        <v>128</v>
      </c>
    </row>
    <row r="2290" spans="1:4">
      <c r="A2290" s="2" t="s">
        <v>1617</v>
      </c>
      <c r="B2290" s="2" t="s">
        <v>39</v>
      </c>
      <c r="C2290" s="2" t="s">
        <v>37</v>
      </c>
      <c r="D2290" s="2">
        <v>128</v>
      </c>
    </row>
    <row r="2291" spans="1:4">
      <c r="A2291" s="2" t="s">
        <v>215</v>
      </c>
      <c r="B2291" s="2" t="s">
        <v>39</v>
      </c>
      <c r="C2291" s="2" t="s">
        <v>37</v>
      </c>
      <c r="D2291" s="2">
        <v>126</v>
      </c>
    </row>
    <row r="2292" spans="1:4">
      <c r="A2292" s="2" t="s">
        <v>3426</v>
      </c>
      <c r="B2292" s="2" t="s">
        <v>39</v>
      </c>
      <c r="C2292" s="2" t="s">
        <v>37</v>
      </c>
      <c r="D2292" s="2">
        <v>125</v>
      </c>
    </row>
    <row r="2293" spans="1:4">
      <c r="A2293" s="2" t="s">
        <v>2511</v>
      </c>
      <c r="B2293" s="2" t="s">
        <v>39</v>
      </c>
      <c r="C2293" s="2" t="s">
        <v>37</v>
      </c>
      <c r="D2293" s="2">
        <v>124</v>
      </c>
    </row>
    <row r="2294" spans="1:4">
      <c r="A2294" s="2" t="s">
        <v>85</v>
      </c>
      <c r="B2294" s="2" t="s">
        <v>39</v>
      </c>
      <c r="C2294" s="2" t="s">
        <v>37</v>
      </c>
      <c r="D2294" s="2">
        <v>124</v>
      </c>
    </row>
    <row r="2295" spans="1:4">
      <c r="A2295" s="2" t="s">
        <v>3465</v>
      </c>
      <c r="B2295" s="2" t="s">
        <v>39</v>
      </c>
      <c r="C2295" s="2" t="s">
        <v>37</v>
      </c>
      <c r="D2295" s="2">
        <v>123</v>
      </c>
    </row>
    <row r="2296" spans="1:4">
      <c r="A2296" s="2" t="s">
        <v>3884</v>
      </c>
      <c r="B2296" s="2" t="s">
        <v>39</v>
      </c>
      <c r="C2296" s="2" t="s">
        <v>37</v>
      </c>
      <c r="D2296" s="2">
        <v>122</v>
      </c>
    </row>
    <row r="2297" spans="1:4">
      <c r="A2297" s="2" t="s">
        <v>2502</v>
      </c>
      <c r="B2297" s="2" t="s">
        <v>39</v>
      </c>
      <c r="C2297" s="2" t="s">
        <v>37</v>
      </c>
      <c r="D2297" s="2">
        <v>121</v>
      </c>
    </row>
    <row r="2298" spans="1:4">
      <c r="A2298" s="2" t="s">
        <v>1082</v>
      </c>
      <c r="B2298" s="2" t="s">
        <v>39</v>
      </c>
      <c r="C2298" s="2" t="s">
        <v>37</v>
      </c>
      <c r="D2298" s="2">
        <v>120</v>
      </c>
    </row>
    <row r="2299" spans="1:4">
      <c r="A2299" s="2" t="s">
        <v>2418</v>
      </c>
      <c r="B2299" s="2" t="s">
        <v>39</v>
      </c>
      <c r="C2299" s="2" t="s">
        <v>37</v>
      </c>
      <c r="D2299" s="2">
        <v>120</v>
      </c>
    </row>
    <row r="2300" spans="1:4">
      <c r="A2300" s="2" t="s">
        <v>4235</v>
      </c>
      <c r="B2300" s="2" t="s">
        <v>39</v>
      </c>
      <c r="C2300" s="2" t="s">
        <v>37</v>
      </c>
      <c r="D2300" s="2">
        <v>119</v>
      </c>
    </row>
    <row r="2301" spans="1:4">
      <c r="A2301" s="2" t="s">
        <v>1924</v>
      </c>
      <c r="B2301" s="2" t="s">
        <v>39</v>
      </c>
      <c r="C2301" s="2" t="s">
        <v>37</v>
      </c>
      <c r="D2301" s="2">
        <v>119</v>
      </c>
    </row>
    <row r="2302" spans="1:4">
      <c r="A2302" s="2" t="s">
        <v>217</v>
      </c>
      <c r="B2302" s="2" t="s">
        <v>39</v>
      </c>
      <c r="C2302" s="2" t="s">
        <v>37</v>
      </c>
      <c r="D2302" s="2">
        <v>118</v>
      </c>
    </row>
    <row r="2303" spans="1:4">
      <c r="A2303" s="2" t="s">
        <v>1586</v>
      </c>
      <c r="B2303" s="2" t="s">
        <v>39</v>
      </c>
      <c r="C2303" s="2" t="s">
        <v>37</v>
      </c>
      <c r="D2303" s="2">
        <v>118</v>
      </c>
    </row>
    <row r="2304" spans="1:4">
      <c r="A2304" s="2" t="s">
        <v>132</v>
      </c>
      <c r="B2304" s="2" t="s">
        <v>39</v>
      </c>
      <c r="C2304" s="2" t="s">
        <v>37</v>
      </c>
      <c r="D2304" s="2">
        <v>117</v>
      </c>
    </row>
    <row r="2305" spans="1:4">
      <c r="A2305" s="2" t="s">
        <v>4542</v>
      </c>
      <c r="B2305" s="2" t="s">
        <v>39</v>
      </c>
      <c r="C2305" s="2" t="s">
        <v>37</v>
      </c>
      <c r="D2305" s="2">
        <v>116</v>
      </c>
    </row>
    <row r="2306" spans="1:4">
      <c r="A2306" s="2" t="s">
        <v>3812</v>
      </c>
      <c r="B2306" s="2" t="s">
        <v>39</v>
      </c>
      <c r="C2306" s="2" t="s">
        <v>37</v>
      </c>
      <c r="D2306" s="2">
        <v>116</v>
      </c>
    </row>
    <row r="2307" spans="1:4">
      <c r="A2307" s="2" t="s">
        <v>951</v>
      </c>
      <c r="B2307" s="2" t="s">
        <v>39</v>
      </c>
      <c r="C2307" s="2" t="s">
        <v>37</v>
      </c>
      <c r="D2307" s="2">
        <v>114</v>
      </c>
    </row>
    <row r="2308" spans="1:4">
      <c r="A2308" s="2" t="s">
        <v>2515</v>
      </c>
      <c r="B2308" s="2" t="s">
        <v>39</v>
      </c>
      <c r="C2308" s="2" t="s">
        <v>37</v>
      </c>
      <c r="D2308" s="2">
        <v>114</v>
      </c>
    </row>
    <row r="2309" spans="1:4">
      <c r="A2309" s="2" t="s">
        <v>3009</v>
      </c>
      <c r="B2309" s="2" t="s">
        <v>39</v>
      </c>
      <c r="C2309" s="2" t="s">
        <v>37</v>
      </c>
      <c r="D2309" s="2">
        <v>114</v>
      </c>
    </row>
    <row r="2310" spans="1:4">
      <c r="A2310" s="2" t="s">
        <v>141</v>
      </c>
      <c r="B2310" s="2" t="s">
        <v>39</v>
      </c>
      <c r="C2310" s="2" t="s">
        <v>37</v>
      </c>
      <c r="D2310" s="2">
        <v>113</v>
      </c>
    </row>
    <row r="2311" spans="1:4">
      <c r="A2311" s="2" t="s">
        <v>975</v>
      </c>
      <c r="B2311" s="2" t="s">
        <v>39</v>
      </c>
      <c r="C2311" s="2" t="s">
        <v>37</v>
      </c>
      <c r="D2311" s="2">
        <v>113</v>
      </c>
    </row>
    <row r="2312" spans="1:4">
      <c r="A2312" s="2" t="s">
        <v>244</v>
      </c>
      <c r="B2312" s="2" t="s">
        <v>39</v>
      </c>
      <c r="C2312" s="2" t="s">
        <v>37</v>
      </c>
      <c r="D2312" s="2">
        <v>112</v>
      </c>
    </row>
    <row r="2313" spans="1:4">
      <c r="A2313" s="2" t="s">
        <v>1033</v>
      </c>
      <c r="B2313" s="2" t="s">
        <v>39</v>
      </c>
      <c r="C2313" s="2" t="s">
        <v>37</v>
      </c>
      <c r="D2313" s="2">
        <v>110</v>
      </c>
    </row>
    <row r="2314" spans="1:4">
      <c r="A2314" s="2" t="s">
        <v>1885</v>
      </c>
      <c r="B2314" s="2" t="s">
        <v>39</v>
      </c>
      <c r="C2314" s="2" t="s">
        <v>37</v>
      </c>
      <c r="D2314" s="2">
        <v>110</v>
      </c>
    </row>
    <row r="2315" spans="1:4">
      <c r="A2315" s="2" t="s">
        <v>3890</v>
      </c>
      <c r="B2315" s="2" t="s">
        <v>39</v>
      </c>
      <c r="C2315" s="2" t="s">
        <v>37</v>
      </c>
      <c r="D2315" s="2">
        <v>109</v>
      </c>
    </row>
    <row r="2316" spans="1:4">
      <c r="A2316" s="2" t="s">
        <v>2496</v>
      </c>
      <c r="B2316" s="2" t="s">
        <v>39</v>
      </c>
      <c r="C2316" s="2" t="s">
        <v>37</v>
      </c>
      <c r="D2316" s="2">
        <v>108</v>
      </c>
    </row>
    <row r="2317" spans="1:4">
      <c r="A2317" s="2" t="s">
        <v>3818</v>
      </c>
      <c r="B2317" s="2" t="s">
        <v>39</v>
      </c>
      <c r="C2317" s="2" t="s">
        <v>37</v>
      </c>
      <c r="D2317" s="2">
        <v>108</v>
      </c>
    </row>
    <row r="2318" spans="1:4">
      <c r="A2318" s="2" t="s">
        <v>956</v>
      </c>
      <c r="B2318" s="2" t="s">
        <v>39</v>
      </c>
      <c r="C2318" s="2" t="s">
        <v>37</v>
      </c>
      <c r="D2318" s="2">
        <v>107</v>
      </c>
    </row>
    <row r="2319" spans="1:4">
      <c r="A2319" s="2" t="s">
        <v>1006</v>
      </c>
      <c r="B2319" s="2" t="s">
        <v>39</v>
      </c>
      <c r="C2319" s="2" t="s">
        <v>37</v>
      </c>
      <c r="D2319" s="2">
        <v>106</v>
      </c>
    </row>
    <row r="2320" spans="1:4">
      <c r="A2320" s="2" t="s">
        <v>3878</v>
      </c>
      <c r="B2320" s="2" t="s">
        <v>39</v>
      </c>
      <c r="C2320" s="2" t="s">
        <v>37</v>
      </c>
      <c r="D2320" s="2">
        <v>104</v>
      </c>
    </row>
    <row r="2321" spans="1:4">
      <c r="A2321" s="2" t="s">
        <v>1076</v>
      </c>
      <c r="B2321" s="2" t="s">
        <v>39</v>
      </c>
      <c r="C2321" s="2" t="s">
        <v>37</v>
      </c>
      <c r="D2321" s="2">
        <v>103</v>
      </c>
    </row>
    <row r="2322" spans="1:4">
      <c r="A2322" s="2" t="s">
        <v>1031</v>
      </c>
      <c r="B2322" s="2" t="s">
        <v>39</v>
      </c>
      <c r="C2322" s="2" t="s">
        <v>37</v>
      </c>
      <c r="D2322" s="2">
        <v>103</v>
      </c>
    </row>
    <row r="2323" spans="1:4">
      <c r="A2323" s="2" t="s">
        <v>3823</v>
      </c>
      <c r="B2323" s="2" t="s">
        <v>39</v>
      </c>
      <c r="C2323" s="2" t="s">
        <v>37</v>
      </c>
      <c r="D2323" s="2">
        <v>102</v>
      </c>
    </row>
    <row r="2324" spans="1:4">
      <c r="A2324" s="2" t="s">
        <v>2393</v>
      </c>
      <c r="B2324" s="2" t="s">
        <v>39</v>
      </c>
      <c r="C2324" s="2" t="s">
        <v>37</v>
      </c>
      <c r="D2324" s="2">
        <v>102</v>
      </c>
    </row>
    <row r="2325" spans="1:4">
      <c r="A2325" s="2" t="s">
        <v>3820</v>
      </c>
      <c r="B2325" s="2" t="s">
        <v>39</v>
      </c>
      <c r="C2325" s="2" t="s">
        <v>37</v>
      </c>
      <c r="D2325" s="2">
        <v>101</v>
      </c>
    </row>
    <row r="2326" spans="1:4">
      <c r="A2326" s="2" t="s">
        <v>3453</v>
      </c>
      <c r="B2326" s="2" t="s">
        <v>39</v>
      </c>
      <c r="C2326" s="2" t="s">
        <v>37</v>
      </c>
      <c r="D2326" s="2">
        <v>101</v>
      </c>
    </row>
    <row r="2327" spans="1:4">
      <c r="A2327" s="2" t="s">
        <v>988</v>
      </c>
      <c r="B2327" s="2" t="s">
        <v>39</v>
      </c>
      <c r="C2327" s="2" t="s">
        <v>37</v>
      </c>
      <c r="D2327" s="2">
        <v>100</v>
      </c>
    </row>
    <row r="2328" spans="1:4">
      <c r="A2328" s="2" t="s">
        <v>1061</v>
      </c>
      <c r="B2328" s="2" t="s">
        <v>39</v>
      </c>
      <c r="C2328" s="2" t="s">
        <v>37</v>
      </c>
      <c r="D2328" s="2">
        <v>100</v>
      </c>
    </row>
    <row r="2329" spans="1:4">
      <c r="A2329" s="2" t="s">
        <v>1106</v>
      </c>
      <c r="B2329" s="2" t="s">
        <v>39</v>
      </c>
      <c r="C2329" s="2" t="s">
        <v>37</v>
      </c>
      <c r="D2329" s="2">
        <v>100</v>
      </c>
    </row>
    <row r="2330" spans="1:4">
      <c r="A2330" s="2" t="s">
        <v>1942</v>
      </c>
      <c r="B2330" s="2" t="s">
        <v>39</v>
      </c>
      <c r="C2330" s="2" t="s">
        <v>37</v>
      </c>
      <c r="D2330" s="2">
        <v>98</v>
      </c>
    </row>
    <row r="2331" spans="1:4">
      <c r="A2331" s="2" t="s">
        <v>2481</v>
      </c>
      <c r="B2331" s="2" t="s">
        <v>39</v>
      </c>
      <c r="C2331" s="2" t="s">
        <v>37</v>
      </c>
      <c r="D2331" s="2">
        <v>97</v>
      </c>
    </row>
    <row r="2332" spans="1:4">
      <c r="A2332" s="2" t="s">
        <v>4260</v>
      </c>
      <c r="B2332" s="2" t="s">
        <v>39</v>
      </c>
      <c r="C2332" s="2" t="s">
        <v>37</v>
      </c>
      <c r="D2332" s="2">
        <v>97</v>
      </c>
    </row>
    <row r="2333" spans="1:4">
      <c r="A2333" s="2" t="s">
        <v>3860</v>
      </c>
      <c r="B2333" s="2" t="s">
        <v>39</v>
      </c>
      <c r="C2333" s="2" t="s">
        <v>37</v>
      </c>
      <c r="D2333" s="2">
        <v>96</v>
      </c>
    </row>
    <row r="2334" spans="1:4">
      <c r="A2334" s="2" t="s">
        <v>3872</v>
      </c>
      <c r="B2334" s="2" t="s">
        <v>39</v>
      </c>
      <c r="C2334" s="2" t="s">
        <v>37</v>
      </c>
      <c r="D2334" s="2">
        <v>95</v>
      </c>
    </row>
    <row r="2335" spans="1:4">
      <c r="A2335" s="2" t="s">
        <v>1100</v>
      </c>
      <c r="B2335" s="2" t="s">
        <v>39</v>
      </c>
      <c r="C2335" s="2" t="s">
        <v>37</v>
      </c>
      <c r="D2335" s="2">
        <v>95</v>
      </c>
    </row>
    <row r="2336" spans="1:4">
      <c r="A2336" s="2" t="s">
        <v>1851</v>
      </c>
      <c r="B2336" s="2" t="s">
        <v>39</v>
      </c>
      <c r="C2336" s="2" t="s">
        <v>37</v>
      </c>
      <c r="D2336" s="2">
        <v>94</v>
      </c>
    </row>
    <row r="2337" spans="1:4">
      <c r="A2337" s="2" t="s">
        <v>3461</v>
      </c>
      <c r="B2337" s="2" t="s">
        <v>39</v>
      </c>
      <c r="C2337" s="2" t="s">
        <v>37</v>
      </c>
      <c r="D2337" s="2">
        <v>94</v>
      </c>
    </row>
    <row r="2338" spans="1:4">
      <c r="A2338" s="2" t="s">
        <v>3011</v>
      </c>
      <c r="B2338" s="2" t="s">
        <v>39</v>
      </c>
      <c r="C2338" s="2" t="s">
        <v>37</v>
      </c>
      <c r="D2338" s="2">
        <v>94</v>
      </c>
    </row>
    <row r="2339" spans="1:4">
      <c r="A2339" s="2" t="s">
        <v>3435</v>
      </c>
      <c r="B2339" s="2" t="s">
        <v>39</v>
      </c>
      <c r="C2339" s="2" t="s">
        <v>37</v>
      </c>
      <c r="D2339" s="2">
        <v>94</v>
      </c>
    </row>
    <row r="2340" spans="1:4">
      <c r="A2340" s="2" t="s">
        <v>4262</v>
      </c>
      <c r="B2340" s="2" t="s">
        <v>39</v>
      </c>
      <c r="C2340" s="2" t="s">
        <v>37</v>
      </c>
      <c r="D2340" s="2">
        <v>92</v>
      </c>
    </row>
    <row r="2341" spans="1:4">
      <c r="A2341" s="2" t="s">
        <v>4266</v>
      </c>
      <c r="B2341" s="2" t="s">
        <v>39</v>
      </c>
      <c r="C2341" s="2" t="s">
        <v>37</v>
      </c>
      <c r="D2341" s="2">
        <v>92</v>
      </c>
    </row>
    <row r="2342" spans="1:4">
      <c r="A2342" s="2" t="s">
        <v>4527</v>
      </c>
      <c r="B2342" s="2" t="s">
        <v>39</v>
      </c>
      <c r="C2342" s="2" t="s">
        <v>37</v>
      </c>
      <c r="D2342" s="2">
        <v>92</v>
      </c>
    </row>
    <row r="2343" spans="1:4">
      <c r="A2343" s="2" t="s">
        <v>1010</v>
      </c>
      <c r="B2343" s="2" t="s">
        <v>39</v>
      </c>
      <c r="C2343" s="2" t="s">
        <v>37</v>
      </c>
      <c r="D2343" s="2">
        <v>91</v>
      </c>
    </row>
    <row r="2344" spans="1:4">
      <c r="A2344" s="2" t="s">
        <v>1098</v>
      </c>
      <c r="B2344" s="2" t="s">
        <v>39</v>
      </c>
      <c r="C2344" s="2" t="s">
        <v>37</v>
      </c>
      <c r="D2344" s="2">
        <v>91</v>
      </c>
    </row>
    <row r="2345" spans="1:4">
      <c r="A2345" s="2" t="s">
        <v>1000</v>
      </c>
      <c r="B2345" s="2" t="s">
        <v>39</v>
      </c>
      <c r="C2345" s="2" t="s">
        <v>37</v>
      </c>
      <c r="D2345" s="2">
        <v>91</v>
      </c>
    </row>
    <row r="2346" spans="1:4">
      <c r="A2346" s="2" t="s">
        <v>2390</v>
      </c>
      <c r="B2346" s="2" t="s">
        <v>39</v>
      </c>
      <c r="C2346" s="2" t="s">
        <v>37</v>
      </c>
      <c r="D2346" s="2">
        <v>91</v>
      </c>
    </row>
    <row r="2347" spans="1:4">
      <c r="A2347" s="2" t="s">
        <v>4248</v>
      </c>
      <c r="B2347" s="2" t="s">
        <v>39</v>
      </c>
      <c r="C2347" s="2" t="s">
        <v>37</v>
      </c>
      <c r="D2347" s="2">
        <v>90</v>
      </c>
    </row>
    <row r="2348" spans="1:4">
      <c r="A2348" s="2" t="s">
        <v>1023</v>
      </c>
      <c r="B2348" s="2" t="s">
        <v>39</v>
      </c>
      <c r="C2348" s="2" t="s">
        <v>37</v>
      </c>
      <c r="D2348" s="2">
        <v>88</v>
      </c>
    </row>
    <row r="2349" spans="1:4">
      <c r="A2349" s="2" t="s">
        <v>208</v>
      </c>
      <c r="B2349" s="2" t="s">
        <v>39</v>
      </c>
      <c r="C2349" s="2" t="s">
        <v>37</v>
      </c>
      <c r="D2349" s="2">
        <v>88</v>
      </c>
    </row>
    <row r="2350" spans="1:4">
      <c r="A2350" s="2" t="s">
        <v>1102</v>
      </c>
      <c r="B2350" s="2" t="s">
        <v>39</v>
      </c>
      <c r="C2350" s="2" t="s">
        <v>37</v>
      </c>
      <c r="D2350" s="2">
        <v>87</v>
      </c>
    </row>
    <row r="2351" spans="1:4">
      <c r="A2351" s="2" t="s">
        <v>3870</v>
      </c>
      <c r="B2351" s="2" t="s">
        <v>39</v>
      </c>
      <c r="C2351" s="2" t="s">
        <v>37</v>
      </c>
      <c r="D2351" s="2">
        <v>86</v>
      </c>
    </row>
    <row r="2352" spans="1:4">
      <c r="A2352" s="2" t="s">
        <v>1843</v>
      </c>
      <c r="B2352" s="2" t="s">
        <v>39</v>
      </c>
      <c r="C2352" s="2" t="s">
        <v>37</v>
      </c>
      <c r="D2352" s="2">
        <v>86</v>
      </c>
    </row>
    <row r="2353" spans="1:4">
      <c r="A2353" s="2" t="s">
        <v>4268</v>
      </c>
      <c r="B2353" s="2" t="s">
        <v>39</v>
      </c>
      <c r="C2353" s="2" t="s">
        <v>37</v>
      </c>
      <c r="D2353" s="2">
        <v>83</v>
      </c>
    </row>
    <row r="2354" spans="1:4">
      <c r="A2354" s="2" t="s">
        <v>4250</v>
      </c>
      <c r="B2354" s="2" t="s">
        <v>39</v>
      </c>
      <c r="C2354" s="2" t="s">
        <v>37</v>
      </c>
      <c r="D2354" s="2">
        <v>82</v>
      </c>
    </row>
    <row r="2355" spans="1:4">
      <c r="A2355" s="2" t="s">
        <v>3471</v>
      </c>
      <c r="B2355" s="2" t="s">
        <v>39</v>
      </c>
      <c r="C2355" s="2" t="s">
        <v>37</v>
      </c>
      <c r="D2355" s="2">
        <v>82</v>
      </c>
    </row>
    <row r="2356" spans="1:4">
      <c r="A2356" s="2" t="s">
        <v>197</v>
      </c>
      <c r="B2356" s="2" t="s">
        <v>39</v>
      </c>
      <c r="C2356" s="2" t="s">
        <v>37</v>
      </c>
      <c r="D2356" s="2">
        <v>81</v>
      </c>
    </row>
    <row r="2357" spans="1:4">
      <c r="A2357" s="2" t="s">
        <v>1057</v>
      </c>
      <c r="B2357" s="2" t="s">
        <v>39</v>
      </c>
      <c r="C2357" s="2" t="s">
        <v>37</v>
      </c>
      <c r="D2357" s="2">
        <v>81</v>
      </c>
    </row>
    <row r="2358" spans="1:4">
      <c r="A2358" s="2" t="s">
        <v>2413</v>
      </c>
      <c r="B2358" s="2" t="s">
        <v>39</v>
      </c>
      <c r="C2358" s="2" t="s">
        <v>37</v>
      </c>
      <c r="D2358" s="2">
        <v>80</v>
      </c>
    </row>
    <row r="2359" spans="1:4">
      <c r="A2359" s="2" t="s">
        <v>1869</v>
      </c>
      <c r="B2359" s="2" t="s">
        <v>39</v>
      </c>
      <c r="C2359" s="2" t="s">
        <v>37</v>
      </c>
      <c r="D2359" s="2">
        <v>80</v>
      </c>
    </row>
    <row r="2360" spans="1:4">
      <c r="A2360" s="2" t="s">
        <v>4572</v>
      </c>
      <c r="B2360" s="2" t="s">
        <v>39</v>
      </c>
      <c r="C2360" s="2" t="s">
        <v>37</v>
      </c>
      <c r="D2360" s="2">
        <v>80</v>
      </c>
    </row>
    <row r="2361" spans="1:4">
      <c r="A2361" s="2" t="s">
        <v>3866</v>
      </c>
      <c r="B2361" s="2" t="s">
        <v>39</v>
      </c>
      <c r="C2361" s="2" t="s">
        <v>37</v>
      </c>
      <c r="D2361" s="2">
        <v>79</v>
      </c>
    </row>
    <row r="2362" spans="1:4">
      <c r="A2362" s="2" t="s">
        <v>2976</v>
      </c>
      <c r="B2362" s="2" t="s">
        <v>39</v>
      </c>
      <c r="C2362" s="2" t="s">
        <v>37</v>
      </c>
      <c r="D2362" s="2">
        <v>79</v>
      </c>
    </row>
    <row r="2363" spans="1:4">
      <c r="A2363" s="2" t="s">
        <v>210</v>
      </c>
      <c r="B2363" s="2" t="s">
        <v>39</v>
      </c>
      <c r="C2363" s="2" t="s">
        <v>37</v>
      </c>
      <c r="D2363" s="2">
        <v>77</v>
      </c>
    </row>
    <row r="2364" spans="1:4">
      <c r="A2364" s="2" t="s">
        <v>2406</v>
      </c>
      <c r="B2364" s="2" t="s">
        <v>39</v>
      </c>
      <c r="C2364" s="2" t="s">
        <v>37</v>
      </c>
      <c r="D2364" s="2">
        <v>76</v>
      </c>
    </row>
    <row r="2365" spans="1:4">
      <c r="A2365" s="2" t="s">
        <v>1613</v>
      </c>
      <c r="B2365" s="2" t="s">
        <v>39</v>
      </c>
      <c r="C2365" s="2" t="s">
        <v>37</v>
      </c>
      <c r="D2365" s="2">
        <v>75</v>
      </c>
    </row>
    <row r="2366" spans="1:4">
      <c r="A2366" s="2" t="s">
        <v>4550</v>
      </c>
      <c r="B2366" s="2" t="s">
        <v>39</v>
      </c>
      <c r="C2366" s="2" t="s">
        <v>37</v>
      </c>
      <c r="D2366" s="2">
        <v>74</v>
      </c>
    </row>
    <row r="2367" spans="1:4">
      <c r="A2367" s="2" t="s">
        <v>4574</v>
      </c>
      <c r="B2367" s="2" t="s">
        <v>39</v>
      </c>
      <c r="C2367" s="2" t="s">
        <v>37</v>
      </c>
      <c r="D2367" s="2">
        <v>74</v>
      </c>
    </row>
    <row r="2368" spans="1:4">
      <c r="A2368" s="2" t="s">
        <v>1955</v>
      </c>
      <c r="B2368" s="2" t="s">
        <v>39</v>
      </c>
      <c r="C2368" s="2" t="s">
        <v>37</v>
      </c>
      <c r="D2368" s="2">
        <v>72</v>
      </c>
    </row>
    <row r="2369" spans="1:4">
      <c r="A2369" s="2" t="s">
        <v>4568</v>
      </c>
      <c r="B2369" s="2" t="s">
        <v>39</v>
      </c>
      <c r="C2369" s="2" t="s">
        <v>37</v>
      </c>
      <c r="D2369" s="2">
        <v>72</v>
      </c>
    </row>
    <row r="2370" spans="1:4">
      <c r="A2370" s="2" t="s">
        <v>1893</v>
      </c>
      <c r="B2370" s="2" t="s">
        <v>39</v>
      </c>
      <c r="C2370" s="2" t="s">
        <v>37</v>
      </c>
      <c r="D2370" s="2">
        <v>71</v>
      </c>
    </row>
    <row r="2371" spans="1:4">
      <c r="A2371" s="2" t="s">
        <v>3799</v>
      </c>
      <c r="B2371" s="2" t="s">
        <v>39</v>
      </c>
      <c r="C2371" s="2" t="s">
        <v>37</v>
      </c>
      <c r="D2371" s="2">
        <v>71</v>
      </c>
    </row>
    <row r="2372" spans="1:4">
      <c r="A2372" s="2" t="s">
        <v>4239</v>
      </c>
      <c r="B2372" s="2" t="s">
        <v>39</v>
      </c>
      <c r="C2372" s="2" t="s">
        <v>37</v>
      </c>
      <c r="D2372" s="2">
        <v>69</v>
      </c>
    </row>
    <row r="2373" spans="1:4">
      <c r="A2373" s="2" t="s">
        <v>3892</v>
      </c>
      <c r="B2373" s="2" t="s">
        <v>39</v>
      </c>
      <c r="C2373" s="2" t="s">
        <v>37</v>
      </c>
      <c r="D2373" s="2">
        <v>69</v>
      </c>
    </row>
    <row r="2374" spans="1:4">
      <c r="A2374" s="2" t="s">
        <v>3846</v>
      </c>
      <c r="B2374" s="2" t="s">
        <v>39</v>
      </c>
      <c r="C2374" s="2" t="s">
        <v>37</v>
      </c>
      <c r="D2374" s="2">
        <v>68</v>
      </c>
    </row>
    <row r="2375" spans="1:4">
      <c r="A2375" s="2" t="s">
        <v>2384</v>
      </c>
      <c r="B2375" s="2" t="s">
        <v>39</v>
      </c>
      <c r="C2375" s="2" t="s">
        <v>37</v>
      </c>
      <c r="D2375" s="2">
        <v>68</v>
      </c>
    </row>
    <row r="2376" spans="1:4">
      <c r="A2376" s="2" t="s">
        <v>2401</v>
      </c>
      <c r="B2376" s="2" t="s">
        <v>39</v>
      </c>
      <c r="C2376" s="2" t="s">
        <v>37</v>
      </c>
      <c r="D2376" s="2">
        <v>67</v>
      </c>
    </row>
    <row r="2377" spans="1:4">
      <c r="A2377" s="2" t="s">
        <v>2498</v>
      </c>
      <c r="B2377" s="2" t="s">
        <v>39</v>
      </c>
      <c r="C2377" s="2" t="s">
        <v>37</v>
      </c>
      <c r="D2377" s="2">
        <v>65</v>
      </c>
    </row>
    <row r="2378" spans="1:4">
      <c r="A2378" s="2" t="s">
        <v>1065</v>
      </c>
      <c r="B2378" s="2" t="s">
        <v>39</v>
      </c>
      <c r="C2378" s="2" t="s">
        <v>37</v>
      </c>
      <c r="D2378" s="2">
        <v>64</v>
      </c>
    </row>
    <row r="2379" spans="1:4">
      <c r="A2379" s="2" t="s">
        <v>2488</v>
      </c>
      <c r="B2379" s="2" t="s">
        <v>39</v>
      </c>
      <c r="C2379" s="2" t="s">
        <v>37</v>
      </c>
      <c r="D2379" s="2">
        <v>62</v>
      </c>
    </row>
    <row r="2380" spans="1:4">
      <c r="A2380" s="2" t="s">
        <v>4552</v>
      </c>
      <c r="B2380" s="2" t="s">
        <v>39</v>
      </c>
      <c r="C2380" s="2" t="s">
        <v>37</v>
      </c>
      <c r="D2380" s="2">
        <v>62</v>
      </c>
    </row>
    <row r="2381" spans="1:4">
      <c r="A2381" s="2" t="s">
        <v>4241</v>
      </c>
      <c r="B2381" s="2" t="s">
        <v>39</v>
      </c>
      <c r="C2381" s="2" t="s">
        <v>37</v>
      </c>
      <c r="D2381" s="2">
        <v>59</v>
      </c>
    </row>
    <row r="2382" spans="1:4">
      <c r="A2382" s="2" t="s">
        <v>4256</v>
      </c>
      <c r="B2382" s="2" t="s">
        <v>39</v>
      </c>
      <c r="C2382" s="2" t="s">
        <v>37</v>
      </c>
      <c r="D2382" s="2">
        <v>59</v>
      </c>
    </row>
    <row r="2383" spans="1:4">
      <c r="A2383" s="2" t="s">
        <v>2457</v>
      </c>
      <c r="B2383" s="2" t="s">
        <v>39</v>
      </c>
      <c r="C2383" s="2" t="s">
        <v>37</v>
      </c>
      <c r="D2383" s="2">
        <v>58</v>
      </c>
    </row>
    <row r="2384" spans="1:4">
      <c r="A2384" s="2" t="s">
        <v>1891</v>
      </c>
      <c r="B2384" s="2" t="s">
        <v>39</v>
      </c>
      <c r="C2384" s="2" t="s">
        <v>37</v>
      </c>
      <c r="D2384" s="2">
        <v>58</v>
      </c>
    </row>
    <row r="2385" spans="1:4">
      <c r="A2385" s="2" t="s">
        <v>3457</v>
      </c>
      <c r="B2385" s="2" t="s">
        <v>39</v>
      </c>
      <c r="C2385" s="2" t="s">
        <v>37</v>
      </c>
      <c r="D2385" s="2">
        <v>55</v>
      </c>
    </row>
    <row r="2386" spans="1:4">
      <c r="A2386" s="2" t="s">
        <v>88</v>
      </c>
      <c r="B2386" s="2" t="s">
        <v>39</v>
      </c>
      <c r="C2386" s="2" t="s">
        <v>37</v>
      </c>
      <c r="D2386" s="2">
        <v>54</v>
      </c>
    </row>
    <row r="2387" spans="1:4">
      <c r="A2387" s="2" t="s">
        <v>212</v>
      </c>
      <c r="B2387" s="2" t="s">
        <v>39</v>
      </c>
      <c r="C2387" s="2" t="s">
        <v>37</v>
      </c>
      <c r="D2387" s="2">
        <v>54</v>
      </c>
    </row>
    <row r="2388" spans="1:4">
      <c r="A2388" s="2" t="s">
        <v>3825</v>
      </c>
      <c r="B2388" s="2" t="s">
        <v>39</v>
      </c>
      <c r="C2388" s="2" t="s">
        <v>37</v>
      </c>
      <c r="D2388" s="2">
        <v>54</v>
      </c>
    </row>
    <row r="2389" spans="1:4">
      <c r="A2389" s="2" t="s">
        <v>2500</v>
      </c>
      <c r="B2389" s="2" t="s">
        <v>39</v>
      </c>
      <c r="C2389" s="2" t="s">
        <v>37</v>
      </c>
      <c r="D2389" s="2">
        <v>54</v>
      </c>
    </row>
    <row r="2390" spans="1:4">
      <c r="A2390" s="2" t="s">
        <v>1602</v>
      </c>
      <c r="B2390" s="2" t="s">
        <v>39</v>
      </c>
      <c r="C2390" s="2" t="s">
        <v>37</v>
      </c>
      <c r="D2390" s="2">
        <v>53</v>
      </c>
    </row>
    <row r="2391" spans="1:4">
      <c r="A2391" s="2" t="s">
        <v>4232</v>
      </c>
      <c r="B2391" s="2" t="s">
        <v>39</v>
      </c>
      <c r="C2391" s="2" t="s">
        <v>37</v>
      </c>
      <c r="D2391" s="2">
        <v>53</v>
      </c>
    </row>
    <row r="2392" spans="1:4">
      <c r="A2392" s="2" t="s">
        <v>106</v>
      </c>
      <c r="B2392" s="2" t="s">
        <v>39</v>
      </c>
      <c r="C2392" s="2" t="s">
        <v>37</v>
      </c>
      <c r="D2392" s="2">
        <v>53</v>
      </c>
    </row>
    <row r="2393" spans="1:4">
      <c r="A2393" s="2" t="s">
        <v>1595</v>
      </c>
      <c r="B2393" s="2" t="s">
        <v>39</v>
      </c>
      <c r="C2393" s="2" t="s">
        <v>37</v>
      </c>
      <c r="D2393" s="2">
        <v>52</v>
      </c>
    </row>
    <row r="2394" spans="1:4">
      <c r="A2394" s="2" t="s">
        <v>2466</v>
      </c>
      <c r="B2394" s="2" t="s">
        <v>39</v>
      </c>
      <c r="C2394" s="2" t="s">
        <v>37</v>
      </c>
      <c r="D2394" s="2">
        <v>52</v>
      </c>
    </row>
    <row r="2395" spans="1:4">
      <c r="A2395" s="2" t="s">
        <v>990</v>
      </c>
      <c r="B2395" s="2" t="s">
        <v>39</v>
      </c>
      <c r="C2395" s="2" t="s">
        <v>37</v>
      </c>
      <c r="D2395" s="2">
        <v>49</v>
      </c>
    </row>
    <row r="2396" spans="1:4">
      <c r="A2396" s="2" t="s">
        <v>1041</v>
      </c>
      <c r="B2396" s="2" t="s">
        <v>39</v>
      </c>
      <c r="C2396" s="2" t="s">
        <v>37</v>
      </c>
      <c r="D2396" s="2">
        <v>49</v>
      </c>
    </row>
    <row r="2397" spans="1:4">
      <c r="A2397" s="2" t="s">
        <v>992</v>
      </c>
      <c r="B2397" s="2" t="s">
        <v>39</v>
      </c>
      <c r="C2397" s="2" t="s">
        <v>37</v>
      </c>
      <c r="D2397" s="2">
        <v>49</v>
      </c>
    </row>
    <row r="2398" spans="1:4">
      <c r="A2398" s="2" t="s">
        <v>3442</v>
      </c>
      <c r="B2398" s="2" t="s">
        <v>39</v>
      </c>
      <c r="C2398" s="2" t="s">
        <v>37</v>
      </c>
      <c r="D2398" s="2">
        <v>45</v>
      </c>
    </row>
    <row r="2399" spans="1:4">
      <c r="A2399" s="2" t="s">
        <v>3444</v>
      </c>
      <c r="B2399" s="2" t="s">
        <v>39</v>
      </c>
      <c r="C2399" s="2" t="s">
        <v>37</v>
      </c>
      <c r="D2399" s="2">
        <v>43</v>
      </c>
    </row>
    <row r="2400" spans="1:4">
      <c r="A2400" s="2" t="s">
        <v>1840</v>
      </c>
      <c r="B2400" s="2" t="s">
        <v>39</v>
      </c>
      <c r="C2400" s="2" t="s">
        <v>37</v>
      </c>
      <c r="D2400" s="2">
        <v>43</v>
      </c>
    </row>
    <row r="2401" spans="1:4">
      <c r="A2401" s="2" t="s">
        <v>2403</v>
      </c>
      <c r="B2401" s="2" t="s">
        <v>39</v>
      </c>
      <c r="C2401" s="2" t="s">
        <v>37</v>
      </c>
      <c r="D2401" s="2">
        <v>41</v>
      </c>
    </row>
    <row r="2402" spans="1:4">
      <c r="A2402" s="2" t="s">
        <v>4517</v>
      </c>
      <c r="B2402" s="2" t="s">
        <v>39</v>
      </c>
      <c r="C2402" s="2" t="s">
        <v>37</v>
      </c>
      <c r="D2402" s="2">
        <v>40</v>
      </c>
    </row>
    <row r="2403" spans="1:4">
      <c r="A2403" s="2" t="s">
        <v>3862</v>
      </c>
      <c r="B2403" s="2" t="s">
        <v>39</v>
      </c>
      <c r="C2403" s="2" t="s">
        <v>37</v>
      </c>
      <c r="D2403" s="2">
        <v>37</v>
      </c>
    </row>
    <row r="2404" spans="1:4">
      <c r="A2404" s="2" t="s">
        <v>4244</v>
      </c>
      <c r="B2404" s="2" t="s">
        <v>39</v>
      </c>
      <c r="C2404" s="2" t="s">
        <v>37</v>
      </c>
      <c r="D2404" s="2">
        <v>37</v>
      </c>
    </row>
    <row r="2405" spans="1:4">
      <c r="A2405" s="2" t="s">
        <v>233</v>
      </c>
      <c r="B2405" s="2" t="s">
        <v>39</v>
      </c>
      <c r="C2405" s="2" t="s">
        <v>37</v>
      </c>
      <c r="D2405" s="2">
        <v>37</v>
      </c>
    </row>
    <row r="2406" spans="1:4">
      <c r="A2406" s="2" t="s">
        <v>242</v>
      </c>
      <c r="B2406" s="2" t="s">
        <v>39</v>
      </c>
      <c r="C2406" s="2" t="s">
        <v>37</v>
      </c>
      <c r="D2406" s="2">
        <v>34</v>
      </c>
    </row>
    <row r="2407" spans="1:4">
      <c r="A2407" s="2" t="s">
        <v>3446</v>
      </c>
      <c r="B2407" s="2" t="s">
        <v>39</v>
      </c>
      <c r="C2407" s="2" t="s">
        <v>37</v>
      </c>
      <c r="D2407" s="2">
        <v>34</v>
      </c>
    </row>
    <row r="2408" spans="1:4">
      <c r="A2408" s="2" t="s">
        <v>3804</v>
      </c>
      <c r="B2408" s="2" t="s">
        <v>39</v>
      </c>
      <c r="C2408" s="2" t="s">
        <v>37</v>
      </c>
      <c r="D2408" s="2">
        <v>32</v>
      </c>
    </row>
    <row r="2409" spans="1:4">
      <c r="A2409" s="2" t="s">
        <v>4564</v>
      </c>
      <c r="B2409" s="2" t="s">
        <v>39</v>
      </c>
      <c r="C2409" s="2" t="s">
        <v>37</v>
      </c>
      <c r="D2409" s="2">
        <v>31</v>
      </c>
    </row>
    <row r="2410" spans="1:4">
      <c r="A2410" s="2" t="s">
        <v>1957</v>
      </c>
      <c r="B2410" s="2" t="s">
        <v>39</v>
      </c>
      <c r="C2410" s="2" t="s">
        <v>37</v>
      </c>
      <c r="D2410" s="2">
        <v>29</v>
      </c>
    </row>
    <row r="2411" spans="1:4">
      <c r="A2411" s="2" t="s">
        <v>4558</v>
      </c>
      <c r="B2411" s="2" t="s">
        <v>39</v>
      </c>
      <c r="C2411" s="2" t="s">
        <v>37</v>
      </c>
      <c r="D2411" s="2">
        <v>28</v>
      </c>
    </row>
    <row r="2412" spans="1:4">
      <c r="A2412" s="2" t="s">
        <v>3854</v>
      </c>
      <c r="B2412" s="2" t="s">
        <v>39</v>
      </c>
      <c r="C2412" s="2" t="s">
        <v>37</v>
      </c>
      <c r="D2412" s="2">
        <v>26</v>
      </c>
    </row>
    <row r="2413" spans="1:4">
      <c r="A2413" s="2" t="s">
        <v>4576</v>
      </c>
      <c r="B2413" s="2" t="s">
        <v>39</v>
      </c>
      <c r="C2413" s="2" t="s">
        <v>37</v>
      </c>
      <c r="D2413" s="2">
        <v>26</v>
      </c>
    </row>
    <row r="2414" spans="1:4">
      <c r="A2414" s="2" t="s">
        <v>67</v>
      </c>
      <c r="B2414" s="2" t="s">
        <v>39</v>
      </c>
      <c r="C2414" s="2" t="s">
        <v>37</v>
      </c>
      <c r="D2414" s="2">
        <v>25</v>
      </c>
    </row>
    <row r="2415" spans="1:4">
      <c r="A2415" s="2" t="s">
        <v>3837</v>
      </c>
      <c r="B2415" s="2" t="s">
        <v>39</v>
      </c>
      <c r="C2415" s="2" t="s">
        <v>37</v>
      </c>
      <c r="D2415" s="2">
        <v>23</v>
      </c>
    </row>
    <row r="2416" spans="1:4">
      <c r="A2416" s="2" t="s">
        <v>3828</v>
      </c>
      <c r="B2416" s="2" t="s">
        <v>39</v>
      </c>
      <c r="C2416" s="2" t="s">
        <v>37</v>
      </c>
      <c r="D2416" s="2">
        <v>22</v>
      </c>
    </row>
    <row r="2417" spans="1:4">
      <c r="A2417" s="2" t="s">
        <v>4498</v>
      </c>
      <c r="B2417" s="2" t="s">
        <v>39</v>
      </c>
      <c r="C2417" s="2" t="s">
        <v>37</v>
      </c>
      <c r="D2417" s="2">
        <v>21</v>
      </c>
    </row>
    <row r="2418" spans="1:4">
      <c r="A2418" s="2" t="s">
        <v>4226</v>
      </c>
      <c r="B2418" s="2" t="s">
        <v>39</v>
      </c>
      <c r="C2418" s="2" t="s">
        <v>37</v>
      </c>
      <c r="D2418" s="2">
        <v>20</v>
      </c>
    </row>
    <row r="2419" spans="1:4">
      <c r="A2419" s="2" t="s">
        <v>3423</v>
      </c>
      <c r="B2419" s="2" t="s">
        <v>39</v>
      </c>
      <c r="C2419" s="2" t="s">
        <v>37</v>
      </c>
      <c r="D2419" s="2">
        <v>20</v>
      </c>
    </row>
    <row r="2420" spans="1:4">
      <c r="A2420" s="2" t="s">
        <v>4223</v>
      </c>
      <c r="B2420" s="2" t="s">
        <v>39</v>
      </c>
      <c r="C2420" s="2" t="s">
        <v>37</v>
      </c>
      <c r="D2420" s="2">
        <v>18</v>
      </c>
    </row>
    <row r="2421" spans="1:4">
      <c r="A2421" s="2" t="s">
        <v>1916</v>
      </c>
      <c r="B2421" s="2" t="s">
        <v>39</v>
      </c>
      <c r="C2421" s="2" t="s">
        <v>37</v>
      </c>
      <c r="D2421" s="2">
        <v>17</v>
      </c>
    </row>
    <row r="2422" spans="1:4">
      <c r="A2422" s="2" t="s">
        <v>2486</v>
      </c>
      <c r="B2422" s="2" t="s">
        <v>39</v>
      </c>
      <c r="C2422" s="2" t="s">
        <v>37</v>
      </c>
      <c r="D2422" s="2">
        <v>15</v>
      </c>
    </row>
    <row r="2423" spans="1:4">
      <c r="A2423" s="2" t="s">
        <v>3797</v>
      </c>
      <c r="B2423" s="2" t="s">
        <v>39</v>
      </c>
      <c r="C2423" s="2" t="s">
        <v>37</v>
      </c>
      <c r="D2423" s="2">
        <v>15</v>
      </c>
    </row>
    <row r="2424" spans="1:4">
      <c r="A2424" s="2" t="s">
        <v>3459</v>
      </c>
      <c r="B2424" s="2" t="s">
        <v>39</v>
      </c>
      <c r="C2424" s="2" t="s">
        <v>37</v>
      </c>
      <c r="D2424" s="2">
        <v>12</v>
      </c>
    </row>
    <row r="2425" spans="1:4">
      <c r="A2425" s="2" t="s">
        <v>3834</v>
      </c>
      <c r="B2425" s="2" t="s">
        <v>39</v>
      </c>
      <c r="C2425" s="2" t="s">
        <v>37</v>
      </c>
      <c r="D2425" s="2">
        <v>6</v>
      </c>
    </row>
    <row r="2426" spans="1:4">
      <c r="A2426" s="2" t="s">
        <v>3448</v>
      </c>
      <c r="B2426" s="2" t="s">
        <v>39</v>
      </c>
      <c r="C2426" s="2" t="s">
        <v>37</v>
      </c>
      <c r="D2426" s="2">
        <v>6</v>
      </c>
    </row>
    <row r="2427" spans="1:4">
      <c r="A2427" s="2" t="s">
        <v>352</v>
      </c>
      <c r="B2427" s="2" t="s">
        <v>36</v>
      </c>
      <c r="C2427" s="2" t="s">
        <v>24</v>
      </c>
      <c r="D2427" s="2">
        <v>6</v>
      </c>
    </row>
    <row r="2428" spans="1:4">
      <c r="A2428" s="2" t="s">
        <v>358</v>
      </c>
      <c r="B2428" s="2" t="s">
        <v>36</v>
      </c>
      <c r="C2428" s="2" t="s">
        <v>24</v>
      </c>
      <c r="D2428" s="2">
        <v>6</v>
      </c>
    </row>
    <row r="2429" spans="1:4">
      <c r="A2429" s="2" t="s">
        <v>1181</v>
      </c>
      <c r="B2429" s="2" t="s">
        <v>36</v>
      </c>
      <c r="C2429" s="2" t="s">
        <v>24</v>
      </c>
      <c r="D2429" s="2">
        <v>4</v>
      </c>
    </row>
    <row r="2430" spans="1:4">
      <c r="A2430" s="2" t="s">
        <v>369</v>
      </c>
      <c r="B2430" s="2" t="s">
        <v>36</v>
      </c>
      <c r="C2430" s="2" t="s">
        <v>24</v>
      </c>
      <c r="D2430" s="2">
        <v>4</v>
      </c>
    </row>
    <row r="2431" spans="1:4">
      <c r="A2431" s="2" t="s">
        <v>1168</v>
      </c>
      <c r="B2431" s="2" t="s">
        <v>36</v>
      </c>
      <c r="C2431" s="2" t="s">
        <v>24</v>
      </c>
      <c r="D2431" s="2">
        <v>4</v>
      </c>
    </row>
    <row r="2432" spans="1:4">
      <c r="A2432" s="2" t="s">
        <v>340</v>
      </c>
      <c r="B2432" s="2" t="s">
        <v>36</v>
      </c>
      <c r="C2432" s="2" t="s">
        <v>24</v>
      </c>
      <c r="D2432" s="2">
        <v>4</v>
      </c>
    </row>
    <row r="2433" spans="1:4">
      <c r="A2433" s="2" t="s">
        <v>318</v>
      </c>
      <c r="B2433" s="2" t="s">
        <v>36</v>
      </c>
      <c r="C2433" s="2" t="s">
        <v>24</v>
      </c>
      <c r="D2433" s="2">
        <v>4</v>
      </c>
    </row>
    <row r="2434" spans="1:4">
      <c r="A2434" s="2" t="s">
        <v>366</v>
      </c>
      <c r="B2434" s="2" t="s">
        <v>36</v>
      </c>
      <c r="C2434" s="2" t="s">
        <v>24</v>
      </c>
      <c r="D2434" s="2">
        <v>3</v>
      </c>
    </row>
    <row r="2435" spans="1:4">
      <c r="A2435" s="2" t="s">
        <v>393</v>
      </c>
      <c r="B2435" s="2" t="s">
        <v>36</v>
      </c>
      <c r="C2435" s="2" t="s">
        <v>24</v>
      </c>
      <c r="D2435" s="2">
        <v>3</v>
      </c>
    </row>
    <row r="2436" spans="1:4">
      <c r="A2436" s="2" t="s">
        <v>383</v>
      </c>
      <c r="B2436" s="2" t="s">
        <v>36</v>
      </c>
      <c r="C2436" s="2" t="s">
        <v>24</v>
      </c>
      <c r="D2436" s="2">
        <v>3</v>
      </c>
    </row>
    <row r="2437" spans="1:4">
      <c r="A2437" s="2" t="s">
        <v>1154</v>
      </c>
      <c r="B2437" s="2" t="s">
        <v>36</v>
      </c>
      <c r="C2437" s="2" t="s">
        <v>24</v>
      </c>
      <c r="D2437" s="2">
        <v>3</v>
      </c>
    </row>
    <row r="2438" spans="1:4">
      <c r="A2438" s="2" t="s">
        <v>401</v>
      </c>
      <c r="B2438" s="2" t="s">
        <v>36</v>
      </c>
      <c r="C2438" s="2" t="s">
        <v>24</v>
      </c>
      <c r="D2438" s="2">
        <v>3</v>
      </c>
    </row>
    <row r="2439" spans="1:4">
      <c r="A2439" s="2" t="s">
        <v>2055</v>
      </c>
      <c r="B2439" s="2" t="s">
        <v>36</v>
      </c>
      <c r="C2439" s="2" t="s">
        <v>24</v>
      </c>
      <c r="D2439" s="2">
        <v>3</v>
      </c>
    </row>
    <row r="2440" spans="1:4">
      <c r="A2440" s="2" t="s">
        <v>1211</v>
      </c>
      <c r="B2440" s="2" t="s">
        <v>36</v>
      </c>
      <c r="C2440" s="2" t="s">
        <v>24</v>
      </c>
      <c r="D2440" s="2">
        <v>3</v>
      </c>
    </row>
    <row r="2441" spans="1:4">
      <c r="A2441" s="2" t="s">
        <v>363</v>
      </c>
      <c r="B2441" s="2" t="s">
        <v>36</v>
      </c>
      <c r="C2441" s="2" t="s">
        <v>24</v>
      </c>
      <c r="D2441" s="2">
        <v>3</v>
      </c>
    </row>
    <row r="2442" spans="1:4">
      <c r="A2442" s="2" t="s">
        <v>335</v>
      </c>
      <c r="B2442" s="2" t="s">
        <v>36</v>
      </c>
      <c r="C2442" s="2" t="s">
        <v>24</v>
      </c>
      <c r="D2442" s="2">
        <v>3</v>
      </c>
    </row>
    <row r="2443" spans="1:4">
      <c r="A2443" s="2" t="s">
        <v>1190</v>
      </c>
      <c r="B2443" s="2" t="s">
        <v>36</v>
      </c>
      <c r="C2443" s="2" t="s">
        <v>24</v>
      </c>
      <c r="D2443" s="2">
        <v>3</v>
      </c>
    </row>
    <row r="2444" spans="1:4">
      <c r="A2444" s="2" t="s">
        <v>2062</v>
      </c>
      <c r="B2444" s="2" t="s">
        <v>36</v>
      </c>
      <c r="C2444" s="2" t="s">
        <v>24</v>
      </c>
      <c r="D2444" s="2">
        <v>3</v>
      </c>
    </row>
    <row r="2445" spans="1:4">
      <c r="A2445" s="2" t="s">
        <v>1990</v>
      </c>
      <c r="B2445" s="2" t="s">
        <v>36</v>
      </c>
      <c r="C2445" s="2" t="s">
        <v>24</v>
      </c>
      <c r="D2445" s="2">
        <v>3</v>
      </c>
    </row>
    <row r="2446" spans="1:4">
      <c r="A2446" s="2" t="s">
        <v>399</v>
      </c>
      <c r="B2446" s="2" t="s">
        <v>36</v>
      </c>
      <c r="C2446" s="2" t="s">
        <v>24</v>
      </c>
      <c r="D2446" s="2">
        <v>3</v>
      </c>
    </row>
    <row r="2447" spans="1:4">
      <c r="A2447" s="2" t="s">
        <v>1635</v>
      </c>
      <c r="B2447" s="2" t="s">
        <v>36</v>
      </c>
      <c r="C2447" s="2" t="s">
        <v>24</v>
      </c>
      <c r="D2447" s="2">
        <v>3</v>
      </c>
    </row>
    <row r="2448" spans="1:4">
      <c r="A2448" s="2" t="s">
        <v>3505</v>
      </c>
      <c r="B2448" s="2" t="s">
        <v>36</v>
      </c>
      <c r="C2448" s="2" t="s">
        <v>24</v>
      </c>
      <c r="D2448" s="2">
        <v>2</v>
      </c>
    </row>
    <row r="2449" spans="1:4">
      <c r="A2449" s="2" t="s">
        <v>1632</v>
      </c>
      <c r="B2449" s="2" t="s">
        <v>36</v>
      </c>
      <c r="C2449" s="2" t="s">
        <v>24</v>
      </c>
      <c r="D2449" s="2">
        <v>2</v>
      </c>
    </row>
    <row r="2450" spans="1:4">
      <c r="A2450" s="2" t="s">
        <v>1645</v>
      </c>
      <c r="B2450" s="2" t="s">
        <v>36</v>
      </c>
      <c r="C2450" s="2" t="s">
        <v>24</v>
      </c>
      <c r="D2450" s="2">
        <v>2</v>
      </c>
    </row>
    <row r="2451" spans="1:4">
      <c r="A2451" s="2" t="s">
        <v>1973</v>
      </c>
      <c r="B2451" s="2" t="s">
        <v>36</v>
      </c>
      <c r="C2451" s="2" t="s">
        <v>24</v>
      </c>
      <c r="D2451" s="2">
        <v>2</v>
      </c>
    </row>
    <row r="2452" spans="1:4">
      <c r="A2452" s="2" t="s">
        <v>1165</v>
      </c>
      <c r="B2452" s="2" t="s">
        <v>36</v>
      </c>
      <c r="C2452" s="2" t="s">
        <v>24</v>
      </c>
      <c r="D2452" s="2">
        <v>2</v>
      </c>
    </row>
    <row r="2453" spans="1:4">
      <c r="A2453" s="2" t="s">
        <v>3479</v>
      </c>
      <c r="B2453" s="2" t="s">
        <v>36</v>
      </c>
      <c r="C2453" s="2" t="s">
        <v>24</v>
      </c>
      <c r="D2453" s="2">
        <v>2</v>
      </c>
    </row>
    <row r="2454" spans="1:4">
      <c r="A2454" s="2" t="s">
        <v>3082</v>
      </c>
      <c r="B2454" s="2" t="s">
        <v>36</v>
      </c>
      <c r="C2454" s="2" t="s">
        <v>24</v>
      </c>
      <c r="D2454" s="2">
        <v>2</v>
      </c>
    </row>
    <row r="2455" spans="1:4">
      <c r="A2455" s="2" t="s">
        <v>3543</v>
      </c>
      <c r="B2455" s="2" t="s">
        <v>36</v>
      </c>
      <c r="C2455" s="2" t="s">
        <v>24</v>
      </c>
      <c r="D2455" s="2">
        <v>2</v>
      </c>
    </row>
    <row r="2456" spans="1:4">
      <c r="A2456" s="2" t="s">
        <v>3516</v>
      </c>
      <c r="B2456" s="2" t="s">
        <v>36</v>
      </c>
      <c r="C2456" s="2" t="s">
        <v>24</v>
      </c>
      <c r="D2456" s="2">
        <v>2</v>
      </c>
    </row>
    <row r="2457" spans="1:4">
      <c r="A2457" s="2" t="s">
        <v>1200</v>
      </c>
      <c r="B2457" s="2" t="s">
        <v>36</v>
      </c>
      <c r="C2457" s="2" t="s">
        <v>24</v>
      </c>
      <c r="D2457" s="2">
        <v>2</v>
      </c>
    </row>
    <row r="2458" spans="1:4">
      <c r="A2458" s="2" t="s">
        <v>3545</v>
      </c>
      <c r="B2458" s="2" t="s">
        <v>36</v>
      </c>
      <c r="C2458" s="2" t="s">
        <v>24</v>
      </c>
      <c r="D2458" s="2">
        <v>2</v>
      </c>
    </row>
    <row r="2459" spans="1:4">
      <c r="A2459" s="2" t="s">
        <v>2586</v>
      </c>
      <c r="B2459" s="2" t="s">
        <v>36</v>
      </c>
      <c r="C2459" s="2" t="s">
        <v>24</v>
      </c>
      <c r="D2459" s="2">
        <v>2</v>
      </c>
    </row>
    <row r="2460" spans="1:4">
      <c r="A2460" s="2" t="s">
        <v>1172</v>
      </c>
      <c r="B2460" s="2" t="s">
        <v>36</v>
      </c>
      <c r="C2460" s="2" t="s">
        <v>24</v>
      </c>
      <c r="D2460" s="2">
        <v>2</v>
      </c>
    </row>
    <row r="2461" spans="1:4">
      <c r="A2461" s="2" t="s">
        <v>2643</v>
      </c>
      <c r="B2461" s="2" t="s">
        <v>36</v>
      </c>
      <c r="C2461" s="2" t="s">
        <v>24</v>
      </c>
      <c r="D2461" s="2">
        <v>2</v>
      </c>
    </row>
    <row r="2462" spans="1:4">
      <c r="A2462" s="2" t="s">
        <v>1153</v>
      </c>
      <c r="B2462" s="2" t="s">
        <v>36</v>
      </c>
      <c r="C2462" s="2" t="s">
        <v>24</v>
      </c>
      <c r="D2462" s="2">
        <v>2</v>
      </c>
    </row>
    <row r="2463" spans="1:4">
      <c r="A2463" s="2" t="s">
        <v>2588</v>
      </c>
      <c r="B2463" s="2" t="s">
        <v>36</v>
      </c>
      <c r="C2463" s="2" t="s">
        <v>24</v>
      </c>
      <c r="D2463" s="2">
        <v>2</v>
      </c>
    </row>
    <row r="2464" spans="1:4">
      <c r="A2464" s="2" t="s">
        <v>2592</v>
      </c>
      <c r="B2464" s="2" t="s">
        <v>36</v>
      </c>
      <c r="C2464" s="2" t="s">
        <v>24</v>
      </c>
      <c r="D2464" s="2">
        <v>2</v>
      </c>
    </row>
    <row r="2465" spans="1:4">
      <c r="A2465" s="2" t="s">
        <v>3990</v>
      </c>
      <c r="B2465" s="2" t="s">
        <v>36</v>
      </c>
      <c r="C2465" s="2" t="s">
        <v>24</v>
      </c>
      <c r="D2465" s="2">
        <v>2</v>
      </c>
    </row>
    <row r="2466" spans="1:4">
      <c r="A2466" s="2" t="s">
        <v>310</v>
      </c>
      <c r="B2466" s="2" t="s">
        <v>36</v>
      </c>
      <c r="C2466" s="2" t="s">
        <v>24</v>
      </c>
      <c r="D2466" s="2">
        <v>2</v>
      </c>
    </row>
    <row r="2467" spans="1:4">
      <c r="A2467" s="2" t="s">
        <v>2609</v>
      </c>
      <c r="B2467" s="2" t="s">
        <v>36</v>
      </c>
      <c r="C2467" s="2" t="s">
        <v>24</v>
      </c>
      <c r="D2467" s="2">
        <v>2</v>
      </c>
    </row>
    <row r="2468" spans="1:4">
      <c r="A2468" s="2" t="s">
        <v>1173</v>
      </c>
      <c r="B2468" s="2" t="s">
        <v>36</v>
      </c>
      <c r="C2468" s="2" t="s">
        <v>24</v>
      </c>
      <c r="D2468" s="2">
        <v>2</v>
      </c>
    </row>
    <row r="2469" spans="1:4">
      <c r="A2469" s="2" t="s">
        <v>2594</v>
      </c>
      <c r="B2469" s="2" t="s">
        <v>36</v>
      </c>
      <c r="C2469" s="2" t="s">
        <v>24</v>
      </c>
      <c r="D2469" s="2">
        <v>2</v>
      </c>
    </row>
    <row r="2470" spans="1:4">
      <c r="A2470" s="2" t="s">
        <v>3088</v>
      </c>
      <c r="B2470" s="2" t="s">
        <v>36</v>
      </c>
      <c r="C2470" s="2" t="s">
        <v>24</v>
      </c>
      <c r="D2470" s="2">
        <v>2</v>
      </c>
    </row>
    <row r="2471" spans="1:4">
      <c r="A2471" s="2" t="s">
        <v>3507</v>
      </c>
      <c r="B2471" s="2" t="s">
        <v>36</v>
      </c>
      <c r="C2471" s="2" t="s">
        <v>24</v>
      </c>
      <c r="D2471" s="2">
        <v>2</v>
      </c>
    </row>
    <row r="2472" spans="1:4">
      <c r="A2472" s="2" t="s">
        <v>3549</v>
      </c>
      <c r="B2472" s="2" t="s">
        <v>36</v>
      </c>
      <c r="C2472" s="2" t="s">
        <v>24</v>
      </c>
      <c r="D2472" s="2">
        <v>2</v>
      </c>
    </row>
    <row r="2473" spans="1:4">
      <c r="A2473" s="2" t="s">
        <v>1184</v>
      </c>
      <c r="B2473" s="2" t="s">
        <v>36</v>
      </c>
      <c r="C2473" s="2" t="s">
        <v>24</v>
      </c>
      <c r="D2473" s="2">
        <v>2</v>
      </c>
    </row>
    <row r="2474" spans="1:4">
      <c r="A2474" s="2" t="s">
        <v>1969</v>
      </c>
      <c r="B2474" s="2" t="s">
        <v>36</v>
      </c>
      <c r="C2474" s="2" t="s">
        <v>24</v>
      </c>
      <c r="D2474" s="2">
        <v>2</v>
      </c>
    </row>
    <row r="2475" spans="1:4">
      <c r="A2475" s="2" t="s">
        <v>423</v>
      </c>
      <c r="B2475" s="2" t="s">
        <v>36</v>
      </c>
      <c r="C2475" s="2" t="s">
        <v>24</v>
      </c>
      <c r="D2475" s="2">
        <v>2</v>
      </c>
    </row>
    <row r="2476" spans="1:4">
      <c r="A2476" s="2" t="s">
        <v>375</v>
      </c>
      <c r="B2476" s="2" t="s">
        <v>36</v>
      </c>
      <c r="C2476" s="2" t="s">
        <v>24</v>
      </c>
      <c r="D2476" s="2">
        <v>2</v>
      </c>
    </row>
    <row r="2477" spans="1:4">
      <c r="A2477" s="2" t="s">
        <v>2046</v>
      </c>
      <c r="B2477" s="2" t="s">
        <v>36</v>
      </c>
      <c r="C2477" s="2" t="s">
        <v>24</v>
      </c>
      <c r="D2477" s="2">
        <v>2</v>
      </c>
    </row>
    <row r="2478" spans="1:4">
      <c r="A2478" s="2" t="s">
        <v>425</v>
      </c>
      <c r="B2478" s="2" t="s">
        <v>36</v>
      </c>
      <c r="C2478" s="2" t="s">
        <v>24</v>
      </c>
      <c r="D2478" s="2">
        <v>2</v>
      </c>
    </row>
    <row r="2479" spans="1:4">
      <c r="A2479" s="2" t="s">
        <v>2006</v>
      </c>
      <c r="B2479" s="2" t="s">
        <v>36</v>
      </c>
      <c r="C2479" s="2" t="s">
        <v>24</v>
      </c>
      <c r="D2479" s="2">
        <v>2</v>
      </c>
    </row>
    <row r="2480" spans="1:4">
      <c r="A2480" s="2" t="s">
        <v>3050</v>
      </c>
      <c r="B2480" s="2" t="s">
        <v>36</v>
      </c>
      <c r="C2480" s="2" t="s">
        <v>24</v>
      </c>
      <c r="D2480" s="2">
        <v>2</v>
      </c>
    </row>
    <row r="2481" spans="1:4">
      <c r="A2481" s="2" t="s">
        <v>2612</v>
      </c>
      <c r="B2481" s="2" t="s">
        <v>36</v>
      </c>
      <c r="C2481" s="2" t="s">
        <v>24</v>
      </c>
      <c r="D2481" s="2">
        <v>2</v>
      </c>
    </row>
    <row r="2482" spans="1:4">
      <c r="A2482" s="2" t="s">
        <v>2585</v>
      </c>
      <c r="B2482" s="2" t="s">
        <v>36</v>
      </c>
      <c r="C2482" s="2" t="s">
        <v>24</v>
      </c>
      <c r="D2482" s="2">
        <v>2</v>
      </c>
    </row>
    <row r="2483" spans="1:4">
      <c r="A2483" s="2" t="s">
        <v>1117</v>
      </c>
      <c r="B2483" s="2" t="s">
        <v>36</v>
      </c>
      <c r="C2483" s="2" t="s">
        <v>24</v>
      </c>
      <c r="D2483" s="2">
        <v>2</v>
      </c>
    </row>
    <row r="2484" spans="1:4">
      <c r="A2484" s="2" t="s">
        <v>2622</v>
      </c>
      <c r="B2484" s="2" t="s">
        <v>36</v>
      </c>
      <c r="C2484" s="2" t="s">
        <v>24</v>
      </c>
      <c r="D2484" s="2">
        <v>2</v>
      </c>
    </row>
    <row r="2485" spans="1:4">
      <c r="A2485" s="2" t="s">
        <v>3555</v>
      </c>
      <c r="B2485" s="2" t="s">
        <v>36</v>
      </c>
      <c r="C2485" s="2" t="s">
        <v>24</v>
      </c>
      <c r="D2485" s="2">
        <v>2</v>
      </c>
    </row>
    <row r="2486" spans="1:4">
      <c r="A2486" s="2" t="s">
        <v>3558</v>
      </c>
      <c r="B2486" s="2" t="s">
        <v>36</v>
      </c>
      <c r="C2486" s="2" t="s">
        <v>24</v>
      </c>
      <c r="D2486" s="2">
        <v>2</v>
      </c>
    </row>
    <row r="2487" spans="1:4">
      <c r="A2487" s="2" t="s">
        <v>3489</v>
      </c>
      <c r="B2487" s="2" t="s">
        <v>36</v>
      </c>
      <c r="C2487" s="2" t="s">
        <v>24</v>
      </c>
      <c r="D2487" s="2">
        <v>2</v>
      </c>
    </row>
    <row r="2488" spans="1:4">
      <c r="A2488" s="2" t="s">
        <v>1115</v>
      </c>
      <c r="B2488" s="2" t="s">
        <v>36</v>
      </c>
      <c r="C2488" s="2" t="s">
        <v>24</v>
      </c>
      <c r="D2488" s="2">
        <v>2</v>
      </c>
    </row>
    <row r="2489" spans="1:4">
      <c r="A2489" s="2" t="s">
        <v>1148</v>
      </c>
      <c r="B2489" s="2" t="s">
        <v>36</v>
      </c>
      <c r="C2489" s="2" t="s">
        <v>24</v>
      </c>
      <c r="D2489" s="2">
        <v>2</v>
      </c>
    </row>
    <row r="2490" spans="1:4">
      <c r="A2490" s="2" t="s">
        <v>1213</v>
      </c>
      <c r="B2490" s="2" t="s">
        <v>36</v>
      </c>
      <c r="C2490" s="2" t="s">
        <v>24</v>
      </c>
      <c r="D2490" s="2">
        <v>2</v>
      </c>
    </row>
    <row r="2491" spans="1:4">
      <c r="A2491" s="2" t="s">
        <v>328</v>
      </c>
      <c r="B2491" s="2" t="s">
        <v>36</v>
      </c>
      <c r="C2491" s="2" t="s">
        <v>24</v>
      </c>
      <c r="D2491" s="2">
        <v>2</v>
      </c>
    </row>
    <row r="2492" spans="1:4">
      <c r="A2492" s="2" t="s">
        <v>2080</v>
      </c>
      <c r="B2492" s="2" t="s">
        <v>36</v>
      </c>
      <c r="C2492" s="2" t="s">
        <v>24</v>
      </c>
      <c r="D2492" s="2">
        <v>2</v>
      </c>
    </row>
    <row r="2493" spans="1:4">
      <c r="A2493" s="2" t="s">
        <v>3125</v>
      </c>
      <c r="B2493" s="2" t="s">
        <v>36</v>
      </c>
      <c r="C2493" s="2" t="s">
        <v>24</v>
      </c>
      <c r="D2493" s="2">
        <v>2</v>
      </c>
    </row>
    <row r="2494" spans="1:4">
      <c r="A2494" s="2" t="s">
        <v>2628</v>
      </c>
      <c r="B2494" s="2" t="s">
        <v>36</v>
      </c>
      <c r="C2494" s="2" t="s">
        <v>24</v>
      </c>
      <c r="D2494" s="2">
        <v>2</v>
      </c>
    </row>
    <row r="2495" spans="1:4">
      <c r="A2495" s="2" t="s">
        <v>412</v>
      </c>
      <c r="B2495" s="2" t="s">
        <v>36</v>
      </c>
      <c r="C2495" s="2" t="s">
        <v>24</v>
      </c>
      <c r="D2495" s="2">
        <v>2</v>
      </c>
    </row>
    <row r="2496" spans="1:4">
      <c r="A2496" s="2" t="s">
        <v>3106</v>
      </c>
      <c r="B2496" s="2" t="s">
        <v>36</v>
      </c>
      <c r="C2496" s="2" t="s">
        <v>24</v>
      </c>
      <c r="D2496" s="2">
        <v>2</v>
      </c>
    </row>
    <row r="2497" spans="1:4">
      <c r="A2497" s="2" t="s">
        <v>329</v>
      </c>
      <c r="B2497" s="2" t="s">
        <v>36</v>
      </c>
      <c r="C2497" s="2" t="s">
        <v>24</v>
      </c>
      <c r="D2497" s="2">
        <v>2</v>
      </c>
    </row>
    <row r="2498" spans="1:4">
      <c r="A2498" s="2" t="s">
        <v>4330</v>
      </c>
      <c r="B2498" s="2" t="s">
        <v>36</v>
      </c>
      <c r="C2498" s="2" t="s">
        <v>24</v>
      </c>
      <c r="D2498" s="2">
        <v>2</v>
      </c>
    </row>
    <row r="2499" spans="1:4">
      <c r="A2499" s="2" t="s">
        <v>2600</v>
      </c>
      <c r="B2499" s="2" t="s">
        <v>36</v>
      </c>
      <c r="C2499" s="2" t="s">
        <v>24</v>
      </c>
      <c r="D2499" s="2">
        <v>2</v>
      </c>
    </row>
    <row r="2500" spans="1:4">
      <c r="A2500" s="2" t="s">
        <v>1188</v>
      </c>
      <c r="B2500" s="2" t="s">
        <v>36</v>
      </c>
      <c r="C2500" s="2" t="s">
        <v>24</v>
      </c>
      <c r="D2500" s="2">
        <v>2</v>
      </c>
    </row>
    <row r="2501" spans="1:4">
      <c r="A2501" s="2" t="s">
        <v>2616</v>
      </c>
      <c r="B2501" s="2" t="s">
        <v>36</v>
      </c>
      <c r="C2501" s="2" t="s">
        <v>24</v>
      </c>
      <c r="D2501" s="2">
        <v>2</v>
      </c>
    </row>
    <row r="2502" spans="1:4">
      <c r="A2502" s="2" t="s">
        <v>2085</v>
      </c>
      <c r="B2502" s="2" t="s">
        <v>36</v>
      </c>
      <c r="C2502" s="2" t="s">
        <v>24</v>
      </c>
      <c r="D2502" s="2">
        <v>2</v>
      </c>
    </row>
    <row r="2503" spans="1:4">
      <c r="A2503" s="2" t="s">
        <v>1160</v>
      </c>
      <c r="B2503" s="2" t="s">
        <v>36</v>
      </c>
      <c r="C2503" s="2" t="s">
        <v>24</v>
      </c>
      <c r="D2503" s="2">
        <v>2</v>
      </c>
    </row>
    <row r="2504" spans="1:4">
      <c r="A2504" s="2" t="s">
        <v>390</v>
      </c>
      <c r="B2504" s="2" t="s">
        <v>36</v>
      </c>
      <c r="C2504" s="2" t="s">
        <v>24</v>
      </c>
      <c r="D2504" s="2">
        <v>2</v>
      </c>
    </row>
    <row r="2505" spans="1:4">
      <c r="A2505" s="2" t="s">
        <v>3511</v>
      </c>
      <c r="B2505" s="2" t="s">
        <v>36</v>
      </c>
      <c r="C2505" s="2" t="s">
        <v>24</v>
      </c>
      <c r="D2505" s="2">
        <v>2</v>
      </c>
    </row>
    <row r="2506" spans="1:4">
      <c r="A2506" s="2" t="s">
        <v>428</v>
      </c>
      <c r="B2506" s="2" t="s">
        <v>36</v>
      </c>
      <c r="C2506" s="2" t="s">
        <v>24</v>
      </c>
      <c r="D2506" s="2">
        <v>2</v>
      </c>
    </row>
    <row r="2507" spans="1:4">
      <c r="A2507" s="2" t="s">
        <v>429</v>
      </c>
      <c r="B2507" s="2" t="s">
        <v>36</v>
      </c>
      <c r="C2507" s="2" t="s">
        <v>24</v>
      </c>
      <c r="D2507" s="2">
        <v>2</v>
      </c>
    </row>
    <row r="2508" spans="1:4">
      <c r="A2508" s="2" t="s">
        <v>398</v>
      </c>
      <c r="B2508" s="2" t="s">
        <v>36</v>
      </c>
      <c r="C2508" s="2" t="s">
        <v>24</v>
      </c>
      <c r="D2508" s="2">
        <v>2</v>
      </c>
    </row>
    <row r="2509" spans="1:4">
      <c r="A2509" s="2" t="s">
        <v>2024</v>
      </c>
      <c r="B2509" s="2" t="s">
        <v>36</v>
      </c>
      <c r="C2509" s="2" t="s">
        <v>24</v>
      </c>
      <c r="D2509" s="2">
        <v>2</v>
      </c>
    </row>
    <row r="2510" spans="1:4">
      <c r="A2510" s="2" t="s">
        <v>1638</v>
      </c>
      <c r="B2510" s="2" t="s">
        <v>36</v>
      </c>
      <c r="C2510" s="2" t="s">
        <v>24</v>
      </c>
      <c r="D2510" s="2">
        <v>2</v>
      </c>
    </row>
    <row r="2511" spans="1:4">
      <c r="A2511" s="2" t="s">
        <v>3483</v>
      </c>
      <c r="B2511" s="2" t="s">
        <v>36</v>
      </c>
      <c r="C2511" s="2" t="s">
        <v>24</v>
      </c>
      <c r="D2511" s="2">
        <v>2</v>
      </c>
    </row>
    <row r="2512" spans="1:4">
      <c r="A2512" s="2" t="s">
        <v>297</v>
      </c>
      <c r="B2512" s="2" t="s">
        <v>36</v>
      </c>
      <c r="C2512" s="2" t="s">
        <v>24</v>
      </c>
      <c r="D2512" s="2">
        <v>2</v>
      </c>
    </row>
    <row r="2513" spans="1:4">
      <c r="A2513" s="2" t="s">
        <v>1162</v>
      </c>
      <c r="B2513" s="2" t="s">
        <v>36</v>
      </c>
      <c r="C2513" s="2" t="s">
        <v>24</v>
      </c>
      <c r="D2513" s="2">
        <v>2</v>
      </c>
    </row>
    <row r="2514" spans="1:4">
      <c r="A2514" s="2" t="s">
        <v>2556</v>
      </c>
      <c r="B2514" s="2" t="s">
        <v>36</v>
      </c>
      <c r="C2514" s="2" t="s">
        <v>24</v>
      </c>
      <c r="D2514" s="2">
        <v>2</v>
      </c>
    </row>
    <row r="2515" spans="1:4">
      <c r="A2515" s="2" t="s">
        <v>376</v>
      </c>
      <c r="B2515" s="2" t="s">
        <v>36</v>
      </c>
      <c r="C2515" s="2" t="s">
        <v>24</v>
      </c>
      <c r="D2515" s="2">
        <v>2</v>
      </c>
    </row>
    <row r="2516" spans="1:4">
      <c r="A2516" s="2" t="s">
        <v>3984</v>
      </c>
      <c r="B2516" s="2" t="s">
        <v>36</v>
      </c>
      <c r="C2516" s="2" t="s">
        <v>24</v>
      </c>
      <c r="D2516" s="2">
        <v>2</v>
      </c>
    </row>
    <row r="2517" spans="1:4">
      <c r="A2517" s="2" t="s">
        <v>3536</v>
      </c>
      <c r="B2517" s="2" t="s">
        <v>36</v>
      </c>
      <c r="C2517" s="2" t="s">
        <v>24</v>
      </c>
      <c r="D2517" s="2">
        <v>2</v>
      </c>
    </row>
    <row r="2518" spans="1:4">
      <c r="A2518" s="2" t="s">
        <v>3537</v>
      </c>
      <c r="B2518" s="2" t="s">
        <v>36</v>
      </c>
      <c r="C2518" s="2" t="s">
        <v>24</v>
      </c>
      <c r="D2518" s="2">
        <v>2</v>
      </c>
    </row>
    <row r="2519" spans="1:4">
      <c r="A2519" s="2" t="s">
        <v>1689</v>
      </c>
      <c r="B2519" s="2" t="s">
        <v>36</v>
      </c>
      <c r="C2519" s="2" t="s">
        <v>24</v>
      </c>
      <c r="D2519" s="2">
        <v>2</v>
      </c>
    </row>
    <row r="2520" spans="1:4">
      <c r="A2520" s="2" t="s">
        <v>2582</v>
      </c>
      <c r="B2520" s="2" t="s">
        <v>36</v>
      </c>
      <c r="C2520" s="2" t="s">
        <v>24</v>
      </c>
      <c r="D2520" s="2">
        <v>2</v>
      </c>
    </row>
    <row r="2521" spans="1:4">
      <c r="A2521" s="2" t="s">
        <v>2578</v>
      </c>
      <c r="B2521" s="2" t="s">
        <v>36</v>
      </c>
      <c r="C2521" s="2" t="s">
        <v>24</v>
      </c>
      <c r="D2521" s="2">
        <v>2</v>
      </c>
    </row>
    <row r="2522" spans="1:4">
      <c r="A2522" s="2" t="s">
        <v>1221</v>
      </c>
      <c r="B2522" s="2" t="s">
        <v>36</v>
      </c>
      <c r="C2522" s="2" t="s">
        <v>24</v>
      </c>
      <c r="D2522" s="2">
        <v>2</v>
      </c>
    </row>
    <row r="2523" spans="1:4">
      <c r="A2523" s="2" t="s">
        <v>4347</v>
      </c>
      <c r="B2523" s="2" t="s">
        <v>36</v>
      </c>
      <c r="C2523" s="2" t="s">
        <v>24</v>
      </c>
      <c r="D2523" s="2">
        <v>2</v>
      </c>
    </row>
    <row r="2524" spans="1:4">
      <c r="A2524" s="2" t="s">
        <v>4682</v>
      </c>
      <c r="B2524" s="2" t="s">
        <v>36</v>
      </c>
      <c r="C2524" s="2" t="s">
        <v>24</v>
      </c>
      <c r="D2524" s="2">
        <v>1</v>
      </c>
    </row>
    <row r="2525" spans="1:4">
      <c r="A2525" s="2" t="s">
        <v>2073</v>
      </c>
      <c r="B2525" s="2" t="s">
        <v>36</v>
      </c>
      <c r="C2525" s="2" t="s">
        <v>24</v>
      </c>
      <c r="D2525" s="2">
        <v>1</v>
      </c>
    </row>
    <row r="2526" spans="1:4">
      <c r="A2526" s="2" t="s">
        <v>4649</v>
      </c>
      <c r="B2526" s="2" t="s">
        <v>36</v>
      </c>
      <c r="C2526" s="2" t="s">
        <v>24</v>
      </c>
      <c r="D2526" s="2">
        <v>1</v>
      </c>
    </row>
    <row r="2527" spans="1:4">
      <c r="A2527" s="2" t="s">
        <v>3538</v>
      </c>
      <c r="B2527" s="2" t="s">
        <v>36</v>
      </c>
      <c r="C2527" s="2" t="s">
        <v>24</v>
      </c>
      <c r="D2527" s="2">
        <v>1</v>
      </c>
    </row>
    <row r="2528" spans="1:4">
      <c r="A2528" s="2" t="s">
        <v>4283</v>
      </c>
      <c r="B2528" s="2" t="s">
        <v>36</v>
      </c>
      <c r="C2528" s="2" t="s">
        <v>24</v>
      </c>
      <c r="D2528" s="2">
        <v>1</v>
      </c>
    </row>
    <row r="2529" spans="1:4">
      <c r="A2529" s="2" t="s">
        <v>3539</v>
      </c>
      <c r="B2529" s="2" t="s">
        <v>36</v>
      </c>
      <c r="C2529" s="2" t="s">
        <v>24</v>
      </c>
      <c r="D2529" s="2">
        <v>1</v>
      </c>
    </row>
    <row r="2530" spans="1:4">
      <c r="A2530" s="2" t="s">
        <v>1633</v>
      </c>
      <c r="B2530" s="2" t="s">
        <v>36</v>
      </c>
      <c r="C2530" s="2" t="s">
        <v>24</v>
      </c>
      <c r="D2530" s="2">
        <v>1</v>
      </c>
    </row>
    <row r="2531" spans="1:4">
      <c r="A2531" s="2" t="s">
        <v>1198</v>
      </c>
      <c r="B2531" s="2" t="s">
        <v>36</v>
      </c>
      <c r="C2531" s="2" t="s">
        <v>24</v>
      </c>
      <c r="D2531" s="2">
        <v>1</v>
      </c>
    </row>
    <row r="2532" spans="1:4">
      <c r="A2532" s="2" t="s">
        <v>4684</v>
      </c>
      <c r="B2532" s="2" t="s">
        <v>36</v>
      </c>
      <c r="C2532" s="2" t="s">
        <v>24</v>
      </c>
      <c r="D2532" s="2">
        <v>1</v>
      </c>
    </row>
    <row r="2533" spans="1:4">
      <c r="A2533" s="2" t="s">
        <v>3515</v>
      </c>
      <c r="B2533" s="2" t="s">
        <v>36</v>
      </c>
      <c r="C2533" s="2" t="s">
        <v>24</v>
      </c>
      <c r="D2533" s="2">
        <v>1</v>
      </c>
    </row>
    <row r="2534" spans="1:4">
      <c r="A2534" s="2" t="s">
        <v>4639</v>
      </c>
      <c r="B2534" s="2" t="s">
        <v>36</v>
      </c>
      <c r="C2534" s="2" t="s">
        <v>24</v>
      </c>
      <c r="D2534" s="2">
        <v>1</v>
      </c>
    </row>
    <row r="2535" spans="1:4">
      <c r="A2535" s="2" t="s">
        <v>4637</v>
      </c>
      <c r="B2535" s="2" t="s">
        <v>36</v>
      </c>
      <c r="C2535" s="2" t="s">
        <v>24</v>
      </c>
      <c r="D2535" s="2">
        <v>1</v>
      </c>
    </row>
    <row r="2536" spans="1:4">
      <c r="A2536" s="2" t="s">
        <v>382</v>
      </c>
      <c r="B2536" s="2" t="s">
        <v>36</v>
      </c>
      <c r="C2536" s="2" t="s">
        <v>24</v>
      </c>
      <c r="D2536" s="2">
        <v>1</v>
      </c>
    </row>
    <row r="2537" spans="1:4">
      <c r="A2537" s="2" t="s">
        <v>4311</v>
      </c>
      <c r="B2537" s="2" t="s">
        <v>36</v>
      </c>
      <c r="C2537" s="2" t="s">
        <v>24</v>
      </c>
      <c r="D2537" s="2">
        <v>1</v>
      </c>
    </row>
    <row r="2538" spans="1:4">
      <c r="A2538" s="2" t="s">
        <v>4651</v>
      </c>
      <c r="B2538" s="2" t="s">
        <v>36</v>
      </c>
      <c r="C2538" s="2" t="s">
        <v>24</v>
      </c>
      <c r="D2538" s="2">
        <v>1</v>
      </c>
    </row>
    <row r="2539" spans="1:4">
      <c r="A2539" s="2" t="s">
        <v>4632</v>
      </c>
      <c r="B2539" s="2" t="s">
        <v>36</v>
      </c>
      <c r="C2539" s="2" t="s">
        <v>24</v>
      </c>
      <c r="D2539" s="2">
        <v>1</v>
      </c>
    </row>
    <row r="2540" spans="1:4">
      <c r="A2540" s="2" t="s">
        <v>299</v>
      </c>
      <c r="B2540" s="2" t="s">
        <v>36</v>
      </c>
      <c r="C2540" s="2" t="s">
        <v>24</v>
      </c>
      <c r="D2540" s="2">
        <v>1</v>
      </c>
    </row>
    <row r="2541" spans="1:4">
      <c r="A2541" s="2" t="s">
        <v>301</v>
      </c>
      <c r="B2541" s="2" t="s">
        <v>36</v>
      </c>
      <c r="C2541" s="2" t="s">
        <v>24</v>
      </c>
      <c r="D2541" s="2">
        <v>1</v>
      </c>
    </row>
    <row r="2542" spans="1:4">
      <c r="A2542" s="2" t="s">
        <v>1171</v>
      </c>
      <c r="B2542" s="2" t="s">
        <v>36</v>
      </c>
      <c r="C2542" s="2" t="s">
        <v>24</v>
      </c>
      <c r="D2542" s="2">
        <v>1</v>
      </c>
    </row>
    <row r="2543" spans="1:4">
      <c r="A2543" s="2" t="s">
        <v>4661</v>
      </c>
      <c r="B2543" s="2" t="s">
        <v>36</v>
      </c>
      <c r="C2543" s="2" t="s">
        <v>24</v>
      </c>
      <c r="D2543" s="2">
        <v>1</v>
      </c>
    </row>
    <row r="2544" spans="1:4">
      <c r="A2544" s="2" t="s">
        <v>4644</v>
      </c>
      <c r="B2544" s="2" t="s">
        <v>36</v>
      </c>
      <c r="C2544" s="2" t="s">
        <v>24</v>
      </c>
      <c r="D2544" s="2">
        <v>1</v>
      </c>
    </row>
    <row r="2545" spans="1:4">
      <c r="A2545" s="2" t="s">
        <v>2602</v>
      </c>
      <c r="B2545" s="2" t="s">
        <v>36</v>
      </c>
      <c r="C2545" s="2" t="s">
        <v>24</v>
      </c>
      <c r="D2545" s="2">
        <v>1</v>
      </c>
    </row>
    <row r="2546" spans="1:4">
      <c r="A2546" s="2" t="s">
        <v>2603</v>
      </c>
      <c r="B2546" s="2" t="s">
        <v>36</v>
      </c>
      <c r="C2546" s="2" t="s">
        <v>24</v>
      </c>
      <c r="D2546" s="2">
        <v>1</v>
      </c>
    </row>
    <row r="2547" spans="1:4">
      <c r="A2547" s="2" t="s">
        <v>3057</v>
      </c>
      <c r="B2547" s="2" t="s">
        <v>36</v>
      </c>
      <c r="C2547" s="2" t="s">
        <v>24</v>
      </c>
      <c r="D2547" s="2">
        <v>1</v>
      </c>
    </row>
    <row r="2548" spans="1:4">
      <c r="A2548" s="2" t="s">
        <v>1152</v>
      </c>
      <c r="B2548" s="2" t="s">
        <v>36</v>
      </c>
      <c r="C2548" s="2" t="s">
        <v>24</v>
      </c>
      <c r="D2548" s="2">
        <v>1</v>
      </c>
    </row>
    <row r="2549" spans="1:4">
      <c r="A2549" s="2" t="s">
        <v>4677</v>
      </c>
      <c r="B2549" s="2" t="s">
        <v>36</v>
      </c>
      <c r="C2549" s="2" t="s">
        <v>24</v>
      </c>
      <c r="D2549" s="2">
        <v>1</v>
      </c>
    </row>
    <row r="2550" spans="1:4">
      <c r="A2550" s="2" t="s">
        <v>1163</v>
      </c>
      <c r="B2550" s="2" t="s">
        <v>36</v>
      </c>
      <c r="C2550" s="2" t="s">
        <v>24</v>
      </c>
      <c r="D2550" s="2">
        <v>1</v>
      </c>
    </row>
    <row r="2551" spans="1:4">
      <c r="A2551" s="2" t="s">
        <v>4618</v>
      </c>
      <c r="B2551" s="2" t="s">
        <v>36</v>
      </c>
      <c r="C2551" s="2" t="s">
        <v>24</v>
      </c>
      <c r="D2551" s="2">
        <v>1</v>
      </c>
    </row>
    <row r="2552" spans="1:4">
      <c r="A2552" s="2" t="s">
        <v>3971</v>
      </c>
      <c r="B2552" s="2" t="s">
        <v>36</v>
      </c>
      <c r="C2552" s="2" t="s">
        <v>24</v>
      </c>
      <c r="D2552" s="2">
        <v>1</v>
      </c>
    </row>
    <row r="2553" spans="1:4">
      <c r="A2553" s="2" t="s">
        <v>4293</v>
      </c>
      <c r="B2553" s="2" t="s">
        <v>36</v>
      </c>
      <c r="C2553" s="2" t="s">
        <v>24</v>
      </c>
      <c r="D2553" s="2">
        <v>1</v>
      </c>
    </row>
    <row r="2554" spans="1:4">
      <c r="A2554" s="2" t="s">
        <v>3540</v>
      </c>
      <c r="B2554" s="2" t="s">
        <v>36</v>
      </c>
      <c r="C2554" s="2" t="s">
        <v>24</v>
      </c>
      <c r="D2554" s="2">
        <v>1</v>
      </c>
    </row>
    <row r="2555" spans="1:4">
      <c r="A2555" s="2" t="s">
        <v>4689</v>
      </c>
      <c r="B2555" s="2" t="s">
        <v>36</v>
      </c>
      <c r="C2555" s="2" t="s">
        <v>24</v>
      </c>
      <c r="D2555" s="2">
        <v>1</v>
      </c>
    </row>
    <row r="2556" spans="1:4">
      <c r="A2556" s="2" t="s">
        <v>4312</v>
      </c>
      <c r="B2556" s="2" t="s">
        <v>36</v>
      </c>
      <c r="C2556" s="2" t="s">
        <v>24</v>
      </c>
      <c r="D2556" s="2">
        <v>1</v>
      </c>
    </row>
    <row r="2557" spans="1:4">
      <c r="A2557" s="2" t="s">
        <v>4679</v>
      </c>
      <c r="B2557" s="2" t="s">
        <v>36</v>
      </c>
      <c r="C2557" s="2" t="s">
        <v>24</v>
      </c>
      <c r="D2557" s="2">
        <v>1</v>
      </c>
    </row>
    <row r="2558" spans="1:4">
      <c r="A2558" s="2" t="s">
        <v>326</v>
      </c>
      <c r="B2558" s="2" t="s">
        <v>36</v>
      </c>
      <c r="C2558" s="2" t="s">
        <v>24</v>
      </c>
      <c r="D2558" s="2">
        <v>1</v>
      </c>
    </row>
    <row r="2559" spans="1:4">
      <c r="A2559" s="2" t="s">
        <v>355</v>
      </c>
      <c r="B2559" s="2" t="s">
        <v>36</v>
      </c>
      <c r="C2559" s="2" t="s">
        <v>24</v>
      </c>
      <c r="D2559" s="2">
        <v>1</v>
      </c>
    </row>
    <row r="2560" spans="1:4">
      <c r="A2560" s="2" t="s">
        <v>392</v>
      </c>
      <c r="B2560" s="2" t="s">
        <v>36</v>
      </c>
      <c r="C2560" s="2" t="s">
        <v>24</v>
      </c>
      <c r="D2560" s="2">
        <v>1</v>
      </c>
    </row>
    <row r="2561" spans="1:4">
      <c r="A2561" s="2" t="s">
        <v>3122</v>
      </c>
      <c r="B2561" s="2" t="s">
        <v>36</v>
      </c>
      <c r="C2561" s="2" t="s">
        <v>24</v>
      </c>
      <c r="D2561" s="2">
        <v>1</v>
      </c>
    </row>
    <row r="2562" spans="1:4">
      <c r="A2562" s="2" t="s">
        <v>1199</v>
      </c>
      <c r="B2562" s="2" t="s">
        <v>36</v>
      </c>
      <c r="C2562" s="2" t="s">
        <v>24</v>
      </c>
      <c r="D2562" s="2">
        <v>1</v>
      </c>
    </row>
    <row r="2563" spans="1:4">
      <c r="A2563" s="2" t="s">
        <v>3059</v>
      </c>
      <c r="B2563" s="2" t="s">
        <v>36</v>
      </c>
      <c r="C2563" s="2" t="s">
        <v>24</v>
      </c>
      <c r="D2563" s="2">
        <v>1</v>
      </c>
    </row>
    <row r="2564" spans="1:4">
      <c r="A2564" s="2" t="s">
        <v>4642</v>
      </c>
      <c r="B2564" s="2" t="s">
        <v>36</v>
      </c>
      <c r="C2564" s="2" t="s">
        <v>24</v>
      </c>
      <c r="D2564" s="2">
        <v>1</v>
      </c>
    </row>
    <row r="2565" spans="1:4">
      <c r="A2565" s="2" t="s">
        <v>4294</v>
      </c>
      <c r="B2565" s="2" t="s">
        <v>36</v>
      </c>
      <c r="C2565" s="2" t="s">
        <v>24</v>
      </c>
      <c r="D2565" s="2">
        <v>1</v>
      </c>
    </row>
    <row r="2566" spans="1:4">
      <c r="A2566" s="2" t="s">
        <v>3541</v>
      </c>
      <c r="B2566" s="2" t="s">
        <v>36</v>
      </c>
      <c r="C2566" s="2" t="s">
        <v>24</v>
      </c>
      <c r="D2566" s="2">
        <v>1</v>
      </c>
    </row>
    <row r="2567" spans="1:4">
      <c r="A2567" s="2" t="s">
        <v>3542</v>
      </c>
      <c r="B2567" s="2" t="s">
        <v>36</v>
      </c>
      <c r="C2567" s="2" t="s">
        <v>24</v>
      </c>
      <c r="D2567" s="2">
        <v>1</v>
      </c>
    </row>
    <row r="2568" spans="1:4">
      <c r="A2568" s="2" t="s">
        <v>4313</v>
      </c>
      <c r="B2568" s="2" t="s">
        <v>36</v>
      </c>
      <c r="C2568" s="2" t="s">
        <v>24</v>
      </c>
      <c r="D2568" s="2">
        <v>1</v>
      </c>
    </row>
    <row r="2569" spans="1:4">
      <c r="A2569" s="2" t="s">
        <v>4297</v>
      </c>
      <c r="B2569" s="2" t="s">
        <v>36</v>
      </c>
      <c r="C2569" s="2" t="s">
        <v>24</v>
      </c>
      <c r="D2569" s="2">
        <v>1</v>
      </c>
    </row>
    <row r="2570" spans="1:4">
      <c r="A2570" s="2" t="s">
        <v>4314</v>
      </c>
      <c r="B2570" s="2" t="s">
        <v>36</v>
      </c>
      <c r="C2570" s="2" t="s">
        <v>24</v>
      </c>
      <c r="D2570" s="2">
        <v>1</v>
      </c>
    </row>
    <row r="2571" spans="1:4">
      <c r="A2571" s="2" t="s">
        <v>4298</v>
      </c>
      <c r="B2571" s="2" t="s">
        <v>36</v>
      </c>
      <c r="C2571" s="2" t="s">
        <v>24</v>
      </c>
      <c r="D2571" s="2">
        <v>1</v>
      </c>
    </row>
    <row r="2572" spans="1:4">
      <c r="A2572" s="2" t="s">
        <v>4315</v>
      </c>
      <c r="B2572" s="2" t="s">
        <v>36</v>
      </c>
      <c r="C2572" s="2" t="s">
        <v>24</v>
      </c>
      <c r="D2572" s="2">
        <v>1</v>
      </c>
    </row>
    <row r="2573" spans="1:4">
      <c r="A2573" s="2" t="s">
        <v>3060</v>
      </c>
      <c r="B2573" s="2" t="s">
        <v>36</v>
      </c>
      <c r="C2573" s="2" t="s">
        <v>24</v>
      </c>
      <c r="D2573" s="2">
        <v>1</v>
      </c>
    </row>
    <row r="2574" spans="1:4">
      <c r="A2574" s="2" t="s">
        <v>4657</v>
      </c>
      <c r="B2574" s="2" t="s">
        <v>36</v>
      </c>
      <c r="C2574" s="2" t="s">
        <v>24</v>
      </c>
      <c r="D2574" s="2">
        <v>1</v>
      </c>
    </row>
    <row r="2575" spans="1:4">
      <c r="A2575" s="2" t="s">
        <v>3045</v>
      </c>
      <c r="B2575" s="2" t="s">
        <v>36</v>
      </c>
      <c r="C2575" s="2" t="s">
        <v>24</v>
      </c>
      <c r="D2575" s="2">
        <v>1</v>
      </c>
    </row>
    <row r="2576" spans="1:4">
      <c r="A2576" s="2" t="s">
        <v>3083</v>
      </c>
      <c r="B2576" s="2" t="s">
        <v>36</v>
      </c>
      <c r="C2576" s="2" t="s">
        <v>24</v>
      </c>
      <c r="D2576" s="2">
        <v>1</v>
      </c>
    </row>
    <row r="2577" spans="1:4">
      <c r="A2577" s="2" t="s">
        <v>3046</v>
      </c>
      <c r="B2577" s="2" t="s">
        <v>36</v>
      </c>
      <c r="C2577" s="2" t="s">
        <v>24</v>
      </c>
      <c r="D2577" s="2">
        <v>1</v>
      </c>
    </row>
    <row r="2578" spans="1:4">
      <c r="A2578" s="2" t="s">
        <v>3041</v>
      </c>
      <c r="B2578" s="2" t="s">
        <v>36</v>
      </c>
      <c r="C2578" s="2" t="s">
        <v>24</v>
      </c>
      <c r="D2578" s="2">
        <v>1</v>
      </c>
    </row>
    <row r="2579" spans="1:4">
      <c r="A2579" s="2" t="s">
        <v>4662</v>
      </c>
      <c r="B2579" s="2" t="s">
        <v>36</v>
      </c>
      <c r="C2579" s="2" t="s">
        <v>24</v>
      </c>
      <c r="D2579" s="2">
        <v>1</v>
      </c>
    </row>
    <row r="2580" spans="1:4">
      <c r="A2580" s="2" t="s">
        <v>3498</v>
      </c>
      <c r="B2580" s="2" t="s">
        <v>36</v>
      </c>
      <c r="C2580" s="2" t="s">
        <v>24</v>
      </c>
      <c r="D2580" s="2">
        <v>1</v>
      </c>
    </row>
    <row r="2581" spans="1:4">
      <c r="A2581" s="2" t="s">
        <v>3084</v>
      </c>
      <c r="B2581" s="2" t="s">
        <v>36</v>
      </c>
      <c r="C2581" s="2" t="s">
        <v>24</v>
      </c>
      <c r="D2581" s="2">
        <v>1</v>
      </c>
    </row>
    <row r="2582" spans="1:4">
      <c r="A2582" s="2" t="s">
        <v>3085</v>
      </c>
      <c r="B2582" s="2" t="s">
        <v>36</v>
      </c>
      <c r="C2582" s="2" t="s">
        <v>24</v>
      </c>
      <c r="D2582" s="2">
        <v>1</v>
      </c>
    </row>
    <row r="2583" spans="1:4">
      <c r="A2583" s="2" t="s">
        <v>3481</v>
      </c>
      <c r="B2583" s="2" t="s">
        <v>36</v>
      </c>
      <c r="C2583" s="2" t="s">
        <v>24</v>
      </c>
      <c r="D2583" s="2">
        <v>1</v>
      </c>
    </row>
    <row r="2584" spans="1:4">
      <c r="A2584" s="2" t="s">
        <v>3544</v>
      </c>
      <c r="B2584" s="2" t="s">
        <v>36</v>
      </c>
      <c r="C2584" s="2" t="s">
        <v>24</v>
      </c>
      <c r="D2584" s="2">
        <v>1</v>
      </c>
    </row>
    <row r="2585" spans="1:4">
      <c r="A2585" s="2" t="s">
        <v>1133</v>
      </c>
      <c r="B2585" s="2" t="s">
        <v>36</v>
      </c>
      <c r="C2585" s="2" t="s">
        <v>24</v>
      </c>
      <c r="D2585" s="2">
        <v>1</v>
      </c>
    </row>
    <row r="2586" spans="1:4">
      <c r="A2586" s="2" t="s">
        <v>1182</v>
      </c>
      <c r="B2586" s="2" t="s">
        <v>36</v>
      </c>
      <c r="C2586" s="2" t="s">
        <v>24</v>
      </c>
      <c r="D2586" s="2">
        <v>1</v>
      </c>
    </row>
    <row r="2587" spans="1:4">
      <c r="A2587" s="2" t="s">
        <v>3086</v>
      </c>
      <c r="B2587" s="2" t="s">
        <v>36</v>
      </c>
      <c r="C2587" s="2" t="s">
        <v>24</v>
      </c>
      <c r="D2587" s="2">
        <v>1</v>
      </c>
    </row>
    <row r="2588" spans="1:4">
      <c r="A2588" s="2" t="s">
        <v>3957</v>
      </c>
      <c r="B2588" s="2" t="s">
        <v>36</v>
      </c>
      <c r="C2588" s="2" t="s">
        <v>24</v>
      </c>
      <c r="D2588" s="2">
        <v>1</v>
      </c>
    </row>
    <row r="2589" spans="1:4">
      <c r="A2589" s="2" t="s">
        <v>3493</v>
      </c>
      <c r="B2589" s="2" t="s">
        <v>36</v>
      </c>
      <c r="C2589" s="2" t="s">
        <v>24</v>
      </c>
      <c r="D2589" s="2">
        <v>1</v>
      </c>
    </row>
    <row r="2590" spans="1:4">
      <c r="A2590" s="2" t="s">
        <v>4691</v>
      </c>
      <c r="B2590" s="2" t="s">
        <v>36</v>
      </c>
      <c r="C2590" s="2" t="s">
        <v>24</v>
      </c>
      <c r="D2590" s="2">
        <v>1</v>
      </c>
    </row>
    <row r="2591" spans="1:4">
      <c r="A2591" s="2" t="s">
        <v>3547</v>
      </c>
      <c r="B2591" s="2" t="s">
        <v>36</v>
      </c>
      <c r="C2591" s="2" t="s">
        <v>24</v>
      </c>
      <c r="D2591" s="2">
        <v>1</v>
      </c>
    </row>
    <row r="2592" spans="1:4">
      <c r="A2592" s="2" t="s">
        <v>3517</v>
      </c>
      <c r="B2592" s="2" t="s">
        <v>36</v>
      </c>
      <c r="C2592" s="2" t="s">
        <v>24</v>
      </c>
      <c r="D2592" s="2">
        <v>1</v>
      </c>
    </row>
    <row r="2593" spans="1:4">
      <c r="A2593" s="2" t="s">
        <v>3548</v>
      </c>
      <c r="B2593" s="2" t="s">
        <v>36</v>
      </c>
      <c r="C2593" s="2" t="s">
        <v>24</v>
      </c>
      <c r="D2593" s="2">
        <v>1</v>
      </c>
    </row>
    <row r="2594" spans="1:4">
      <c r="A2594" s="2" t="s">
        <v>3518</v>
      </c>
      <c r="B2594" s="2" t="s">
        <v>36</v>
      </c>
      <c r="C2594" s="2" t="s">
        <v>24</v>
      </c>
      <c r="D2594" s="2">
        <v>1</v>
      </c>
    </row>
    <row r="2595" spans="1:4">
      <c r="A2595" s="2" t="s">
        <v>4001</v>
      </c>
      <c r="B2595" s="2" t="s">
        <v>36</v>
      </c>
      <c r="C2595" s="2" t="s">
        <v>24</v>
      </c>
      <c r="D2595" s="2">
        <v>1</v>
      </c>
    </row>
    <row r="2596" spans="1:4">
      <c r="A2596" s="2" t="s">
        <v>3035</v>
      </c>
      <c r="B2596" s="2" t="s">
        <v>36</v>
      </c>
      <c r="C2596" s="2" t="s">
        <v>24</v>
      </c>
      <c r="D2596" s="2">
        <v>1</v>
      </c>
    </row>
    <row r="2597" spans="1:4">
      <c r="A2597" s="2" t="s">
        <v>3047</v>
      </c>
      <c r="B2597" s="2" t="s">
        <v>36</v>
      </c>
      <c r="C2597" s="2" t="s">
        <v>24</v>
      </c>
      <c r="D2597" s="2">
        <v>1</v>
      </c>
    </row>
    <row r="2598" spans="1:4">
      <c r="A2598" s="2" t="s">
        <v>2574</v>
      </c>
      <c r="B2598" s="2" t="s">
        <v>36</v>
      </c>
      <c r="C2598" s="2" t="s">
        <v>24</v>
      </c>
      <c r="D2598" s="2">
        <v>1</v>
      </c>
    </row>
    <row r="2599" spans="1:4">
      <c r="A2599" s="2" t="s">
        <v>3061</v>
      </c>
      <c r="B2599" s="2" t="s">
        <v>36</v>
      </c>
      <c r="C2599" s="2" t="s">
        <v>24</v>
      </c>
      <c r="D2599" s="2">
        <v>1</v>
      </c>
    </row>
    <row r="2600" spans="1:4">
      <c r="A2600" s="2" t="s">
        <v>2634</v>
      </c>
      <c r="B2600" s="2" t="s">
        <v>36</v>
      </c>
      <c r="C2600" s="2" t="s">
        <v>24</v>
      </c>
      <c r="D2600" s="2">
        <v>1</v>
      </c>
    </row>
    <row r="2601" spans="1:4">
      <c r="A2601" s="2" t="s">
        <v>2636</v>
      </c>
      <c r="B2601" s="2" t="s">
        <v>36</v>
      </c>
      <c r="C2601" s="2" t="s">
        <v>24</v>
      </c>
      <c r="D2601" s="2">
        <v>1</v>
      </c>
    </row>
    <row r="2602" spans="1:4">
      <c r="A2602" s="2" t="s">
        <v>4002</v>
      </c>
      <c r="B2602" s="2" t="s">
        <v>36</v>
      </c>
      <c r="C2602" s="2" t="s">
        <v>24</v>
      </c>
      <c r="D2602" s="2">
        <v>1</v>
      </c>
    </row>
    <row r="2603" spans="1:4">
      <c r="A2603" s="2" t="s">
        <v>4316</v>
      </c>
      <c r="B2603" s="2" t="s">
        <v>36</v>
      </c>
      <c r="C2603" s="2" t="s">
        <v>24</v>
      </c>
      <c r="D2603" s="2">
        <v>1</v>
      </c>
    </row>
    <row r="2604" spans="1:4">
      <c r="A2604" s="2" t="s">
        <v>1646</v>
      </c>
      <c r="B2604" s="2" t="s">
        <v>36</v>
      </c>
      <c r="C2604" s="2" t="s">
        <v>24</v>
      </c>
      <c r="D2604" s="2">
        <v>1</v>
      </c>
    </row>
    <row r="2605" spans="1:4">
      <c r="A2605" s="2" t="s">
        <v>1647</v>
      </c>
      <c r="B2605" s="2" t="s">
        <v>36</v>
      </c>
      <c r="C2605" s="2" t="s">
        <v>24</v>
      </c>
      <c r="D2605" s="2">
        <v>1</v>
      </c>
    </row>
    <row r="2606" spans="1:4">
      <c r="A2606" s="2" t="s">
        <v>4317</v>
      </c>
      <c r="B2606" s="2" t="s">
        <v>36</v>
      </c>
      <c r="C2606" s="2" t="s">
        <v>24</v>
      </c>
      <c r="D2606" s="2">
        <v>1</v>
      </c>
    </row>
    <row r="2607" spans="1:4">
      <c r="A2607" s="2" t="s">
        <v>2066</v>
      </c>
      <c r="B2607" s="2" t="s">
        <v>36</v>
      </c>
      <c r="C2607" s="2" t="s">
        <v>24</v>
      </c>
      <c r="D2607" s="2">
        <v>1</v>
      </c>
    </row>
    <row r="2608" spans="1:4">
      <c r="A2608" s="2" t="s">
        <v>1149</v>
      </c>
      <c r="B2608" s="2" t="s">
        <v>36</v>
      </c>
      <c r="C2608" s="2" t="s">
        <v>24</v>
      </c>
      <c r="D2608" s="2">
        <v>1</v>
      </c>
    </row>
    <row r="2609" spans="1:4">
      <c r="A2609" s="2" t="s">
        <v>3964</v>
      </c>
      <c r="B2609" s="2" t="s">
        <v>36</v>
      </c>
      <c r="C2609" s="2" t="s">
        <v>24</v>
      </c>
      <c r="D2609" s="2">
        <v>1</v>
      </c>
    </row>
    <row r="2610" spans="1:4">
      <c r="A2610" s="2" t="s">
        <v>3950</v>
      </c>
      <c r="B2610" s="2" t="s">
        <v>36</v>
      </c>
      <c r="C2610" s="2" t="s">
        <v>24</v>
      </c>
      <c r="D2610" s="2">
        <v>1</v>
      </c>
    </row>
    <row r="2611" spans="1:4">
      <c r="A2611" s="2" t="s">
        <v>3924</v>
      </c>
      <c r="B2611" s="2" t="s">
        <v>36</v>
      </c>
      <c r="C2611" s="2" t="s">
        <v>24</v>
      </c>
      <c r="D2611" s="2">
        <v>1</v>
      </c>
    </row>
    <row r="2612" spans="1:4">
      <c r="A2612" s="2" t="s">
        <v>3936</v>
      </c>
      <c r="B2612" s="2" t="s">
        <v>36</v>
      </c>
      <c r="C2612" s="2" t="s">
        <v>24</v>
      </c>
      <c r="D2612" s="2">
        <v>1</v>
      </c>
    </row>
    <row r="2613" spans="1:4">
      <c r="A2613" s="2" t="s">
        <v>3896</v>
      </c>
      <c r="B2613" s="2" t="s">
        <v>36</v>
      </c>
      <c r="C2613" s="2" t="s">
        <v>24</v>
      </c>
      <c r="D2613" s="2">
        <v>1</v>
      </c>
    </row>
    <row r="2614" spans="1:4">
      <c r="A2614" s="2" t="s">
        <v>3937</v>
      </c>
      <c r="B2614" s="2" t="s">
        <v>36</v>
      </c>
      <c r="C2614" s="2" t="s">
        <v>24</v>
      </c>
      <c r="D2614" s="2">
        <v>1</v>
      </c>
    </row>
    <row r="2615" spans="1:4">
      <c r="A2615" s="2" t="s">
        <v>3912</v>
      </c>
      <c r="B2615" s="2" t="s">
        <v>36</v>
      </c>
      <c r="C2615" s="2" t="s">
        <v>24</v>
      </c>
      <c r="D2615" s="2">
        <v>1</v>
      </c>
    </row>
    <row r="2616" spans="1:4">
      <c r="A2616" s="2" t="s">
        <v>4670</v>
      </c>
      <c r="B2616" s="2" t="s">
        <v>36</v>
      </c>
      <c r="C2616" s="2" t="s">
        <v>24</v>
      </c>
      <c r="D2616" s="2">
        <v>1</v>
      </c>
    </row>
    <row r="2617" spans="1:4">
      <c r="A2617" s="2" t="s">
        <v>2000</v>
      </c>
      <c r="B2617" s="2" t="s">
        <v>36</v>
      </c>
      <c r="C2617" s="2" t="s">
        <v>24</v>
      </c>
      <c r="D2617" s="2">
        <v>1</v>
      </c>
    </row>
    <row r="2618" spans="1:4">
      <c r="A2618" s="2" t="s">
        <v>2075</v>
      </c>
      <c r="B2618" s="2" t="s">
        <v>36</v>
      </c>
      <c r="C2618" s="2" t="s">
        <v>24</v>
      </c>
      <c r="D2618" s="2">
        <v>1</v>
      </c>
    </row>
    <row r="2619" spans="1:4">
      <c r="A2619" s="2" t="s">
        <v>2619</v>
      </c>
      <c r="B2619" s="2" t="s">
        <v>36</v>
      </c>
      <c r="C2619" s="2" t="s">
        <v>24</v>
      </c>
      <c r="D2619" s="2">
        <v>1</v>
      </c>
    </row>
    <row r="2620" spans="1:4">
      <c r="A2620" s="2" t="s">
        <v>1977</v>
      </c>
      <c r="B2620" s="2" t="s">
        <v>36</v>
      </c>
      <c r="C2620" s="2" t="s">
        <v>24</v>
      </c>
      <c r="D2620" s="2">
        <v>1</v>
      </c>
    </row>
    <row r="2621" spans="1:4">
      <c r="A2621" s="2" t="s">
        <v>3087</v>
      </c>
      <c r="B2621" s="2" t="s">
        <v>36</v>
      </c>
      <c r="C2621" s="2" t="s">
        <v>24</v>
      </c>
      <c r="D2621" s="2">
        <v>1</v>
      </c>
    </row>
    <row r="2622" spans="1:4">
      <c r="A2622" s="2" t="s">
        <v>364</v>
      </c>
      <c r="B2622" s="2" t="s">
        <v>36</v>
      </c>
      <c r="C2622" s="2" t="s">
        <v>24</v>
      </c>
      <c r="D2622" s="2">
        <v>1</v>
      </c>
    </row>
    <row r="2623" spans="1:4">
      <c r="A2623" s="2" t="s">
        <v>373</v>
      </c>
      <c r="B2623" s="2" t="s">
        <v>36</v>
      </c>
      <c r="C2623" s="2" t="s">
        <v>24</v>
      </c>
      <c r="D2623" s="2">
        <v>1</v>
      </c>
    </row>
    <row r="2624" spans="1:4">
      <c r="A2624" s="2" t="s">
        <v>2036</v>
      </c>
      <c r="B2624" s="2" t="s">
        <v>36</v>
      </c>
      <c r="C2624" s="2" t="s">
        <v>24</v>
      </c>
      <c r="D2624" s="2">
        <v>1</v>
      </c>
    </row>
    <row r="2625" spans="1:4">
      <c r="A2625" s="2" t="s">
        <v>4607</v>
      </c>
      <c r="B2625" s="2" t="s">
        <v>36</v>
      </c>
      <c r="C2625" s="2" t="s">
        <v>24</v>
      </c>
      <c r="D2625" s="2">
        <v>1</v>
      </c>
    </row>
    <row r="2626" spans="1:4">
      <c r="A2626" s="2" t="s">
        <v>3939</v>
      </c>
      <c r="B2626" s="2" t="s">
        <v>36</v>
      </c>
      <c r="C2626" s="2" t="s">
        <v>24</v>
      </c>
      <c r="D2626" s="2">
        <v>1</v>
      </c>
    </row>
    <row r="2627" spans="1:4">
      <c r="A2627" s="2" t="s">
        <v>3952</v>
      </c>
      <c r="B2627" s="2" t="s">
        <v>36</v>
      </c>
      <c r="C2627" s="2" t="s">
        <v>24</v>
      </c>
      <c r="D2627" s="2">
        <v>1</v>
      </c>
    </row>
    <row r="2628" spans="1:4">
      <c r="A2628" s="2" t="s">
        <v>3976</v>
      </c>
      <c r="B2628" s="2" t="s">
        <v>36</v>
      </c>
      <c r="C2628" s="2" t="s">
        <v>24</v>
      </c>
      <c r="D2628" s="2">
        <v>1</v>
      </c>
    </row>
    <row r="2629" spans="1:4">
      <c r="A2629" s="2" t="s">
        <v>3930</v>
      </c>
      <c r="B2629" s="2" t="s">
        <v>36</v>
      </c>
      <c r="C2629" s="2" t="s">
        <v>24</v>
      </c>
      <c r="D2629" s="2">
        <v>1</v>
      </c>
    </row>
    <row r="2630" spans="1:4">
      <c r="A2630" s="2" t="s">
        <v>3918</v>
      </c>
      <c r="B2630" s="2" t="s">
        <v>36</v>
      </c>
      <c r="C2630" s="2" t="s">
        <v>24</v>
      </c>
      <c r="D2630" s="2">
        <v>1</v>
      </c>
    </row>
    <row r="2631" spans="1:4">
      <c r="A2631" s="2" t="s">
        <v>3935</v>
      </c>
      <c r="B2631" s="2" t="s">
        <v>36</v>
      </c>
      <c r="C2631" s="2" t="s">
        <v>24</v>
      </c>
      <c r="D2631" s="2">
        <v>1</v>
      </c>
    </row>
    <row r="2632" spans="1:4">
      <c r="A2632" s="2" t="s">
        <v>3989</v>
      </c>
      <c r="B2632" s="2" t="s">
        <v>36</v>
      </c>
      <c r="C2632" s="2" t="s">
        <v>24</v>
      </c>
      <c r="D2632" s="2">
        <v>1</v>
      </c>
    </row>
    <row r="2633" spans="1:4">
      <c r="A2633" s="2" t="s">
        <v>1183</v>
      </c>
      <c r="B2633" s="2" t="s">
        <v>36</v>
      </c>
      <c r="C2633" s="2" t="s">
        <v>24</v>
      </c>
      <c r="D2633" s="2">
        <v>1</v>
      </c>
    </row>
    <row r="2634" spans="1:4">
      <c r="A2634" s="2" t="s">
        <v>3123</v>
      </c>
      <c r="B2634" s="2" t="s">
        <v>36</v>
      </c>
      <c r="C2634" s="2" t="s">
        <v>24</v>
      </c>
      <c r="D2634" s="2">
        <v>1</v>
      </c>
    </row>
    <row r="2635" spans="1:4">
      <c r="A2635" s="2" t="s">
        <v>3981</v>
      </c>
      <c r="B2635" s="2" t="s">
        <v>36</v>
      </c>
      <c r="C2635" s="2" t="s">
        <v>24</v>
      </c>
      <c r="D2635" s="2">
        <v>1</v>
      </c>
    </row>
    <row r="2636" spans="1:4">
      <c r="A2636" s="2" t="s">
        <v>3965</v>
      </c>
      <c r="B2636" s="2" t="s">
        <v>36</v>
      </c>
      <c r="C2636" s="2" t="s">
        <v>24</v>
      </c>
      <c r="D2636" s="2">
        <v>1</v>
      </c>
    </row>
    <row r="2637" spans="1:4">
      <c r="A2637" s="2" t="s">
        <v>4318</v>
      </c>
      <c r="B2637" s="2" t="s">
        <v>36</v>
      </c>
      <c r="C2637" s="2" t="s">
        <v>24</v>
      </c>
      <c r="D2637" s="2">
        <v>1</v>
      </c>
    </row>
    <row r="2638" spans="1:4">
      <c r="A2638" s="2" t="s">
        <v>1140</v>
      </c>
      <c r="B2638" s="2" t="s">
        <v>36</v>
      </c>
      <c r="C2638" s="2" t="s">
        <v>24</v>
      </c>
      <c r="D2638" s="2">
        <v>1</v>
      </c>
    </row>
    <row r="2639" spans="1:4">
      <c r="A2639" s="2" t="s">
        <v>3062</v>
      </c>
      <c r="B2639" s="2" t="s">
        <v>36</v>
      </c>
      <c r="C2639" s="2" t="s">
        <v>24</v>
      </c>
      <c r="D2639" s="2">
        <v>1</v>
      </c>
    </row>
    <row r="2640" spans="1:4">
      <c r="A2640" s="2" t="s">
        <v>1142</v>
      </c>
      <c r="B2640" s="2" t="s">
        <v>36</v>
      </c>
      <c r="C2640" s="2" t="s">
        <v>24</v>
      </c>
      <c r="D2640" s="2">
        <v>1</v>
      </c>
    </row>
    <row r="2641" spans="1:4">
      <c r="A2641" s="2" t="s">
        <v>2076</v>
      </c>
      <c r="B2641" s="2" t="s">
        <v>36</v>
      </c>
      <c r="C2641" s="2" t="s">
        <v>24</v>
      </c>
      <c r="D2641" s="2">
        <v>1</v>
      </c>
    </row>
    <row r="2642" spans="1:4">
      <c r="A2642" s="2" t="s">
        <v>357</v>
      </c>
      <c r="B2642" s="2" t="s">
        <v>36</v>
      </c>
      <c r="C2642" s="2" t="s">
        <v>24</v>
      </c>
      <c r="D2642" s="2">
        <v>1</v>
      </c>
    </row>
    <row r="2643" spans="1:4">
      <c r="A2643" s="2" t="s">
        <v>315</v>
      </c>
      <c r="B2643" s="2" t="s">
        <v>36</v>
      </c>
      <c r="C2643" s="2" t="s">
        <v>24</v>
      </c>
      <c r="D2643" s="2">
        <v>1</v>
      </c>
    </row>
    <row r="2644" spans="1:4">
      <c r="A2644" s="2" t="s">
        <v>1648</v>
      </c>
      <c r="B2644" s="2" t="s">
        <v>36</v>
      </c>
      <c r="C2644" s="2" t="s">
        <v>24</v>
      </c>
      <c r="D2644" s="2">
        <v>1</v>
      </c>
    </row>
    <row r="2645" spans="1:4">
      <c r="A2645" s="2" t="s">
        <v>4653</v>
      </c>
      <c r="B2645" s="2" t="s">
        <v>36</v>
      </c>
      <c r="C2645" s="2" t="s">
        <v>24</v>
      </c>
      <c r="D2645" s="2">
        <v>1</v>
      </c>
    </row>
    <row r="2646" spans="1:4">
      <c r="A2646" s="2" t="s">
        <v>3089</v>
      </c>
      <c r="B2646" s="2" t="s">
        <v>36</v>
      </c>
      <c r="C2646" s="2" t="s">
        <v>24</v>
      </c>
      <c r="D2646" s="2">
        <v>1</v>
      </c>
    </row>
    <row r="2647" spans="1:4">
      <c r="A2647" s="2" t="s">
        <v>3954</v>
      </c>
      <c r="B2647" s="2" t="s">
        <v>36</v>
      </c>
      <c r="C2647" s="2" t="s">
        <v>24</v>
      </c>
      <c r="D2647" s="2">
        <v>1</v>
      </c>
    </row>
    <row r="2648" spans="1:4">
      <c r="A2648" s="2" t="s">
        <v>4319</v>
      </c>
      <c r="B2648" s="2" t="s">
        <v>36</v>
      </c>
      <c r="C2648" s="2" t="s">
        <v>24</v>
      </c>
      <c r="D2648" s="2">
        <v>1</v>
      </c>
    </row>
    <row r="2649" spans="1:4">
      <c r="A2649" s="2" t="s">
        <v>4320</v>
      </c>
      <c r="B2649" s="2" t="s">
        <v>36</v>
      </c>
      <c r="C2649" s="2" t="s">
        <v>24</v>
      </c>
      <c r="D2649" s="2">
        <v>1</v>
      </c>
    </row>
    <row r="2650" spans="1:4">
      <c r="A2650" s="2" t="s">
        <v>4702</v>
      </c>
      <c r="B2650" s="2" t="s">
        <v>36</v>
      </c>
      <c r="C2650" s="2" t="s">
        <v>24</v>
      </c>
      <c r="D2650" s="2">
        <v>1</v>
      </c>
    </row>
    <row r="2651" spans="1:4">
      <c r="A2651" s="2" t="s">
        <v>3090</v>
      </c>
      <c r="B2651" s="2" t="s">
        <v>36</v>
      </c>
      <c r="C2651" s="2" t="s">
        <v>24</v>
      </c>
      <c r="D2651" s="2">
        <v>1</v>
      </c>
    </row>
    <row r="2652" spans="1:4">
      <c r="A2652" s="2" t="s">
        <v>3091</v>
      </c>
      <c r="B2652" s="2" t="s">
        <v>36</v>
      </c>
      <c r="C2652" s="2" t="s">
        <v>24</v>
      </c>
      <c r="D2652" s="2">
        <v>1</v>
      </c>
    </row>
    <row r="2653" spans="1:4">
      <c r="A2653" s="2" t="s">
        <v>2528</v>
      </c>
      <c r="B2653" s="2" t="s">
        <v>36</v>
      </c>
      <c r="C2653" s="2" t="s">
        <v>24</v>
      </c>
      <c r="D2653" s="2">
        <v>1</v>
      </c>
    </row>
    <row r="2654" spans="1:4">
      <c r="A2654" s="2" t="s">
        <v>422</v>
      </c>
      <c r="B2654" s="2" t="s">
        <v>36</v>
      </c>
      <c r="C2654" s="2" t="s">
        <v>24</v>
      </c>
      <c r="D2654" s="2">
        <v>1</v>
      </c>
    </row>
    <row r="2655" spans="1:4">
      <c r="A2655" s="2" t="s">
        <v>2604</v>
      </c>
      <c r="B2655" s="2" t="s">
        <v>36</v>
      </c>
      <c r="C2655" s="2" t="s">
        <v>24</v>
      </c>
      <c r="D2655" s="2">
        <v>1</v>
      </c>
    </row>
    <row r="2656" spans="1:4">
      <c r="A2656" s="2" t="s">
        <v>2637</v>
      </c>
      <c r="B2656" s="2" t="s">
        <v>36</v>
      </c>
      <c r="C2656" s="2" t="s">
        <v>24</v>
      </c>
      <c r="D2656" s="2">
        <v>1</v>
      </c>
    </row>
    <row r="2657" spans="1:4">
      <c r="A2657" s="2" t="s">
        <v>2620</v>
      </c>
      <c r="B2657" s="2" t="s">
        <v>36</v>
      </c>
      <c r="C2657" s="2" t="s">
        <v>24</v>
      </c>
      <c r="D2657" s="2">
        <v>1</v>
      </c>
    </row>
    <row r="2658" spans="1:4">
      <c r="A2658" s="2" t="s">
        <v>3044</v>
      </c>
      <c r="B2658" s="2" t="s">
        <v>36</v>
      </c>
      <c r="C2658" s="2" t="s">
        <v>24</v>
      </c>
      <c r="D2658" s="2">
        <v>1</v>
      </c>
    </row>
    <row r="2659" spans="1:4">
      <c r="A2659" s="2" t="s">
        <v>2583</v>
      </c>
      <c r="B2659" s="2" t="s">
        <v>36</v>
      </c>
      <c r="C2659" s="2" t="s">
        <v>24</v>
      </c>
      <c r="D2659" s="2">
        <v>1</v>
      </c>
    </row>
    <row r="2660" spans="1:4">
      <c r="A2660" s="2" t="s">
        <v>2597</v>
      </c>
      <c r="B2660" s="2" t="s">
        <v>36</v>
      </c>
      <c r="C2660" s="2" t="s">
        <v>24</v>
      </c>
      <c r="D2660" s="2">
        <v>1</v>
      </c>
    </row>
    <row r="2661" spans="1:4">
      <c r="A2661" s="2" t="s">
        <v>2539</v>
      </c>
      <c r="B2661" s="2" t="s">
        <v>36</v>
      </c>
      <c r="C2661" s="2" t="s">
        <v>24</v>
      </c>
      <c r="D2661" s="2">
        <v>1</v>
      </c>
    </row>
    <row r="2662" spans="1:4">
      <c r="A2662" s="2" t="s">
        <v>2544</v>
      </c>
      <c r="B2662" s="2" t="s">
        <v>36</v>
      </c>
      <c r="C2662" s="2" t="s">
        <v>24</v>
      </c>
      <c r="D2662" s="2">
        <v>1</v>
      </c>
    </row>
    <row r="2663" spans="1:4">
      <c r="A2663" s="2" t="s">
        <v>4680</v>
      </c>
      <c r="B2663" s="2" t="s">
        <v>36</v>
      </c>
      <c r="C2663" s="2" t="s">
        <v>24</v>
      </c>
      <c r="D2663" s="2">
        <v>1</v>
      </c>
    </row>
    <row r="2664" spans="1:4">
      <c r="A2664" s="2" t="s">
        <v>3054</v>
      </c>
      <c r="B2664" s="2" t="s">
        <v>36</v>
      </c>
      <c r="C2664" s="2" t="s">
        <v>24</v>
      </c>
      <c r="D2664" s="2">
        <v>1</v>
      </c>
    </row>
    <row r="2665" spans="1:4">
      <c r="A2665" s="2" t="s">
        <v>967</v>
      </c>
      <c r="B2665" s="2" t="s">
        <v>36</v>
      </c>
      <c r="C2665" s="2" t="s">
        <v>24</v>
      </c>
      <c r="D2665" s="2">
        <v>1</v>
      </c>
    </row>
    <row r="2666" spans="1:4">
      <c r="A2666" s="2" t="s">
        <v>345</v>
      </c>
      <c r="B2666" s="2" t="s">
        <v>36</v>
      </c>
      <c r="C2666" s="2" t="s">
        <v>24</v>
      </c>
      <c r="D2666" s="2">
        <v>1</v>
      </c>
    </row>
    <row r="2667" spans="1:4">
      <c r="A2667" s="2" t="s">
        <v>361</v>
      </c>
      <c r="B2667" s="2" t="s">
        <v>36</v>
      </c>
      <c r="C2667" s="2" t="s">
        <v>24</v>
      </c>
      <c r="D2667" s="2">
        <v>1</v>
      </c>
    </row>
    <row r="2668" spans="1:4">
      <c r="A2668" s="2" t="s">
        <v>348</v>
      </c>
      <c r="B2668" s="2" t="s">
        <v>36</v>
      </c>
      <c r="C2668" s="2" t="s">
        <v>24</v>
      </c>
      <c r="D2668" s="2">
        <v>1</v>
      </c>
    </row>
    <row r="2669" spans="1:4">
      <c r="A2669" s="2" t="s">
        <v>343</v>
      </c>
      <c r="B2669" s="2" t="s">
        <v>36</v>
      </c>
      <c r="C2669" s="2" t="s">
        <v>24</v>
      </c>
      <c r="D2669" s="2">
        <v>1</v>
      </c>
    </row>
    <row r="2670" spans="1:4">
      <c r="A2670" s="2" t="s">
        <v>3550</v>
      </c>
      <c r="B2670" s="2" t="s">
        <v>36</v>
      </c>
      <c r="C2670" s="2" t="s">
        <v>24</v>
      </c>
      <c r="D2670" s="2">
        <v>1</v>
      </c>
    </row>
    <row r="2671" spans="1:4">
      <c r="A2671" s="2" t="s">
        <v>415</v>
      </c>
      <c r="B2671" s="2" t="s">
        <v>36</v>
      </c>
      <c r="C2671" s="2" t="s">
        <v>24</v>
      </c>
      <c r="D2671" s="2">
        <v>1</v>
      </c>
    </row>
    <row r="2672" spans="1:4">
      <c r="A2672" s="2" t="s">
        <v>389</v>
      </c>
      <c r="B2672" s="2" t="s">
        <v>36</v>
      </c>
      <c r="C2672" s="2" t="s">
        <v>24</v>
      </c>
      <c r="D2672" s="2">
        <v>1</v>
      </c>
    </row>
    <row r="2673" spans="1:4">
      <c r="A2673" s="2" t="s">
        <v>2595</v>
      </c>
      <c r="B2673" s="2" t="s">
        <v>36</v>
      </c>
      <c r="C2673" s="2" t="s">
        <v>24</v>
      </c>
      <c r="D2673" s="2">
        <v>1</v>
      </c>
    </row>
    <row r="2674" spans="1:4">
      <c r="A2674" s="2" t="s">
        <v>3551</v>
      </c>
      <c r="B2674" s="2" t="s">
        <v>36</v>
      </c>
      <c r="C2674" s="2" t="s">
        <v>24</v>
      </c>
      <c r="D2674" s="2">
        <v>1</v>
      </c>
    </row>
    <row r="2675" spans="1:4">
      <c r="A2675" s="2" t="s">
        <v>2599</v>
      </c>
      <c r="B2675" s="2" t="s">
        <v>36</v>
      </c>
      <c r="C2675" s="2" t="s">
        <v>24</v>
      </c>
      <c r="D2675" s="2">
        <v>1</v>
      </c>
    </row>
    <row r="2676" spans="1:4">
      <c r="A2676" s="2" t="s">
        <v>2548</v>
      </c>
      <c r="B2676" s="2" t="s">
        <v>36</v>
      </c>
      <c r="C2676" s="2" t="s">
        <v>24</v>
      </c>
      <c r="D2676" s="2">
        <v>1</v>
      </c>
    </row>
    <row r="2677" spans="1:4">
      <c r="A2677" s="2" t="s">
        <v>3092</v>
      </c>
      <c r="B2677" s="2" t="s">
        <v>36</v>
      </c>
      <c r="C2677" s="2" t="s">
        <v>24</v>
      </c>
      <c r="D2677" s="2">
        <v>1</v>
      </c>
    </row>
    <row r="2678" spans="1:4">
      <c r="A2678" s="2" t="s">
        <v>294</v>
      </c>
      <c r="B2678" s="2" t="s">
        <v>36</v>
      </c>
      <c r="C2678" s="2" t="s">
        <v>24</v>
      </c>
      <c r="D2678" s="2">
        <v>1</v>
      </c>
    </row>
    <row r="2679" spans="1:4">
      <c r="A2679" s="2" t="s">
        <v>317</v>
      </c>
      <c r="B2679" s="2" t="s">
        <v>36</v>
      </c>
      <c r="C2679" s="2" t="s">
        <v>24</v>
      </c>
      <c r="D2679" s="2">
        <v>1</v>
      </c>
    </row>
    <row r="2680" spans="1:4">
      <c r="A2680" s="2" t="s">
        <v>2532</v>
      </c>
      <c r="B2680" s="2" t="s">
        <v>36</v>
      </c>
      <c r="C2680" s="2" t="s">
        <v>24</v>
      </c>
      <c r="D2680" s="2">
        <v>1</v>
      </c>
    </row>
    <row r="2681" spans="1:4">
      <c r="A2681" s="2" t="s">
        <v>3093</v>
      </c>
      <c r="B2681" s="2" t="s">
        <v>36</v>
      </c>
      <c r="C2681" s="2" t="s">
        <v>24</v>
      </c>
      <c r="D2681" s="2">
        <v>1</v>
      </c>
    </row>
    <row r="2682" spans="1:4">
      <c r="A2682" s="2" t="s">
        <v>55</v>
      </c>
      <c r="B2682" s="2" t="s">
        <v>36</v>
      </c>
      <c r="C2682" s="2" t="s">
        <v>24</v>
      </c>
      <c r="D2682" s="2">
        <v>1</v>
      </c>
    </row>
    <row r="2683" spans="1:4">
      <c r="A2683" s="2" t="s">
        <v>312</v>
      </c>
      <c r="B2683" s="2" t="s">
        <v>36</v>
      </c>
      <c r="C2683" s="2" t="s">
        <v>24</v>
      </c>
      <c r="D2683" s="2">
        <v>1</v>
      </c>
    </row>
    <row r="2684" spans="1:4">
      <c r="A2684" s="2" t="s">
        <v>2013</v>
      </c>
      <c r="B2684" s="2" t="s">
        <v>36</v>
      </c>
      <c r="C2684" s="2" t="s">
        <v>24</v>
      </c>
      <c r="D2684" s="2">
        <v>1</v>
      </c>
    </row>
    <row r="2685" spans="1:4">
      <c r="A2685" s="2" t="s">
        <v>2025</v>
      </c>
      <c r="B2685" s="2" t="s">
        <v>36</v>
      </c>
      <c r="C2685" s="2" t="s">
        <v>24</v>
      </c>
      <c r="D2685" s="2">
        <v>1</v>
      </c>
    </row>
    <row r="2686" spans="1:4">
      <c r="A2686" s="2" t="s">
        <v>2067</v>
      </c>
      <c r="B2686" s="2" t="s">
        <v>36</v>
      </c>
      <c r="C2686" s="2" t="s">
        <v>24</v>
      </c>
      <c r="D2686" s="2">
        <v>1</v>
      </c>
    </row>
    <row r="2687" spans="1:4">
      <c r="A2687" s="2" t="s">
        <v>1201</v>
      </c>
      <c r="B2687" s="2" t="s">
        <v>36</v>
      </c>
      <c r="C2687" s="2" t="s">
        <v>24</v>
      </c>
      <c r="D2687" s="2">
        <v>1</v>
      </c>
    </row>
    <row r="2688" spans="1:4">
      <c r="A2688" s="2" t="s">
        <v>347</v>
      </c>
      <c r="B2688" s="2" t="s">
        <v>36</v>
      </c>
      <c r="C2688" s="2" t="s">
        <v>24</v>
      </c>
      <c r="D2688" s="2">
        <v>1</v>
      </c>
    </row>
    <row r="2689" spans="1:4">
      <c r="A2689" s="2" t="s">
        <v>386</v>
      </c>
      <c r="B2689" s="2" t="s">
        <v>36</v>
      </c>
      <c r="C2689" s="2" t="s">
        <v>24</v>
      </c>
      <c r="D2689" s="2">
        <v>1</v>
      </c>
    </row>
    <row r="2690" spans="1:4">
      <c r="A2690" s="2" t="s">
        <v>416</v>
      </c>
      <c r="B2690" s="2" t="s">
        <v>36</v>
      </c>
      <c r="C2690" s="2" t="s">
        <v>24</v>
      </c>
      <c r="D2690" s="2">
        <v>1</v>
      </c>
    </row>
    <row r="2691" spans="1:4">
      <c r="A2691" s="2" t="s">
        <v>2077</v>
      </c>
      <c r="B2691" s="2" t="s">
        <v>36</v>
      </c>
      <c r="C2691" s="2" t="s">
        <v>24</v>
      </c>
      <c r="D2691" s="2">
        <v>1</v>
      </c>
    </row>
    <row r="2692" spans="1:4">
      <c r="A2692" s="2" t="s">
        <v>1202</v>
      </c>
      <c r="B2692" s="2" t="s">
        <v>36</v>
      </c>
      <c r="C2692" s="2" t="s">
        <v>24</v>
      </c>
      <c r="D2692" s="2">
        <v>1</v>
      </c>
    </row>
    <row r="2693" spans="1:4">
      <c r="A2693" s="2" t="s">
        <v>2589</v>
      </c>
      <c r="B2693" s="2" t="s">
        <v>36</v>
      </c>
      <c r="C2693" s="2" t="s">
        <v>24</v>
      </c>
      <c r="D2693" s="2">
        <v>1</v>
      </c>
    </row>
    <row r="2694" spans="1:4">
      <c r="A2694" s="2" t="s">
        <v>2565</v>
      </c>
      <c r="B2694" s="2" t="s">
        <v>36</v>
      </c>
      <c r="C2694" s="2" t="s">
        <v>24</v>
      </c>
      <c r="D2694" s="2">
        <v>1</v>
      </c>
    </row>
    <row r="2695" spans="1:4">
      <c r="A2695" s="2" t="s">
        <v>4321</v>
      </c>
      <c r="B2695" s="2" t="s">
        <v>36</v>
      </c>
      <c r="C2695" s="2" t="s">
        <v>24</v>
      </c>
      <c r="D2695" s="2">
        <v>1</v>
      </c>
    </row>
    <row r="2696" spans="1:4">
      <c r="A2696" s="2" t="s">
        <v>2010</v>
      </c>
      <c r="B2696" s="2" t="s">
        <v>36</v>
      </c>
      <c r="C2696" s="2" t="s">
        <v>24</v>
      </c>
      <c r="D2696" s="2">
        <v>1</v>
      </c>
    </row>
    <row r="2697" spans="1:4">
      <c r="A2697" s="2" t="s">
        <v>1964</v>
      </c>
      <c r="B2697" s="2" t="s">
        <v>36</v>
      </c>
      <c r="C2697" s="2" t="s">
        <v>24</v>
      </c>
      <c r="D2697" s="2">
        <v>1</v>
      </c>
    </row>
    <row r="2698" spans="1:4">
      <c r="A2698" s="2" t="s">
        <v>1994</v>
      </c>
      <c r="B2698" s="2" t="s">
        <v>36</v>
      </c>
      <c r="C2698" s="2" t="s">
        <v>24</v>
      </c>
      <c r="D2698" s="2">
        <v>1</v>
      </c>
    </row>
    <row r="2699" spans="1:4">
      <c r="A2699" s="2" t="s">
        <v>2052</v>
      </c>
      <c r="B2699" s="2" t="s">
        <v>36</v>
      </c>
      <c r="C2699" s="2" t="s">
        <v>24</v>
      </c>
      <c r="D2699" s="2">
        <v>1</v>
      </c>
    </row>
    <row r="2700" spans="1:4">
      <c r="A2700" s="2" t="s">
        <v>4703</v>
      </c>
      <c r="B2700" s="2" t="s">
        <v>36</v>
      </c>
      <c r="C2700" s="2" t="s">
        <v>24</v>
      </c>
      <c r="D2700" s="2">
        <v>1</v>
      </c>
    </row>
    <row r="2701" spans="1:4">
      <c r="A2701" s="2" t="s">
        <v>4673</v>
      </c>
      <c r="B2701" s="2" t="s">
        <v>36</v>
      </c>
      <c r="C2701" s="2" t="s">
        <v>24</v>
      </c>
      <c r="D2701" s="2">
        <v>1</v>
      </c>
    </row>
    <row r="2702" spans="1:4">
      <c r="A2702" s="2" t="s">
        <v>1649</v>
      </c>
      <c r="B2702" s="2" t="s">
        <v>36</v>
      </c>
      <c r="C2702" s="2" t="s">
        <v>24</v>
      </c>
      <c r="D2702" s="2">
        <v>1</v>
      </c>
    </row>
    <row r="2703" spans="1:4">
      <c r="A2703" s="2" t="s">
        <v>3977</v>
      </c>
      <c r="B2703" s="2" t="s">
        <v>36</v>
      </c>
      <c r="C2703" s="2" t="s">
        <v>24</v>
      </c>
      <c r="D2703" s="2">
        <v>1</v>
      </c>
    </row>
    <row r="2704" spans="1:4">
      <c r="A2704" s="2" t="s">
        <v>1650</v>
      </c>
      <c r="B2704" s="2" t="s">
        <v>36</v>
      </c>
      <c r="C2704" s="2" t="s">
        <v>24</v>
      </c>
      <c r="D2704" s="2">
        <v>1</v>
      </c>
    </row>
    <row r="2705" spans="1:4">
      <c r="A2705" s="2" t="s">
        <v>4692</v>
      </c>
      <c r="B2705" s="2" t="s">
        <v>36</v>
      </c>
      <c r="C2705" s="2" t="s">
        <v>24</v>
      </c>
      <c r="D2705" s="2">
        <v>1</v>
      </c>
    </row>
    <row r="2706" spans="1:4">
      <c r="A2706" s="2" t="s">
        <v>4322</v>
      </c>
      <c r="B2706" s="2" t="s">
        <v>36</v>
      </c>
      <c r="C2706" s="2" t="s">
        <v>24</v>
      </c>
      <c r="D2706" s="2">
        <v>1</v>
      </c>
    </row>
    <row r="2707" spans="1:4">
      <c r="A2707" s="2" t="s">
        <v>1651</v>
      </c>
      <c r="B2707" s="2" t="s">
        <v>36</v>
      </c>
      <c r="C2707" s="2" t="s">
        <v>24</v>
      </c>
      <c r="D2707" s="2">
        <v>1</v>
      </c>
    </row>
    <row r="2708" spans="1:4">
      <c r="A2708" s="2" t="s">
        <v>1653</v>
      </c>
      <c r="B2708" s="2" t="s">
        <v>36</v>
      </c>
      <c r="C2708" s="2" t="s">
        <v>24</v>
      </c>
      <c r="D2708" s="2">
        <v>1</v>
      </c>
    </row>
    <row r="2709" spans="1:4">
      <c r="A2709" s="2" t="s">
        <v>1166</v>
      </c>
      <c r="B2709" s="2" t="s">
        <v>36</v>
      </c>
      <c r="C2709" s="2" t="s">
        <v>24</v>
      </c>
      <c r="D2709" s="2">
        <v>1</v>
      </c>
    </row>
    <row r="2710" spans="1:4">
      <c r="A2710" s="2" t="s">
        <v>2611</v>
      </c>
      <c r="B2710" s="2" t="s">
        <v>36</v>
      </c>
      <c r="C2710" s="2" t="s">
        <v>24</v>
      </c>
      <c r="D2710" s="2">
        <v>1</v>
      </c>
    </row>
    <row r="2711" spans="1:4">
      <c r="A2711" s="2" t="s">
        <v>4674</v>
      </c>
      <c r="B2711" s="2" t="s">
        <v>36</v>
      </c>
      <c r="C2711" s="2" t="s">
        <v>24</v>
      </c>
      <c r="D2711" s="2">
        <v>1</v>
      </c>
    </row>
    <row r="2712" spans="1:4">
      <c r="A2712" s="2" t="s">
        <v>1634</v>
      </c>
      <c r="B2712" s="2" t="s">
        <v>36</v>
      </c>
      <c r="C2712" s="2" t="s">
        <v>24</v>
      </c>
      <c r="D2712" s="2">
        <v>1</v>
      </c>
    </row>
    <row r="2713" spans="1:4">
      <c r="A2713" s="2" t="s">
        <v>2044</v>
      </c>
      <c r="B2713" s="2" t="s">
        <v>36</v>
      </c>
      <c r="C2713" s="2" t="s">
        <v>24</v>
      </c>
      <c r="D2713" s="2">
        <v>1</v>
      </c>
    </row>
    <row r="2714" spans="1:4">
      <c r="A2714" s="2" t="s">
        <v>1630</v>
      </c>
      <c r="B2714" s="2" t="s">
        <v>36</v>
      </c>
      <c r="C2714" s="2" t="s">
        <v>24</v>
      </c>
      <c r="D2714" s="2">
        <v>1</v>
      </c>
    </row>
    <row r="2715" spans="1:4">
      <c r="A2715" s="2" t="s">
        <v>4625</v>
      </c>
      <c r="B2715" s="2" t="s">
        <v>36</v>
      </c>
      <c r="C2715" s="2" t="s">
        <v>24</v>
      </c>
      <c r="D2715" s="2">
        <v>1</v>
      </c>
    </row>
    <row r="2716" spans="1:4">
      <c r="A2716" s="2" t="s">
        <v>1654</v>
      </c>
      <c r="B2716" s="2" t="s">
        <v>36</v>
      </c>
      <c r="C2716" s="2" t="s">
        <v>24</v>
      </c>
      <c r="D2716" s="2">
        <v>1</v>
      </c>
    </row>
    <row r="2717" spans="1:4">
      <c r="A2717" s="2" t="s">
        <v>2083</v>
      </c>
      <c r="B2717" s="2" t="s">
        <v>36</v>
      </c>
      <c r="C2717" s="2" t="s">
        <v>24</v>
      </c>
      <c r="D2717" s="2">
        <v>1</v>
      </c>
    </row>
    <row r="2718" spans="1:4">
      <c r="A2718" s="2" t="s">
        <v>2537</v>
      </c>
      <c r="B2718" s="2" t="s">
        <v>36</v>
      </c>
      <c r="C2718" s="2" t="s">
        <v>24</v>
      </c>
      <c r="D2718" s="2">
        <v>1</v>
      </c>
    </row>
    <row r="2719" spans="1:4">
      <c r="A2719" s="2" t="s">
        <v>2563</v>
      </c>
      <c r="B2719" s="2" t="s">
        <v>36</v>
      </c>
      <c r="C2719" s="2" t="s">
        <v>24</v>
      </c>
      <c r="D2719" s="2">
        <v>1</v>
      </c>
    </row>
    <row r="2720" spans="1:4">
      <c r="A2720" s="2" t="s">
        <v>2520</v>
      </c>
      <c r="B2720" s="2" t="s">
        <v>36</v>
      </c>
      <c r="C2720" s="2" t="s">
        <v>24</v>
      </c>
      <c r="D2720" s="2">
        <v>1</v>
      </c>
    </row>
    <row r="2721" spans="1:4">
      <c r="A2721" s="2" t="s">
        <v>2621</v>
      </c>
      <c r="B2721" s="2" t="s">
        <v>36</v>
      </c>
      <c r="C2721" s="2" t="s">
        <v>24</v>
      </c>
      <c r="D2721" s="2">
        <v>1</v>
      </c>
    </row>
    <row r="2722" spans="1:4">
      <c r="A2722" s="2" t="s">
        <v>2526</v>
      </c>
      <c r="B2722" s="2" t="s">
        <v>36</v>
      </c>
      <c r="C2722" s="2" t="s">
        <v>24</v>
      </c>
      <c r="D2722" s="2">
        <v>1</v>
      </c>
    </row>
    <row r="2723" spans="1:4">
      <c r="A2723" s="2" t="s">
        <v>2518</v>
      </c>
      <c r="B2723" s="2" t="s">
        <v>36</v>
      </c>
      <c r="C2723" s="2" t="s">
        <v>24</v>
      </c>
      <c r="D2723" s="2">
        <v>1</v>
      </c>
    </row>
    <row r="2724" spans="1:4">
      <c r="A2724" s="2" t="s">
        <v>2627</v>
      </c>
      <c r="B2724" s="2" t="s">
        <v>36</v>
      </c>
      <c r="C2724" s="2" t="s">
        <v>24</v>
      </c>
      <c r="D2724" s="2">
        <v>1</v>
      </c>
    </row>
    <row r="2725" spans="1:4">
      <c r="A2725" s="2" t="s">
        <v>2053</v>
      </c>
      <c r="B2725" s="2" t="s">
        <v>36</v>
      </c>
      <c r="C2725" s="2" t="s">
        <v>24</v>
      </c>
      <c r="D2725" s="2">
        <v>1</v>
      </c>
    </row>
    <row r="2726" spans="1:4">
      <c r="A2726" s="2" t="s">
        <v>2068</v>
      </c>
      <c r="B2726" s="2" t="s">
        <v>36</v>
      </c>
      <c r="C2726" s="2" t="s">
        <v>24</v>
      </c>
      <c r="D2726" s="2">
        <v>1</v>
      </c>
    </row>
    <row r="2727" spans="1:4">
      <c r="A2727" s="2" t="s">
        <v>1655</v>
      </c>
      <c r="B2727" s="2" t="s">
        <v>36</v>
      </c>
      <c r="C2727" s="2" t="s">
        <v>24</v>
      </c>
      <c r="D2727" s="2">
        <v>1</v>
      </c>
    </row>
    <row r="2728" spans="1:4">
      <c r="A2728" s="2" t="s">
        <v>3094</v>
      </c>
      <c r="B2728" s="2" t="s">
        <v>36</v>
      </c>
      <c r="C2728" s="2" t="s">
        <v>24</v>
      </c>
      <c r="D2728" s="2">
        <v>1</v>
      </c>
    </row>
    <row r="2729" spans="1:4">
      <c r="A2729" s="2" t="s">
        <v>305</v>
      </c>
      <c r="B2729" s="2" t="s">
        <v>36</v>
      </c>
      <c r="C2729" s="2" t="s">
        <v>24</v>
      </c>
      <c r="D2729" s="2">
        <v>1</v>
      </c>
    </row>
    <row r="2730" spans="1:4">
      <c r="A2730" s="2" t="s">
        <v>3095</v>
      </c>
      <c r="B2730" s="2" t="s">
        <v>36</v>
      </c>
      <c r="C2730" s="2" t="s">
        <v>24</v>
      </c>
      <c r="D2730" s="2">
        <v>1</v>
      </c>
    </row>
    <row r="2731" spans="1:4">
      <c r="A2731" s="2" t="s">
        <v>3096</v>
      </c>
      <c r="B2731" s="2" t="s">
        <v>36</v>
      </c>
      <c r="C2731" s="2" t="s">
        <v>24</v>
      </c>
      <c r="D2731" s="2">
        <v>1</v>
      </c>
    </row>
    <row r="2732" spans="1:4">
      <c r="A2732" s="2" t="s">
        <v>1656</v>
      </c>
      <c r="B2732" s="2" t="s">
        <v>36</v>
      </c>
      <c r="C2732" s="2" t="s">
        <v>24</v>
      </c>
      <c r="D2732" s="2">
        <v>1</v>
      </c>
    </row>
    <row r="2733" spans="1:4">
      <c r="A2733" s="2" t="s">
        <v>3063</v>
      </c>
      <c r="B2733" s="2" t="s">
        <v>36</v>
      </c>
      <c r="C2733" s="2" t="s">
        <v>24</v>
      </c>
      <c r="D2733" s="2">
        <v>1</v>
      </c>
    </row>
    <row r="2734" spans="1:4">
      <c r="A2734" s="2" t="s">
        <v>3914</v>
      </c>
      <c r="B2734" s="2" t="s">
        <v>36</v>
      </c>
      <c r="C2734" s="2" t="s">
        <v>24</v>
      </c>
      <c r="D2734" s="2">
        <v>1</v>
      </c>
    </row>
    <row r="2735" spans="1:4">
      <c r="A2735" s="2" t="s">
        <v>3940</v>
      </c>
      <c r="B2735" s="2" t="s">
        <v>36</v>
      </c>
      <c r="C2735" s="2" t="s">
        <v>24</v>
      </c>
      <c r="D2735" s="2">
        <v>1</v>
      </c>
    </row>
    <row r="2736" spans="1:4">
      <c r="A2736" s="2" t="s">
        <v>2541</v>
      </c>
      <c r="B2736" s="2" t="s">
        <v>36</v>
      </c>
      <c r="C2736" s="2" t="s">
        <v>24</v>
      </c>
      <c r="D2736" s="2">
        <v>1</v>
      </c>
    </row>
    <row r="2737" spans="1:4">
      <c r="A2737" s="2" t="s">
        <v>2572</v>
      </c>
      <c r="B2737" s="2" t="s">
        <v>36</v>
      </c>
      <c r="C2737" s="2" t="s">
        <v>24</v>
      </c>
      <c r="D2737" s="2">
        <v>1</v>
      </c>
    </row>
    <row r="2738" spans="1:4">
      <c r="A2738" s="2" t="s">
        <v>2084</v>
      </c>
      <c r="B2738" s="2" t="s">
        <v>36</v>
      </c>
      <c r="C2738" s="2" t="s">
        <v>24</v>
      </c>
      <c r="D2738" s="2">
        <v>1</v>
      </c>
    </row>
    <row r="2739" spans="1:4">
      <c r="A2739" s="2" t="s">
        <v>2060</v>
      </c>
      <c r="B2739" s="2" t="s">
        <v>36</v>
      </c>
      <c r="C2739" s="2" t="s">
        <v>24</v>
      </c>
      <c r="D2739" s="2">
        <v>1</v>
      </c>
    </row>
    <row r="2740" spans="1:4">
      <c r="A2740" s="2" t="s">
        <v>4299</v>
      </c>
      <c r="B2740" s="2" t="s">
        <v>36</v>
      </c>
      <c r="C2740" s="2" t="s">
        <v>24</v>
      </c>
      <c r="D2740" s="2">
        <v>1</v>
      </c>
    </row>
    <row r="2741" spans="1:4">
      <c r="A2741" s="2" t="s">
        <v>1991</v>
      </c>
      <c r="B2741" s="2" t="s">
        <v>36</v>
      </c>
      <c r="C2741" s="2" t="s">
        <v>24</v>
      </c>
      <c r="D2741" s="2">
        <v>1</v>
      </c>
    </row>
    <row r="2742" spans="1:4">
      <c r="A2742" s="2" t="s">
        <v>1657</v>
      </c>
      <c r="B2742" s="2" t="s">
        <v>36</v>
      </c>
      <c r="C2742" s="2" t="s">
        <v>24</v>
      </c>
      <c r="D2742" s="2">
        <v>1</v>
      </c>
    </row>
    <row r="2743" spans="1:4">
      <c r="A2743" s="2" t="s">
        <v>4646</v>
      </c>
      <c r="B2743" s="2" t="s">
        <v>36</v>
      </c>
      <c r="C2743" s="2" t="s">
        <v>24</v>
      </c>
      <c r="D2743" s="2">
        <v>1</v>
      </c>
    </row>
    <row r="2744" spans="1:4">
      <c r="A2744" s="2" t="s">
        <v>3097</v>
      </c>
      <c r="B2744" s="2" t="s">
        <v>36</v>
      </c>
      <c r="C2744" s="2" t="s">
        <v>24</v>
      </c>
      <c r="D2744" s="2">
        <v>1</v>
      </c>
    </row>
    <row r="2745" spans="1:4">
      <c r="A2745" s="2" t="s">
        <v>3552</v>
      </c>
      <c r="B2745" s="2" t="s">
        <v>36</v>
      </c>
      <c r="C2745" s="2" t="s">
        <v>24</v>
      </c>
      <c r="D2745" s="2">
        <v>1</v>
      </c>
    </row>
    <row r="2746" spans="1:4">
      <c r="A2746" s="2" t="s">
        <v>1167</v>
      </c>
      <c r="B2746" s="2" t="s">
        <v>36</v>
      </c>
      <c r="C2746" s="2" t="s">
        <v>24</v>
      </c>
      <c r="D2746" s="2">
        <v>1</v>
      </c>
    </row>
    <row r="2747" spans="1:4">
      <c r="A2747" s="2" t="s">
        <v>1962</v>
      </c>
      <c r="B2747" s="2" t="s">
        <v>36</v>
      </c>
      <c r="C2747" s="2" t="s">
        <v>24</v>
      </c>
      <c r="D2747" s="2">
        <v>1</v>
      </c>
    </row>
    <row r="2748" spans="1:4">
      <c r="A2748" s="2" t="s">
        <v>2004</v>
      </c>
      <c r="B2748" s="2" t="s">
        <v>36</v>
      </c>
      <c r="C2748" s="2" t="s">
        <v>24</v>
      </c>
      <c r="D2748" s="2">
        <v>1</v>
      </c>
    </row>
    <row r="2749" spans="1:4">
      <c r="A2749" s="2" t="s">
        <v>2039</v>
      </c>
      <c r="B2749" s="2" t="s">
        <v>36</v>
      </c>
      <c r="C2749" s="2" t="s">
        <v>24</v>
      </c>
      <c r="D2749" s="2">
        <v>1</v>
      </c>
    </row>
    <row r="2750" spans="1:4">
      <c r="A2750" s="2" t="s">
        <v>3553</v>
      </c>
      <c r="B2750" s="2" t="s">
        <v>36</v>
      </c>
      <c r="C2750" s="2" t="s">
        <v>24</v>
      </c>
      <c r="D2750" s="2">
        <v>1</v>
      </c>
    </row>
    <row r="2751" spans="1:4">
      <c r="A2751" s="2" t="s">
        <v>402</v>
      </c>
      <c r="B2751" s="2" t="s">
        <v>36</v>
      </c>
      <c r="C2751" s="2" t="s">
        <v>24</v>
      </c>
      <c r="D2751" s="2">
        <v>1</v>
      </c>
    </row>
    <row r="2752" spans="1:4">
      <c r="A2752" s="2" t="s">
        <v>417</v>
      </c>
      <c r="B2752" s="2" t="s">
        <v>36</v>
      </c>
      <c r="C2752" s="2" t="s">
        <v>24</v>
      </c>
      <c r="D2752" s="2">
        <v>1</v>
      </c>
    </row>
    <row r="2753" spans="1:4">
      <c r="A2753" s="2" t="s">
        <v>2054</v>
      </c>
      <c r="B2753" s="2" t="s">
        <v>36</v>
      </c>
      <c r="C2753" s="2" t="s">
        <v>24</v>
      </c>
      <c r="D2753" s="2">
        <v>1</v>
      </c>
    </row>
    <row r="2754" spans="1:4">
      <c r="A2754" s="2" t="s">
        <v>403</v>
      </c>
      <c r="B2754" s="2" t="s">
        <v>36</v>
      </c>
      <c r="C2754" s="2" t="s">
        <v>24</v>
      </c>
      <c r="D2754" s="2">
        <v>1</v>
      </c>
    </row>
    <row r="2755" spans="1:4">
      <c r="A2755" s="2" t="s">
        <v>384</v>
      </c>
      <c r="B2755" s="2" t="s">
        <v>36</v>
      </c>
      <c r="C2755" s="2" t="s">
        <v>24</v>
      </c>
      <c r="D2755" s="2">
        <v>1</v>
      </c>
    </row>
    <row r="2756" spans="1:4">
      <c r="A2756" s="2" t="s">
        <v>394</v>
      </c>
      <c r="B2756" s="2" t="s">
        <v>36</v>
      </c>
      <c r="C2756" s="2" t="s">
        <v>24</v>
      </c>
      <c r="D2756" s="2">
        <v>1</v>
      </c>
    </row>
    <row r="2757" spans="1:4">
      <c r="A2757" s="2" t="s">
        <v>3064</v>
      </c>
      <c r="B2757" s="2" t="s">
        <v>36</v>
      </c>
      <c r="C2757" s="2" t="s">
        <v>24</v>
      </c>
      <c r="D2757" s="2">
        <v>1</v>
      </c>
    </row>
    <row r="2758" spans="1:4">
      <c r="A2758" s="2" t="s">
        <v>4693</v>
      </c>
      <c r="B2758" s="2" t="s">
        <v>36</v>
      </c>
      <c r="C2758" s="2" t="s">
        <v>24</v>
      </c>
      <c r="D2758" s="2">
        <v>1</v>
      </c>
    </row>
    <row r="2759" spans="1:4">
      <c r="A2759" s="2" t="s">
        <v>3098</v>
      </c>
      <c r="B2759" s="2" t="s">
        <v>36</v>
      </c>
      <c r="C2759" s="2" t="s">
        <v>24</v>
      </c>
      <c r="D2759" s="2">
        <v>1</v>
      </c>
    </row>
    <row r="2760" spans="1:4">
      <c r="A2760" s="2" t="s">
        <v>3099</v>
      </c>
      <c r="B2760" s="2" t="s">
        <v>36</v>
      </c>
      <c r="C2760" s="2" t="s">
        <v>24</v>
      </c>
      <c r="D2760" s="2">
        <v>1</v>
      </c>
    </row>
    <row r="2761" spans="1:4">
      <c r="A2761" s="2" t="s">
        <v>3048</v>
      </c>
      <c r="B2761" s="2" t="s">
        <v>36</v>
      </c>
      <c r="C2761" s="2" t="s">
        <v>24</v>
      </c>
      <c r="D2761" s="2">
        <v>1</v>
      </c>
    </row>
    <row r="2762" spans="1:4">
      <c r="A2762" s="2" t="s">
        <v>3124</v>
      </c>
      <c r="B2762" s="2" t="s">
        <v>36</v>
      </c>
      <c r="C2762" s="2" t="s">
        <v>24</v>
      </c>
      <c r="D2762" s="2">
        <v>1</v>
      </c>
    </row>
    <row r="2763" spans="1:4">
      <c r="A2763" s="2" t="s">
        <v>408</v>
      </c>
      <c r="B2763" s="2" t="s">
        <v>36</v>
      </c>
      <c r="C2763" s="2" t="s">
        <v>24</v>
      </c>
      <c r="D2763" s="2">
        <v>1</v>
      </c>
    </row>
    <row r="2764" spans="1:4">
      <c r="A2764" s="2" t="s">
        <v>4323</v>
      </c>
      <c r="B2764" s="2" t="s">
        <v>36</v>
      </c>
      <c r="C2764" s="2" t="s">
        <v>24</v>
      </c>
      <c r="D2764" s="2">
        <v>1</v>
      </c>
    </row>
    <row r="2765" spans="1:4">
      <c r="A2765" s="2" t="s">
        <v>314</v>
      </c>
      <c r="B2765" s="2" t="s">
        <v>36</v>
      </c>
      <c r="C2765" s="2" t="s">
        <v>24</v>
      </c>
      <c r="D2765" s="2">
        <v>1</v>
      </c>
    </row>
    <row r="2766" spans="1:4">
      <c r="A2766" s="2" t="s">
        <v>3100</v>
      </c>
      <c r="B2766" s="2" t="s">
        <v>36</v>
      </c>
      <c r="C2766" s="2" t="s">
        <v>24</v>
      </c>
      <c r="D2766" s="2">
        <v>1</v>
      </c>
    </row>
    <row r="2767" spans="1:4">
      <c r="A2767" s="2" t="s">
        <v>1203</v>
      </c>
      <c r="B2767" s="2" t="s">
        <v>36</v>
      </c>
      <c r="C2767" s="2" t="s">
        <v>24</v>
      </c>
      <c r="D2767" s="2">
        <v>1</v>
      </c>
    </row>
    <row r="2768" spans="1:4">
      <c r="A2768" s="2" t="s">
        <v>1204</v>
      </c>
      <c r="B2768" s="2" t="s">
        <v>36</v>
      </c>
      <c r="C2768" s="2" t="s">
        <v>24</v>
      </c>
      <c r="D2768" s="2">
        <v>1</v>
      </c>
    </row>
    <row r="2769" spans="1:4">
      <c r="A2769" s="2" t="s">
        <v>3519</v>
      </c>
      <c r="B2769" s="2" t="s">
        <v>36</v>
      </c>
      <c r="C2769" s="2" t="s">
        <v>24</v>
      </c>
      <c r="D2769" s="2">
        <v>1</v>
      </c>
    </row>
    <row r="2770" spans="1:4">
      <c r="A2770" s="2" t="s">
        <v>3554</v>
      </c>
      <c r="B2770" s="2" t="s">
        <v>36</v>
      </c>
      <c r="C2770" s="2" t="s">
        <v>24</v>
      </c>
      <c r="D2770" s="2">
        <v>1</v>
      </c>
    </row>
    <row r="2771" spans="1:4">
      <c r="A2771" s="2" t="s">
        <v>3520</v>
      </c>
      <c r="B2771" s="2" t="s">
        <v>36</v>
      </c>
      <c r="C2771" s="2" t="s">
        <v>24</v>
      </c>
      <c r="D2771" s="2">
        <v>1</v>
      </c>
    </row>
    <row r="2772" spans="1:4">
      <c r="A2772" s="2" t="s">
        <v>2078</v>
      </c>
      <c r="B2772" s="2" t="s">
        <v>36</v>
      </c>
      <c r="C2772" s="2" t="s">
        <v>24</v>
      </c>
      <c r="D2772" s="2">
        <v>1</v>
      </c>
    </row>
    <row r="2773" spans="1:4">
      <c r="A2773" s="2" t="s">
        <v>1205</v>
      </c>
      <c r="B2773" s="2" t="s">
        <v>36</v>
      </c>
      <c r="C2773" s="2" t="s">
        <v>24</v>
      </c>
      <c r="D2773" s="2">
        <v>1</v>
      </c>
    </row>
    <row r="2774" spans="1:4">
      <c r="A2774" s="2" t="s">
        <v>3991</v>
      </c>
      <c r="B2774" s="2" t="s">
        <v>36</v>
      </c>
      <c r="C2774" s="2" t="s">
        <v>24</v>
      </c>
      <c r="D2774" s="2">
        <v>1</v>
      </c>
    </row>
    <row r="2775" spans="1:4">
      <c r="A2775" s="2" t="s">
        <v>3966</v>
      </c>
      <c r="B2775" s="2" t="s">
        <v>36</v>
      </c>
      <c r="C2775" s="2" t="s">
        <v>24</v>
      </c>
      <c r="D2775" s="2">
        <v>1</v>
      </c>
    </row>
    <row r="2776" spans="1:4">
      <c r="A2776" s="2" t="s">
        <v>372</v>
      </c>
      <c r="B2776" s="2" t="s">
        <v>36</v>
      </c>
      <c r="C2776" s="2" t="s">
        <v>24</v>
      </c>
      <c r="D2776" s="2">
        <v>1</v>
      </c>
    </row>
    <row r="2777" spans="1:4">
      <c r="A2777" s="2" t="s">
        <v>1174</v>
      </c>
      <c r="B2777" s="2" t="s">
        <v>36</v>
      </c>
      <c r="C2777" s="2" t="s">
        <v>24</v>
      </c>
      <c r="D2777" s="2">
        <v>1</v>
      </c>
    </row>
    <row r="2778" spans="1:4">
      <c r="A2778" s="2" t="s">
        <v>1175</v>
      </c>
      <c r="B2778" s="2" t="s">
        <v>36</v>
      </c>
      <c r="C2778" s="2" t="s">
        <v>24</v>
      </c>
      <c r="D2778" s="2">
        <v>1</v>
      </c>
    </row>
    <row r="2779" spans="1:4">
      <c r="A2779" s="2" t="s">
        <v>1206</v>
      </c>
      <c r="B2779" s="2" t="s">
        <v>36</v>
      </c>
      <c r="C2779" s="2" t="s">
        <v>24</v>
      </c>
      <c r="D2779" s="2">
        <v>1</v>
      </c>
    </row>
    <row r="2780" spans="1:4">
      <c r="A2780" s="2" t="s">
        <v>1144</v>
      </c>
      <c r="B2780" s="2" t="s">
        <v>36</v>
      </c>
      <c r="C2780" s="2" t="s">
        <v>24</v>
      </c>
      <c r="D2780" s="2">
        <v>1</v>
      </c>
    </row>
    <row r="2781" spans="1:4">
      <c r="A2781" s="2" t="s">
        <v>1185</v>
      </c>
      <c r="B2781" s="2" t="s">
        <v>36</v>
      </c>
      <c r="C2781" s="2" t="s">
        <v>24</v>
      </c>
      <c r="D2781" s="2">
        <v>1</v>
      </c>
    </row>
    <row r="2782" spans="1:4">
      <c r="A2782" s="2" t="s">
        <v>1113</v>
      </c>
      <c r="B2782" s="2" t="s">
        <v>36</v>
      </c>
      <c r="C2782" s="2" t="s">
        <v>24</v>
      </c>
      <c r="D2782" s="2">
        <v>1</v>
      </c>
    </row>
    <row r="2783" spans="1:4">
      <c r="A2783" s="2" t="s">
        <v>1146</v>
      </c>
      <c r="B2783" s="2" t="s">
        <v>36</v>
      </c>
      <c r="C2783" s="2" t="s">
        <v>24</v>
      </c>
      <c r="D2783" s="2">
        <v>1</v>
      </c>
    </row>
    <row r="2784" spans="1:4">
      <c r="A2784" s="2" t="s">
        <v>1127</v>
      </c>
      <c r="B2784" s="2" t="s">
        <v>36</v>
      </c>
      <c r="C2784" s="2" t="s">
        <v>24</v>
      </c>
      <c r="D2784" s="2">
        <v>1</v>
      </c>
    </row>
    <row r="2785" spans="1:4">
      <c r="A2785" s="2" t="s">
        <v>1121</v>
      </c>
      <c r="B2785" s="2" t="s">
        <v>36</v>
      </c>
      <c r="C2785" s="2" t="s">
        <v>24</v>
      </c>
      <c r="D2785" s="2">
        <v>1</v>
      </c>
    </row>
    <row r="2786" spans="1:4">
      <c r="A2786" s="2" t="s">
        <v>1155</v>
      </c>
      <c r="B2786" s="2" t="s">
        <v>36</v>
      </c>
      <c r="C2786" s="2" t="s">
        <v>24</v>
      </c>
      <c r="D2786" s="2">
        <v>1</v>
      </c>
    </row>
    <row r="2787" spans="1:4">
      <c r="A2787" s="2" t="s">
        <v>1123</v>
      </c>
      <c r="B2787" s="2" t="s">
        <v>36</v>
      </c>
      <c r="C2787" s="2" t="s">
        <v>24</v>
      </c>
      <c r="D2787" s="2">
        <v>1</v>
      </c>
    </row>
    <row r="2788" spans="1:4">
      <c r="A2788" s="2" t="s">
        <v>1119</v>
      </c>
      <c r="B2788" s="2" t="s">
        <v>36</v>
      </c>
      <c r="C2788" s="2" t="s">
        <v>24</v>
      </c>
      <c r="D2788" s="2">
        <v>1</v>
      </c>
    </row>
    <row r="2789" spans="1:4">
      <c r="A2789" s="2" t="s">
        <v>1125</v>
      </c>
      <c r="B2789" s="2" t="s">
        <v>36</v>
      </c>
      <c r="C2789" s="2" t="s">
        <v>24</v>
      </c>
      <c r="D2789" s="2">
        <v>1</v>
      </c>
    </row>
    <row r="2790" spans="1:4">
      <c r="A2790" s="2" t="s">
        <v>4288</v>
      </c>
      <c r="B2790" s="2" t="s">
        <v>36</v>
      </c>
      <c r="C2790" s="2" t="s">
        <v>24</v>
      </c>
      <c r="D2790" s="2">
        <v>1</v>
      </c>
    </row>
    <row r="2791" spans="1:4">
      <c r="A2791" s="2" t="s">
        <v>4300</v>
      </c>
      <c r="B2791" s="2" t="s">
        <v>36</v>
      </c>
      <c r="C2791" s="2" t="s">
        <v>24</v>
      </c>
      <c r="D2791" s="2">
        <v>1</v>
      </c>
    </row>
    <row r="2792" spans="1:4">
      <c r="A2792" s="2" t="s">
        <v>4276</v>
      </c>
      <c r="B2792" s="2" t="s">
        <v>36</v>
      </c>
      <c r="C2792" s="2" t="s">
        <v>24</v>
      </c>
      <c r="D2792" s="2">
        <v>1</v>
      </c>
    </row>
    <row r="2793" spans="1:4">
      <c r="A2793" s="2" t="s">
        <v>4324</v>
      </c>
      <c r="B2793" s="2" t="s">
        <v>36</v>
      </c>
      <c r="C2793" s="2" t="s">
        <v>24</v>
      </c>
      <c r="D2793" s="2">
        <v>1</v>
      </c>
    </row>
    <row r="2794" spans="1:4">
      <c r="A2794" s="2" t="s">
        <v>4325</v>
      </c>
      <c r="B2794" s="2" t="s">
        <v>36</v>
      </c>
      <c r="C2794" s="2" t="s">
        <v>24</v>
      </c>
      <c r="D2794" s="2">
        <v>1</v>
      </c>
    </row>
    <row r="2795" spans="1:4">
      <c r="A2795" s="2" t="s">
        <v>3499</v>
      </c>
      <c r="B2795" s="2" t="s">
        <v>36</v>
      </c>
      <c r="C2795" s="2" t="s">
        <v>24</v>
      </c>
      <c r="D2795" s="2">
        <v>1</v>
      </c>
    </row>
    <row r="2796" spans="1:4">
      <c r="A2796" s="2" t="s">
        <v>3508</v>
      </c>
      <c r="B2796" s="2" t="s">
        <v>36</v>
      </c>
      <c r="C2796" s="2" t="s">
        <v>24</v>
      </c>
      <c r="D2796" s="2">
        <v>1</v>
      </c>
    </row>
    <row r="2797" spans="1:4">
      <c r="A2797" s="2" t="s">
        <v>4326</v>
      </c>
      <c r="B2797" s="2" t="s">
        <v>36</v>
      </c>
      <c r="C2797" s="2" t="s">
        <v>24</v>
      </c>
      <c r="D2797" s="2">
        <v>1</v>
      </c>
    </row>
    <row r="2798" spans="1:4">
      <c r="A2798" s="2" t="s">
        <v>1207</v>
      </c>
      <c r="B2798" s="2" t="s">
        <v>36</v>
      </c>
      <c r="C2798" s="2" t="s">
        <v>24</v>
      </c>
      <c r="D2798" s="2">
        <v>1</v>
      </c>
    </row>
    <row r="2799" spans="1:4">
      <c r="A2799" s="2" t="s">
        <v>4327</v>
      </c>
      <c r="B2799" s="2" t="s">
        <v>36</v>
      </c>
      <c r="C2799" s="2" t="s">
        <v>24</v>
      </c>
      <c r="D2799" s="2">
        <v>1</v>
      </c>
    </row>
    <row r="2800" spans="1:4">
      <c r="A2800" s="2" t="s">
        <v>2638</v>
      </c>
      <c r="B2800" s="2" t="s">
        <v>36</v>
      </c>
      <c r="C2800" s="2" t="s">
        <v>24</v>
      </c>
      <c r="D2800" s="2">
        <v>1</v>
      </c>
    </row>
    <row r="2801" spans="1:4">
      <c r="A2801" s="2" t="s">
        <v>3556</v>
      </c>
      <c r="B2801" s="2" t="s">
        <v>36</v>
      </c>
      <c r="C2801" s="2" t="s">
        <v>24</v>
      </c>
      <c r="D2801" s="2">
        <v>1</v>
      </c>
    </row>
    <row r="2802" spans="1:4">
      <c r="A2802" s="2" t="s">
        <v>1208</v>
      </c>
      <c r="B2802" s="2" t="s">
        <v>36</v>
      </c>
      <c r="C2802" s="2" t="s">
        <v>24</v>
      </c>
      <c r="D2802" s="2">
        <v>1</v>
      </c>
    </row>
    <row r="2803" spans="1:4">
      <c r="A2803" s="2" t="s">
        <v>1209</v>
      </c>
      <c r="B2803" s="2" t="s">
        <v>36</v>
      </c>
      <c r="C2803" s="2" t="s">
        <v>24</v>
      </c>
      <c r="D2803" s="2">
        <v>1</v>
      </c>
    </row>
    <row r="2804" spans="1:4">
      <c r="A2804" s="2" t="s">
        <v>1111</v>
      </c>
      <c r="B2804" s="2" t="s">
        <v>36</v>
      </c>
      <c r="C2804" s="2" t="s">
        <v>24</v>
      </c>
      <c r="D2804" s="2">
        <v>1</v>
      </c>
    </row>
    <row r="2805" spans="1:4">
      <c r="A2805" s="2" t="s">
        <v>1658</v>
      </c>
      <c r="B2805" s="2" t="s">
        <v>36</v>
      </c>
      <c r="C2805" s="2" t="s">
        <v>24</v>
      </c>
      <c r="D2805" s="2">
        <v>1</v>
      </c>
    </row>
    <row r="2806" spans="1:4">
      <c r="A2806" s="2" t="s">
        <v>1643</v>
      </c>
      <c r="B2806" s="2" t="s">
        <v>36</v>
      </c>
      <c r="C2806" s="2" t="s">
        <v>24</v>
      </c>
      <c r="D2806" s="2">
        <v>1</v>
      </c>
    </row>
    <row r="2807" spans="1:4">
      <c r="A2807" s="2" t="s">
        <v>1622</v>
      </c>
      <c r="B2807" s="2" t="s">
        <v>36</v>
      </c>
      <c r="C2807" s="2" t="s">
        <v>24</v>
      </c>
      <c r="D2807" s="2">
        <v>1</v>
      </c>
    </row>
    <row r="2808" spans="1:4">
      <c r="A2808" s="2" t="s">
        <v>1659</v>
      </c>
      <c r="B2808" s="2" t="s">
        <v>36</v>
      </c>
      <c r="C2808" s="2" t="s">
        <v>24</v>
      </c>
      <c r="D2808" s="2">
        <v>1</v>
      </c>
    </row>
    <row r="2809" spans="1:4">
      <c r="A2809" s="2" t="s">
        <v>1210</v>
      </c>
      <c r="B2809" s="2" t="s">
        <v>36</v>
      </c>
      <c r="C2809" s="2" t="s">
        <v>24</v>
      </c>
      <c r="D2809" s="2">
        <v>1</v>
      </c>
    </row>
    <row r="2810" spans="1:4">
      <c r="A2810" s="2" t="s">
        <v>337</v>
      </c>
      <c r="B2810" s="2" t="s">
        <v>36</v>
      </c>
      <c r="C2810" s="2" t="s">
        <v>24</v>
      </c>
      <c r="D2810" s="2">
        <v>1</v>
      </c>
    </row>
    <row r="2811" spans="1:4">
      <c r="A2811" s="2" t="s">
        <v>1660</v>
      </c>
      <c r="B2811" s="2" t="s">
        <v>36</v>
      </c>
      <c r="C2811" s="2" t="s">
        <v>24</v>
      </c>
      <c r="D2811" s="2">
        <v>1</v>
      </c>
    </row>
    <row r="2812" spans="1:4">
      <c r="A2812" s="2" t="s">
        <v>1186</v>
      </c>
      <c r="B2812" s="2" t="s">
        <v>36</v>
      </c>
      <c r="C2812" s="2" t="s">
        <v>24</v>
      </c>
      <c r="D2812" s="2">
        <v>1</v>
      </c>
    </row>
    <row r="2813" spans="1:4">
      <c r="A2813" s="2" t="s">
        <v>1156</v>
      </c>
      <c r="B2813" s="2" t="s">
        <v>36</v>
      </c>
      <c r="C2813" s="2" t="s">
        <v>24</v>
      </c>
      <c r="D2813" s="2">
        <v>1</v>
      </c>
    </row>
    <row r="2814" spans="1:4">
      <c r="A2814" s="2" t="s">
        <v>1187</v>
      </c>
      <c r="B2814" s="2" t="s">
        <v>36</v>
      </c>
      <c r="C2814" s="2" t="s">
        <v>24</v>
      </c>
      <c r="D2814" s="2">
        <v>1</v>
      </c>
    </row>
    <row r="2815" spans="1:4">
      <c r="A2815" s="2" t="s">
        <v>1137</v>
      </c>
      <c r="B2815" s="2" t="s">
        <v>36</v>
      </c>
      <c r="C2815" s="2" t="s">
        <v>24</v>
      </c>
      <c r="D2815" s="2">
        <v>1</v>
      </c>
    </row>
    <row r="2816" spans="1:4">
      <c r="A2816" s="2" t="s">
        <v>1176</v>
      </c>
      <c r="B2816" s="2" t="s">
        <v>36</v>
      </c>
      <c r="C2816" s="2" t="s">
        <v>24</v>
      </c>
      <c r="D2816" s="2">
        <v>1</v>
      </c>
    </row>
    <row r="2817" spans="1:4">
      <c r="A2817" s="2" t="s">
        <v>3101</v>
      </c>
      <c r="B2817" s="2" t="s">
        <v>36</v>
      </c>
      <c r="C2817" s="2" t="s">
        <v>24</v>
      </c>
      <c r="D2817" s="2">
        <v>1</v>
      </c>
    </row>
    <row r="2818" spans="1:4">
      <c r="A2818" s="2" t="s">
        <v>2625</v>
      </c>
      <c r="B2818" s="2" t="s">
        <v>36</v>
      </c>
      <c r="C2818" s="2" t="s">
        <v>24</v>
      </c>
      <c r="D2818" s="2">
        <v>1</v>
      </c>
    </row>
    <row r="2819" spans="1:4">
      <c r="A2819" s="2" t="s">
        <v>1147</v>
      </c>
      <c r="B2819" s="2" t="s">
        <v>36</v>
      </c>
      <c r="C2819" s="2" t="s">
        <v>24</v>
      </c>
      <c r="D2819" s="2">
        <v>1</v>
      </c>
    </row>
    <row r="2820" spans="1:4">
      <c r="A2820" s="2" t="s">
        <v>1138</v>
      </c>
      <c r="B2820" s="2" t="s">
        <v>36</v>
      </c>
      <c r="C2820" s="2" t="s">
        <v>24</v>
      </c>
      <c r="D2820" s="2">
        <v>1</v>
      </c>
    </row>
    <row r="2821" spans="1:4">
      <c r="A2821" s="2" t="s">
        <v>387</v>
      </c>
      <c r="B2821" s="2" t="s">
        <v>36</v>
      </c>
      <c r="C2821" s="2" t="s">
        <v>24</v>
      </c>
      <c r="D2821" s="2">
        <v>1</v>
      </c>
    </row>
    <row r="2822" spans="1:4">
      <c r="A2822" s="2" t="s">
        <v>3500</v>
      </c>
      <c r="B2822" s="2" t="s">
        <v>36</v>
      </c>
      <c r="C2822" s="2" t="s">
        <v>24</v>
      </c>
      <c r="D2822" s="2">
        <v>1</v>
      </c>
    </row>
    <row r="2823" spans="1:4">
      <c r="A2823" s="2" t="s">
        <v>3065</v>
      </c>
      <c r="B2823" s="2" t="s">
        <v>36</v>
      </c>
      <c r="C2823" s="2" t="s">
        <v>24</v>
      </c>
      <c r="D2823" s="2">
        <v>1</v>
      </c>
    </row>
    <row r="2824" spans="1:4">
      <c r="A2824" s="2" t="s">
        <v>1212</v>
      </c>
      <c r="B2824" s="2" t="s">
        <v>36</v>
      </c>
      <c r="C2824" s="2" t="s">
        <v>24</v>
      </c>
      <c r="D2824" s="2">
        <v>1</v>
      </c>
    </row>
    <row r="2825" spans="1:4">
      <c r="A2825" s="2" t="s">
        <v>4301</v>
      </c>
      <c r="B2825" s="2" t="s">
        <v>36</v>
      </c>
      <c r="C2825" s="2" t="s">
        <v>24</v>
      </c>
      <c r="D2825" s="2">
        <v>1</v>
      </c>
    </row>
    <row r="2826" spans="1:4">
      <c r="A2826" s="2" t="s">
        <v>4302</v>
      </c>
      <c r="B2826" s="2" t="s">
        <v>36</v>
      </c>
      <c r="C2826" s="2" t="s">
        <v>24</v>
      </c>
      <c r="D2826" s="2">
        <v>1</v>
      </c>
    </row>
    <row r="2827" spans="1:4">
      <c r="A2827" s="2" t="s">
        <v>410</v>
      </c>
      <c r="B2827" s="2" t="s">
        <v>36</v>
      </c>
      <c r="C2827" s="2" t="s">
        <v>24</v>
      </c>
      <c r="D2827" s="2">
        <v>1</v>
      </c>
    </row>
    <row r="2828" spans="1:4">
      <c r="A2828" s="2" t="s">
        <v>1132</v>
      </c>
      <c r="B2828" s="2" t="s">
        <v>36</v>
      </c>
      <c r="C2828" s="2" t="s">
        <v>24</v>
      </c>
      <c r="D2828" s="2">
        <v>1</v>
      </c>
    </row>
    <row r="2829" spans="1:4">
      <c r="A2829" s="2" t="s">
        <v>1143</v>
      </c>
      <c r="B2829" s="2" t="s">
        <v>36</v>
      </c>
      <c r="C2829" s="2" t="s">
        <v>24</v>
      </c>
      <c r="D2829" s="2">
        <v>1</v>
      </c>
    </row>
    <row r="2830" spans="1:4">
      <c r="A2830" s="2" t="s">
        <v>1169</v>
      </c>
      <c r="B2830" s="2" t="s">
        <v>36</v>
      </c>
      <c r="C2830" s="2" t="s">
        <v>24</v>
      </c>
      <c r="D2830" s="2">
        <v>1</v>
      </c>
    </row>
    <row r="2831" spans="1:4">
      <c r="A2831" s="2" t="s">
        <v>1661</v>
      </c>
      <c r="B2831" s="2" t="s">
        <v>36</v>
      </c>
      <c r="C2831" s="2" t="s">
        <v>24</v>
      </c>
      <c r="D2831" s="2">
        <v>1</v>
      </c>
    </row>
    <row r="2832" spans="1:4">
      <c r="A2832" s="2" t="s">
        <v>385</v>
      </c>
      <c r="B2832" s="2" t="s">
        <v>36</v>
      </c>
      <c r="C2832" s="2" t="s">
        <v>24</v>
      </c>
      <c r="D2832" s="2">
        <v>1</v>
      </c>
    </row>
    <row r="2833" spans="1:4">
      <c r="A2833" s="2" t="s">
        <v>4616</v>
      </c>
      <c r="B2833" s="2" t="s">
        <v>36</v>
      </c>
      <c r="C2833" s="2" t="s">
        <v>24</v>
      </c>
      <c r="D2833" s="2">
        <v>1</v>
      </c>
    </row>
    <row r="2834" spans="1:4">
      <c r="A2834" s="2" t="s">
        <v>2576</v>
      </c>
      <c r="B2834" s="2" t="s">
        <v>36</v>
      </c>
      <c r="C2834" s="2" t="s">
        <v>24</v>
      </c>
      <c r="D2834" s="2">
        <v>1</v>
      </c>
    </row>
    <row r="2835" spans="1:4">
      <c r="A2835" s="2" t="s">
        <v>3102</v>
      </c>
      <c r="B2835" s="2" t="s">
        <v>36</v>
      </c>
      <c r="C2835" s="2" t="s">
        <v>24</v>
      </c>
      <c r="D2835" s="2">
        <v>1</v>
      </c>
    </row>
    <row r="2836" spans="1:4">
      <c r="A2836" s="2" t="s">
        <v>4295</v>
      </c>
      <c r="B2836" s="2" t="s">
        <v>36</v>
      </c>
      <c r="C2836" s="2" t="s">
        <v>24</v>
      </c>
      <c r="D2836" s="2">
        <v>1</v>
      </c>
    </row>
    <row r="2837" spans="1:4">
      <c r="A2837" s="2" t="s">
        <v>4303</v>
      </c>
      <c r="B2837" s="2" t="s">
        <v>36</v>
      </c>
      <c r="C2837" s="2" t="s">
        <v>24</v>
      </c>
      <c r="D2837" s="2">
        <v>1</v>
      </c>
    </row>
    <row r="2838" spans="1:4">
      <c r="A2838" s="2" t="s">
        <v>2581</v>
      </c>
      <c r="B2838" s="2" t="s">
        <v>36</v>
      </c>
      <c r="C2838" s="2" t="s">
        <v>24</v>
      </c>
      <c r="D2838" s="2">
        <v>1</v>
      </c>
    </row>
    <row r="2839" spans="1:4">
      <c r="A2839" s="2" t="s">
        <v>2639</v>
      </c>
      <c r="B2839" s="2" t="s">
        <v>36</v>
      </c>
      <c r="C2839" s="2" t="s">
        <v>24</v>
      </c>
      <c r="D2839" s="2">
        <v>1</v>
      </c>
    </row>
    <row r="2840" spans="1:4">
      <c r="A2840" s="2" t="s">
        <v>1214</v>
      </c>
      <c r="B2840" s="2" t="s">
        <v>36</v>
      </c>
      <c r="C2840" s="2" t="s">
        <v>24</v>
      </c>
      <c r="D2840" s="2">
        <v>1</v>
      </c>
    </row>
    <row r="2841" spans="1:4">
      <c r="A2841" s="2" t="s">
        <v>1158</v>
      </c>
      <c r="B2841" s="2" t="s">
        <v>36</v>
      </c>
      <c r="C2841" s="2" t="s">
        <v>24</v>
      </c>
      <c r="D2841" s="2">
        <v>1</v>
      </c>
    </row>
    <row r="2842" spans="1:4">
      <c r="A2842" s="2" t="s">
        <v>1624</v>
      </c>
      <c r="B2842" s="2" t="s">
        <v>36</v>
      </c>
      <c r="C2842" s="2" t="s">
        <v>24</v>
      </c>
      <c r="D2842" s="2">
        <v>1</v>
      </c>
    </row>
    <row r="2843" spans="1:4">
      <c r="A2843" s="2" t="s">
        <v>1636</v>
      </c>
      <c r="B2843" s="2" t="s">
        <v>36</v>
      </c>
      <c r="C2843" s="2" t="s">
        <v>24</v>
      </c>
      <c r="D2843" s="2">
        <v>1</v>
      </c>
    </row>
    <row r="2844" spans="1:4">
      <c r="A2844" s="2" t="s">
        <v>1626</v>
      </c>
      <c r="B2844" s="2" t="s">
        <v>36</v>
      </c>
      <c r="C2844" s="2" t="s">
        <v>24</v>
      </c>
      <c r="D2844" s="2">
        <v>1</v>
      </c>
    </row>
    <row r="2845" spans="1:4">
      <c r="A2845" s="2" t="s">
        <v>1628</v>
      </c>
      <c r="B2845" s="2" t="s">
        <v>36</v>
      </c>
      <c r="C2845" s="2" t="s">
        <v>24</v>
      </c>
      <c r="D2845" s="2">
        <v>1</v>
      </c>
    </row>
    <row r="2846" spans="1:4">
      <c r="A2846" s="2" t="s">
        <v>1215</v>
      </c>
      <c r="B2846" s="2" t="s">
        <v>36</v>
      </c>
      <c r="C2846" s="2" t="s">
        <v>24</v>
      </c>
      <c r="D2846" s="2">
        <v>1</v>
      </c>
    </row>
    <row r="2847" spans="1:4">
      <c r="A2847" s="2" t="s">
        <v>3066</v>
      </c>
      <c r="B2847" s="2" t="s">
        <v>36</v>
      </c>
      <c r="C2847" s="2" t="s">
        <v>24</v>
      </c>
      <c r="D2847" s="2">
        <v>1</v>
      </c>
    </row>
    <row r="2848" spans="1:4">
      <c r="A2848" s="2" t="s">
        <v>3103</v>
      </c>
      <c r="B2848" s="2" t="s">
        <v>36</v>
      </c>
      <c r="C2848" s="2" t="s">
        <v>24</v>
      </c>
      <c r="D2848" s="2">
        <v>1</v>
      </c>
    </row>
    <row r="2849" spans="1:4">
      <c r="A2849" s="2" t="s">
        <v>4304</v>
      </c>
      <c r="B2849" s="2" t="s">
        <v>36</v>
      </c>
      <c r="C2849" s="2" t="s">
        <v>24</v>
      </c>
      <c r="D2849" s="2">
        <v>1</v>
      </c>
    </row>
    <row r="2850" spans="1:4">
      <c r="A2850" s="2" t="s">
        <v>395</v>
      </c>
      <c r="B2850" s="2" t="s">
        <v>36</v>
      </c>
      <c r="C2850" s="2" t="s">
        <v>24</v>
      </c>
      <c r="D2850" s="2">
        <v>1</v>
      </c>
    </row>
    <row r="2851" spans="1:4">
      <c r="A2851" s="2" t="s">
        <v>2028</v>
      </c>
      <c r="B2851" s="2" t="s">
        <v>36</v>
      </c>
      <c r="C2851" s="2" t="s">
        <v>24</v>
      </c>
      <c r="D2851" s="2">
        <v>1</v>
      </c>
    </row>
    <row r="2852" spans="1:4">
      <c r="A2852" s="2" t="s">
        <v>3104</v>
      </c>
      <c r="B2852" s="2" t="s">
        <v>36</v>
      </c>
      <c r="C2852" s="2" t="s">
        <v>24</v>
      </c>
      <c r="D2852" s="2">
        <v>1</v>
      </c>
    </row>
    <row r="2853" spans="1:4">
      <c r="A2853" s="2" t="s">
        <v>1637</v>
      </c>
      <c r="B2853" s="2" t="s">
        <v>36</v>
      </c>
      <c r="C2853" s="2" t="s">
        <v>24</v>
      </c>
      <c r="D2853" s="2">
        <v>1</v>
      </c>
    </row>
    <row r="2854" spans="1:4">
      <c r="A2854" s="2" t="s">
        <v>3521</v>
      </c>
      <c r="B2854" s="2" t="s">
        <v>36</v>
      </c>
      <c r="C2854" s="2" t="s">
        <v>24</v>
      </c>
      <c r="D2854" s="2">
        <v>1</v>
      </c>
    </row>
    <row r="2855" spans="1:4">
      <c r="A2855" s="2" t="s">
        <v>2623</v>
      </c>
      <c r="B2855" s="2" t="s">
        <v>36</v>
      </c>
      <c r="C2855" s="2" t="s">
        <v>24</v>
      </c>
      <c r="D2855" s="2">
        <v>1</v>
      </c>
    </row>
    <row r="2856" spans="1:4">
      <c r="A2856" s="2" t="s">
        <v>4634</v>
      </c>
      <c r="B2856" s="2" t="s">
        <v>36</v>
      </c>
      <c r="C2856" s="2" t="s">
        <v>24</v>
      </c>
      <c r="D2856" s="2">
        <v>1</v>
      </c>
    </row>
    <row r="2857" spans="1:4">
      <c r="A2857" s="2" t="s">
        <v>3993</v>
      </c>
      <c r="B2857" s="2" t="s">
        <v>36</v>
      </c>
      <c r="C2857" s="2" t="s">
        <v>24</v>
      </c>
      <c r="D2857" s="2">
        <v>1</v>
      </c>
    </row>
    <row r="2858" spans="1:4">
      <c r="A2858" s="2" t="s">
        <v>3559</v>
      </c>
      <c r="B2858" s="2" t="s">
        <v>36</v>
      </c>
      <c r="C2858" s="2" t="s">
        <v>24</v>
      </c>
      <c r="D2858" s="2">
        <v>1</v>
      </c>
    </row>
    <row r="2859" spans="1:4">
      <c r="A2859" s="2" t="s">
        <v>3994</v>
      </c>
      <c r="B2859" s="2" t="s">
        <v>36</v>
      </c>
      <c r="C2859" s="2" t="s">
        <v>24</v>
      </c>
      <c r="D2859" s="2">
        <v>1</v>
      </c>
    </row>
    <row r="2860" spans="1:4">
      <c r="A2860" s="2" t="s">
        <v>3974</v>
      </c>
      <c r="B2860" s="2" t="s">
        <v>36</v>
      </c>
      <c r="C2860" s="2" t="s">
        <v>24</v>
      </c>
      <c r="D2860" s="2">
        <v>1</v>
      </c>
    </row>
    <row r="2861" spans="1:4">
      <c r="A2861" s="2" t="s">
        <v>3932</v>
      </c>
      <c r="B2861" s="2" t="s">
        <v>36</v>
      </c>
      <c r="C2861" s="2" t="s">
        <v>24</v>
      </c>
      <c r="D2861" s="2">
        <v>1</v>
      </c>
    </row>
    <row r="2862" spans="1:4">
      <c r="A2862" s="2" t="s">
        <v>4704</v>
      </c>
      <c r="B2862" s="2" t="s">
        <v>36</v>
      </c>
      <c r="C2862" s="2" t="s">
        <v>24</v>
      </c>
      <c r="D2862" s="2">
        <v>1</v>
      </c>
    </row>
    <row r="2863" spans="1:4">
      <c r="A2863" s="2" t="s">
        <v>4705</v>
      </c>
      <c r="B2863" s="2" t="s">
        <v>36</v>
      </c>
      <c r="C2863" s="2" t="s">
        <v>24</v>
      </c>
      <c r="D2863" s="2">
        <v>1</v>
      </c>
    </row>
    <row r="2864" spans="1:4">
      <c r="A2864" s="2" t="s">
        <v>4286</v>
      </c>
      <c r="B2864" s="2" t="s">
        <v>36</v>
      </c>
      <c r="C2864" s="2" t="s">
        <v>24</v>
      </c>
      <c r="D2864" s="2">
        <v>1</v>
      </c>
    </row>
    <row r="2865" spans="1:4">
      <c r="A2865" s="2" t="s">
        <v>426</v>
      </c>
      <c r="B2865" s="2" t="s">
        <v>36</v>
      </c>
      <c r="C2865" s="2" t="s">
        <v>24</v>
      </c>
      <c r="D2865" s="2">
        <v>1</v>
      </c>
    </row>
    <row r="2866" spans="1:4">
      <c r="A2866" s="2" t="s">
        <v>2047</v>
      </c>
      <c r="B2866" s="2" t="s">
        <v>36</v>
      </c>
      <c r="C2866" s="2" t="s">
        <v>24</v>
      </c>
      <c r="D2866" s="2">
        <v>1</v>
      </c>
    </row>
    <row r="2867" spans="1:4">
      <c r="A2867" s="2" t="s">
        <v>3522</v>
      </c>
      <c r="B2867" s="2" t="s">
        <v>36</v>
      </c>
      <c r="C2867" s="2" t="s">
        <v>24</v>
      </c>
      <c r="D2867" s="2">
        <v>1</v>
      </c>
    </row>
    <row r="2868" spans="1:4">
      <c r="A2868" s="2" t="s">
        <v>3051</v>
      </c>
      <c r="B2868" s="2" t="s">
        <v>36</v>
      </c>
      <c r="C2868" s="2" t="s">
        <v>24</v>
      </c>
      <c r="D2868" s="2">
        <v>1</v>
      </c>
    </row>
    <row r="2869" spans="1:4">
      <c r="A2869" s="2" t="s">
        <v>427</v>
      </c>
      <c r="B2869" s="2" t="s">
        <v>36</v>
      </c>
      <c r="C2869" s="2" t="s">
        <v>24</v>
      </c>
      <c r="D2869" s="2">
        <v>1</v>
      </c>
    </row>
    <row r="2870" spans="1:4">
      <c r="A2870" s="2" t="s">
        <v>3105</v>
      </c>
      <c r="B2870" s="2" t="s">
        <v>36</v>
      </c>
      <c r="C2870" s="2" t="s">
        <v>24</v>
      </c>
      <c r="D2870" s="2">
        <v>1</v>
      </c>
    </row>
    <row r="2871" spans="1:4">
      <c r="A2871" s="2" t="s">
        <v>3055</v>
      </c>
      <c r="B2871" s="2" t="s">
        <v>36</v>
      </c>
      <c r="C2871" s="2" t="s">
        <v>24</v>
      </c>
      <c r="D2871" s="2">
        <v>1</v>
      </c>
    </row>
    <row r="2872" spans="1:4">
      <c r="A2872" s="2" t="s">
        <v>3107</v>
      </c>
      <c r="B2872" s="2" t="s">
        <v>36</v>
      </c>
      <c r="C2872" s="2" t="s">
        <v>24</v>
      </c>
      <c r="D2872" s="2">
        <v>1</v>
      </c>
    </row>
    <row r="2873" spans="1:4">
      <c r="A2873" s="2" t="s">
        <v>413</v>
      </c>
      <c r="B2873" s="2" t="s">
        <v>36</v>
      </c>
      <c r="C2873" s="2" t="s">
        <v>24</v>
      </c>
      <c r="D2873" s="2">
        <v>1</v>
      </c>
    </row>
    <row r="2874" spans="1:4">
      <c r="A2874" s="2" t="s">
        <v>3494</v>
      </c>
      <c r="B2874" s="2" t="s">
        <v>36</v>
      </c>
      <c r="C2874" s="2" t="s">
        <v>24</v>
      </c>
      <c r="D2874" s="2">
        <v>1</v>
      </c>
    </row>
    <row r="2875" spans="1:4">
      <c r="A2875" s="2" t="s">
        <v>2034</v>
      </c>
      <c r="B2875" s="2" t="s">
        <v>36</v>
      </c>
      <c r="C2875" s="2" t="s">
        <v>24</v>
      </c>
      <c r="D2875" s="2">
        <v>1</v>
      </c>
    </row>
    <row r="2876" spans="1:4">
      <c r="A2876" s="2" t="s">
        <v>3108</v>
      </c>
      <c r="B2876" s="2" t="s">
        <v>36</v>
      </c>
      <c r="C2876" s="2" t="s">
        <v>24</v>
      </c>
      <c r="D2876" s="2">
        <v>1</v>
      </c>
    </row>
    <row r="2877" spans="1:4">
      <c r="A2877" s="2" t="s">
        <v>1662</v>
      </c>
      <c r="B2877" s="2" t="s">
        <v>36</v>
      </c>
      <c r="C2877" s="2" t="s">
        <v>24</v>
      </c>
      <c r="D2877" s="2">
        <v>1</v>
      </c>
    </row>
    <row r="2878" spans="1:4">
      <c r="A2878" s="2" t="s">
        <v>2613</v>
      </c>
      <c r="B2878" s="2" t="s">
        <v>36</v>
      </c>
      <c r="C2878" s="2" t="s">
        <v>24</v>
      </c>
      <c r="D2878" s="2">
        <v>1</v>
      </c>
    </row>
    <row r="2879" spans="1:4">
      <c r="A2879" s="2" t="s">
        <v>2560</v>
      </c>
      <c r="B2879" s="2" t="s">
        <v>36</v>
      </c>
      <c r="C2879" s="2" t="s">
        <v>24</v>
      </c>
      <c r="D2879" s="2">
        <v>1</v>
      </c>
    </row>
    <row r="2880" spans="1:4">
      <c r="A2880" s="2" t="s">
        <v>3068</v>
      </c>
      <c r="B2880" s="2" t="s">
        <v>36</v>
      </c>
      <c r="C2880" s="2" t="s">
        <v>24</v>
      </c>
      <c r="D2880" s="2">
        <v>1</v>
      </c>
    </row>
    <row r="2881" spans="1:4">
      <c r="A2881" s="2" t="s">
        <v>3959</v>
      </c>
      <c r="B2881" s="2" t="s">
        <v>36</v>
      </c>
      <c r="C2881" s="2" t="s">
        <v>24</v>
      </c>
      <c r="D2881" s="2">
        <v>1</v>
      </c>
    </row>
    <row r="2882" spans="1:4">
      <c r="A2882" s="2" t="s">
        <v>4328</v>
      </c>
      <c r="B2882" s="2" t="s">
        <v>36</v>
      </c>
      <c r="C2882" s="2" t="s">
        <v>24</v>
      </c>
      <c r="D2882" s="2">
        <v>1</v>
      </c>
    </row>
    <row r="2883" spans="1:4">
      <c r="A2883" s="2" t="s">
        <v>1177</v>
      </c>
      <c r="B2883" s="2" t="s">
        <v>36</v>
      </c>
      <c r="C2883" s="2" t="s">
        <v>24</v>
      </c>
      <c r="D2883" s="2">
        <v>1</v>
      </c>
    </row>
    <row r="2884" spans="1:4">
      <c r="A2884" s="2" t="s">
        <v>3967</v>
      </c>
      <c r="B2884" s="2" t="s">
        <v>36</v>
      </c>
      <c r="C2884" s="2" t="s">
        <v>24</v>
      </c>
      <c r="D2884" s="2">
        <v>1</v>
      </c>
    </row>
    <row r="2885" spans="1:4">
      <c r="A2885" s="2" t="s">
        <v>4329</v>
      </c>
      <c r="B2885" s="2" t="s">
        <v>36</v>
      </c>
      <c r="C2885" s="2" t="s">
        <v>24</v>
      </c>
      <c r="D2885" s="2">
        <v>1</v>
      </c>
    </row>
    <row r="2886" spans="1:4">
      <c r="A2886" s="2" t="s">
        <v>3560</v>
      </c>
      <c r="B2886" s="2" t="s">
        <v>36</v>
      </c>
      <c r="C2886" s="2" t="s">
        <v>24</v>
      </c>
      <c r="D2886" s="2">
        <v>1</v>
      </c>
    </row>
    <row r="2887" spans="1:4">
      <c r="A2887" s="2" t="s">
        <v>3495</v>
      </c>
      <c r="B2887" s="2" t="s">
        <v>36</v>
      </c>
      <c r="C2887" s="2" t="s">
        <v>24</v>
      </c>
      <c r="D2887" s="2">
        <v>1</v>
      </c>
    </row>
    <row r="2888" spans="1:4">
      <c r="A2888" s="2" t="s">
        <v>3524</v>
      </c>
      <c r="B2888" s="2" t="s">
        <v>36</v>
      </c>
      <c r="C2888" s="2" t="s">
        <v>24</v>
      </c>
      <c r="D2888" s="2">
        <v>1</v>
      </c>
    </row>
    <row r="2889" spans="1:4">
      <c r="A2889" s="2" t="s">
        <v>3525</v>
      </c>
      <c r="B2889" s="2" t="s">
        <v>36</v>
      </c>
      <c r="C2889" s="2" t="s">
        <v>24</v>
      </c>
      <c r="D2889" s="2">
        <v>1</v>
      </c>
    </row>
    <row r="2890" spans="1:4">
      <c r="A2890" s="2" t="s">
        <v>1663</v>
      </c>
      <c r="B2890" s="2" t="s">
        <v>36</v>
      </c>
      <c r="C2890" s="2" t="s">
        <v>24</v>
      </c>
      <c r="D2890" s="2">
        <v>1</v>
      </c>
    </row>
    <row r="2891" spans="1:4">
      <c r="A2891" s="2" t="s">
        <v>370</v>
      </c>
      <c r="B2891" s="2" t="s">
        <v>36</v>
      </c>
      <c r="C2891" s="2" t="s">
        <v>24</v>
      </c>
      <c r="D2891" s="2">
        <v>1</v>
      </c>
    </row>
    <row r="2892" spans="1:4">
      <c r="A2892" s="2" t="s">
        <v>1664</v>
      </c>
      <c r="B2892" s="2" t="s">
        <v>36</v>
      </c>
      <c r="C2892" s="2" t="s">
        <v>24</v>
      </c>
      <c r="D2892" s="2">
        <v>1</v>
      </c>
    </row>
    <row r="2893" spans="1:4">
      <c r="A2893" s="2" t="s">
        <v>3526</v>
      </c>
      <c r="B2893" s="2" t="s">
        <v>36</v>
      </c>
      <c r="C2893" s="2" t="s">
        <v>24</v>
      </c>
      <c r="D2893" s="2">
        <v>1</v>
      </c>
    </row>
    <row r="2894" spans="1:4">
      <c r="A2894" s="2" t="s">
        <v>4331</v>
      </c>
      <c r="B2894" s="2" t="s">
        <v>36</v>
      </c>
      <c r="C2894" s="2" t="s">
        <v>24</v>
      </c>
      <c r="D2894" s="2">
        <v>1</v>
      </c>
    </row>
    <row r="2895" spans="1:4">
      <c r="A2895" s="2" t="s">
        <v>3527</v>
      </c>
      <c r="B2895" s="2" t="s">
        <v>36</v>
      </c>
      <c r="C2895" s="2" t="s">
        <v>24</v>
      </c>
      <c r="D2895" s="2">
        <v>1</v>
      </c>
    </row>
    <row r="2896" spans="1:4">
      <c r="A2896" s="2" t="s">
        <v>2646</v>
      </c>
      <c r="B2896" s="2" t="s">
        <v>36</v>
      </c>
      <c r="C2896" s="2" t="s">
        <v>24</v>
      </c>
      <c r="D2896" s="2">
        <v>1</v>
      </c>
    </row>
    <row r="2897" spans="1:4">
      <c r="A2897" s="2" t="s">
        <v>3561</v>
      </c>
      <c r="B2897" s="2" t="s">
        <v>36</v>
      </c>
      <c r="C2897" s="2" t="s">
        <v>24</v>
      </c>
      <c r="D2897" s="2">
        <v>1</v>
      </c>
    </row>
    <row r="2898" spans="1:4">
      <c r="A2898" s="2" t="s">
        <v>368</v>
      </c>
      <c r="B2898" s="2" t="s">
        <v>36</v>
      </c>
      <c r="C2898" s="2" t="s">
        <v>24</v>
      </c>
      <c r="D2898" s="2">
        <v>1</v>
      </c>
    </row>
    <row r="2899" spans="1:4">
      <c r="A2899" s="2" t="s">
        <v>350</v>
      </c>
      <c r="B2899" s="2" t="s">
        <v>36</v>
      </c>
      <c r="C2899" s="2" t="s">
        <v>24</v>
      </c>
      <c r="D2899" s="2">
        <v>1</v>
      </c>
    </row>
    <row r="2900" spans="1:4">
      <c r="A2900" s="2" t="s">
        <v>3109</v>
      </c>
      <c r="B2900" s="2" t="s">
        <v>36</v>
      </c>
      <c r="C2900" s="2" t="s">
        <v>24</v>
      </c>
      <c r="D2900" s="2">
        <v>1</v>
      </c>
    </row>
    <row r="2901" spans="1:4">
      <c r="A2901" s="2" t="s">
        <v>1150</v>
      </c>
      <c r="B2901" s="2" t="s">
        <v>36</v>
      </c>
      <c r="C2901" s="2" t="s">
        <v>24</v>
      </c>
      <c r="D2901" s="2">
        <v>1</v>
      </c>
    </row>
    <row r="2902" spans="1:4">
      <c r="A2902" s="2" t="s">
        <v>3056</v>
      </c>
      <c r="B2902" s="2" t="s">
        <v>36</v>
      </c>
      <c r="C2902" s="2" t="s">
        <v>24</v>
      </c>
      <c r="D2902" s="2">
        <v>1</v>
      </c>
    </row>
    <row r="2903" spans="1:4">
      <c r="A2903" s="2" t="s">
        <v>971</v>
      </c>
      <c r="B2903" s="2" t="s">
        <v>36</v>
      </c>
      <c r="C2903" s="2" t="s">
        <v>24</v>
      </c>
      <c r="D2903" s="2">
        <v>1</v>
      </c>
    </row>
    <row r="2904" spans="1:4">
      <c r="A2904" s="2" t="s">
        <v>4694</v>
      </c>
      <c r="B2904" s="2" t="s">
        <v>36</v>
      </c>
      <c r="C2904" s="2" t="s">
        <v>24</v>
      </c>
      <c r="D2904" s="2">
        <v>1</v>
      </c>
    </row>
    <row r="2905" spans="1:4">
      <c r="A2905" s="2" t="s">
        <v>324</v>
      </c>
      <c r="B2905" s="2" t="s">
        <v>36</v>
      </c>
      <c r="C2905" s="2" t="s">
        <v>24</v>
      </c>
      <c r="D2905" s="2">
        <v>1</v>
      </c>
    </row>
    <row r="2906" spans="1:4">
      <c r="A2906" s="2" t="s">
        <v>4332</v>
      </c>
      <c r="B2906" s="2" t="s">
        <v>36</v>
      </c>
      <c r="C2906" s="2" t="s">
        <v>24</v>
      </c>
      <c r="D2906" s="2">
        <v>1</v>
      </c>
    </row>
    <row r="2907" spans="1:4">
      <c r="A2907" s="2" t="s">
        <v>4003</v>
      </c>
      <c r="B2907" s="2" t="s">
        <v>36</v>
      </c>
      <c r="C2907" s="2" t="s">
        <v>24</v>
      </c>
      <c r="D2907" s="2">
        <v>1</v>
      </c>
    </row>
    <row r="2908" spans="1:4">
      <c r="A2908" s="2" t="s">
        <v>4695</v>
      </c>
      <c r="B2908" s="2" t="s">
        <v>36</v>
      </c>
      <c r="C2908" s="2" t="s">
        <v>24</v>
      </c>
      <c r="D2908" s="2">
        <v>1</v>
      </c>
    </row>
    <row r="2909" spans="1:4">
      <c r="A2909" s="2" t="s">
        <v>3111</v>
      </c>
      <c r="B2909" s="2" t="s">
        <v>36</v>
      </c>
      <c r="C2909" s="2" t="s">
        <v>24</v>
      </c>
      <c r="D2909" s="2">
        <v>1</v>
      </c>
    </row>
    <row r="2910" spans="1:4">
      <c r="A2910" s="2" t="s">
        <v>1189</v>
      </c>
      <c r="B2910" s="2" t="s">
        <v>36</v>
      </c>
      <c r="C2910" s="2" t="s">
        <v>24</v>
      </c>
      <c r="D2910" s="2">
        <v>1</v>
      </c>
    </row>
    <row r="2911" spans="1:4">
      <c r="A2911" s="2" t="s">
        <v>354</v>
      </c>
      <c r="B2911" s="2" t="s">
        <v>36</v>
      </c>
      <c r="C2911" s="2" t="s">
        <v>24</v>
      </c>
      <c r="D2911" s="2">
        <v>1</v>
      </c>
    </row>
    <row r="2912" spans="1:4">
      <c r="A2912" s="2" t="s">
        <v>1985</v>
      </c>
      <c r="B2912" s="2" t="s">
        <v>36</v>
      </c>
      <c r="C2912" s="2" t="s">
        <v>24</v>
      </c>
      <c r="D2912" s="2">
        <v>1</v>
      </c>
    </row>
    <row r="2913" spans="1:4">
      <c r="A2913" s="2" t="s">
        <v>1987</v>
      </c>
      <c r="B2913" s="2" t="s">
        <v>36</v>
      </c>
      <c r="C2913" s="2" t="s">
        <v>24</v>
      </c>
      <c r="D2913" s="2">
        <v>1</v>
      </c>
    </row>
    <row r="2914" spans="1:4">
      <c r="A2914" s="2" t="s">
        <v>3126</v>
      </c>
      <c r="B2914" s="2" t="s">
        <v>36</v>
      </c>
      <c r="C2914" s="2" t="s">
        <v>24</v>
      </c>
      <c r="D2914" s="2">
        <v>1</v>
      </c>
    </row>
    <row r="2915" spans="1:4">
      <c r="A2915" s="2" t="s">
        <v>3033</v>
      </c>
      <c r="B2915" s="2" t="s">
        <v>36</v>
      </c>
      <c r="C2915" s="2" t="s">
        <v>24</v>
      </c>
      <c r="D2915" s="2">
        <v>1</v>
      </c>
    </row>
    <row r="2916" spans="1:4">
      <c r="A2916" s="2" t="s">
        <v>3069</v>
      </c>
      <c r="B2916" s="2" t="s">
        <v>36</v>
      </c>
      <c r="C2916" s="2" t="s">
        <v>24</v>
      </c>
      <c r="D2916" s="2">
        <v>1</v>
      </c>
    </row>
    <row r="2917" spans="1:4">
      <c r="A2917" s="2" t="s">
        <v>3036</v>
      </c>
      <c r="B2917" s="2" t="s">
        <v>36</v>
      </c>
      <c r="C2917" s="2" t="s">
        <v>24</v>
      </c>
      <c r="D2917" s="2">
        <v>1</v>
      </c>
    </row>
    <row r="2918" spans="1:4">
      <c r="A2918" s="2" t="s">
        <v>1665</v>
      </c>
      <c r="B2918" s="2" t="s">
        <v>36</v>
      </c>
      <c r="C2918" s="2" t="s">
        <v>24</v>
      </c>
      <c r="D2918" s="2">
        <v>1</v>
      </c>
    </row>
    <row r="2919" spans="1:4">
      <c r="A2919" s="2" t="s">
        <v>3995</v>
      </c>
      <c r="B2919" s="2" t="s">
        <v>36</v>
      </c>
      <c r="C2919" s="2" t="s">
        <v>24</v>
      </c>
      <c r="D2919" s="2">
        <v>1</v>
      </c>
    </row>
    <row r="2920" spans="1:4">
      <c r="A2920" s="2" t="s">
        <v>4696</v>
      </c>
      <c r="B2920" s="2" t="s">
        <v>36</v>
      </c>
      <c r="C2920" s="2" t="s">
        <v>24</v>
      </c>
      <c r="D2920" s="2">
        <v>1</v>
      </c>
    </row>
    <row r="2921" spans="1:4">
      <c r="A2921" s="2" t="s">
        <v>2601</v>
      </c>
      <c r="B2921" s="2" t="s">
        <v>36</v>
      </c>
      <c r="C2921" s="2" t="s">
        <v>24</v>
      </c>
      <c r="D2921" s="2">
        <v>1</v>
      </c>
    </row>
    <row r="2922" spans="1:4">
      <c r="A2922" s="2" t="s">
        <v>2524</v>
      </c>
      <c r="B2922" s="2" t="s">
        <v>36</v>
      </c>
      <c r="C2922" s="2" t="s">
        <v>24</v>
      </c>
      <c r="D2922" s="2">
        <v>1</v>
      </c>
    </row>
    <row r="2923" spans="1:4">
      <c r="A2923" s="2" t="s">
        <v>2562</v>
      </c>
      <c r="B2923" s="2" t="s">
        <v>36</v>
      </c>
      <c r="C2923" s="2" t="s">
        <v>24</v>
      </c>
      <c r="D2923" s="2">
        <v>1</v>
      </c>
    </row>
    <row r="2924" spans="1:4">
      <c r="A2924" s="2" t="s">
        <v>2605</v>
      </c>
      <c r="B2924" s="2" t="s">
        <v>36</v>
      </c>
      <c r="C2924" s="2" t="s">
        <v>24</v>
      </c>
      <c r="D2924" s="2">
        <v>1</v>
      </c>
    </row>
    <row r="2925" spans="1:4">
      <c r="A2925" s="2" t="s">
        <v>1170</v>
      </c>
      <c r="B2925" s="2" t="s">
        <v>36</v>
      </c>
      <c r="C2925" s="2" t="s">
        <v>24</v>
      </c>
      <c r="D2925" s="2">
        <v>1</v>
      </c>
    </row>
    <row r="2926" spans="1:4">
      <c r="A2926" s="2" t="s">
        <v>388</v>
      </c>
      <c r="B2926" s="2" t="s">
        <v>36</v>
      </c>
      <c r="C2926" s="2" t="s">
        <v>24</v>
      </c>
      <c r="D2926" s="2">
        <v>1</v>
      </c>
    </row>
    <row r="2927" spans="1:4">
      <c r="A2927" s="2" t="s">
        <v>1216</v>
      </c>
      <c r="B2927" s="2" t="s">
        <v>36</v>
      </c>
      <c r="C2927" s="2" t="s">
        <v>24</v>
      </c>
      <c r="D2927" s="2">
        <v>1</v>
      </c>
    </row>
    <row r="2928" spans="1:4">
      <c r="A2928" s="2" t="s">
        <v>1666</v>
      </c>
      <c r="B2928" s="2" t="s">
        <v>36</v>
      </c>
      <c r="C2928" s="2" t="s">
        <v>24</v>
      </c>
      <c r="D2928" s="2">
        <v>1</v>
      </c>
    </row>
    <row r="2929" spans="1:4">
      <c r="A2929" s="2" t="s">
        <v>4333</v>
      </c>
      <c r="B2929" s="2" t="s">
        <v>36</v>
      </c>
      <c r="C2929" s="2" t="s">
        <v>24</v>
      </c>
      <c r="D2929" s="2">
        <v>1</v>
      </c>
    </row>
    <row r="2930" spans="1:4">
      <c r="A2930" s="2" t="s">
        <v>4697</v>
      </c>
      <c r="B2930" s="2" t="s">
        <v>36</v>
      </c>
      <c r="C2930" s="2" t="s">
        <v>24</v>
      </c>
      <c r="D2930" s="2">
        <v>1</v>
      </c>
    </row>
    <row r="2931" spans="1:4">
      <c r="A2931" s="2" t="s">
        <v>4334</v>
      </c>
      <c r="B2931" s="2" t="s">
        <v>36</v>
      </c>
      <c r="C2931" s="2" t="s">
        <v>24</v>
      </c>
      <c r="D2931" s="2">
        <v>1</v>
      </c>
    </row>
    <row r="2932" spans="1:4">
      <c r="A2932" s="2" t="s">
        <v>3562</v>
      </c>
      <c r="B2932" s="2" t="s">
        <v>36</v>
      </c>
      <c r="C2932" s="2" t="s">
        <v>24</v>
      </c>
      <c r="D2932" s="2">
        <v>1</v>
      </c>
    </row>
    <row r="2933" spans="1:4">
      <c r="A2933" s="2" t="s">
        <v>4296</v>
      </c>
      <c r="B2933" s="2" t="s">
        <v>36</v>
      </c>
      <c r="C2933" s="2" t="s">
        <v>24</v>
      </c>
      <c r="D2933" s="2">
        <v>1</v>
      </c>
    </row>
    <row r="2934" spans="1:4">
      <c r="A2934" s="2" t="s">
        <v>4685</v>
      </c>
      <c r="B2934" s="2" t="s">
        <v>36</v>
      </c>
      <c r="C2934" s="2" t="s">
        <v>24</v>
      </c>
      <c r="D2934" s="2">
        <v>1</v>
      </c>
    </row>
    <row r="2935" spans="1:4">
      <c r="A2935" s="2" t="s">
        <v>4335</v>
      </c>
      <c r="B2935" s="2" t="s">
        <v>36</v>
      </c>
      <c r="C2935" s="2" t="s">
        <v>24</v>
      </c>
      <c r="D2935" s="2">
        <v>1</v>
      </c>
    </row>
    <row r="2936" spans="1:4">
      <c r="A2936" s="2" t="s">
        <v>341</v>
      </c>
      <c r="B2936" s="2" t="s">
        <v>36</v>
      </c>
      <c r="C2936" s="2" t="s">
        <v>24</v>
      </c>
      <c r="D2936" s="2">
        <v>1</v>
      </c>
    </row>
    <row r="2937" spans="1:4">
      <c r="A2937" s="2" t="s">
        <v>2056</v>
      </c>
      <c r="B2937" s="2" t="s">
        <v>36</v>
      </c>
      <c r="C2937" s="2" t="s">
        <v>24</v>
      </c>
      <c r="D2937" s="2">
        <v>1</v>
      </c>
    </row>
    <row r="2938" spans="1:4">
      <c r="A2938" s="2" t="s">
        <v>3898</v>
      </c>
      <c r="B2938" s="2" t="s">
        <v>36</v>
      </c>
      <c r="C2938" s="2" t="s">
        <v>24</v>
      </c>
      <c r="D2938" s="2">
        <v>1</v>
      </c>
    </row>
    <row r="2939" spans="1:4">
      <c r="A2939" s="2" t="s">
        <v>3916</v>
      </c>
      <c r="B2939" s="2" t="s">
        <v>36</v>
      </c>
      <c r="C2939" s="2" t="s">
        <v>24</v>
      </c>
      <c r="D2939" s="2">
        <v>1</v>
      </c>
    </row>
    <row r="2940" spans="1:4">
      <c r="A2940" s="2" t="s">
        <v>1217</v>
      </c>
      <c r="B2940" s="2" t="s">
        <v>36</v>
      </c>
      <c r="C2940" s="2" t="s">
        <v>24</v>
      </c>
      <c r="D2940" s="2">
        <v>1</v>
      </c>
    </row>
    <row r="2941" spans="1:4">
      <c r="A2941" s="2" t="s">
        <v>3563</v>
      </c>
      <c r="B2941" s="2" t="s">
        <v>36</v>
      </c>
      <c r="C2941" s="2" t="s">
        <v>24</v>
      </c>
      <c r="D2941" s="2">
        <v>1</v>
      </c>
    </row>
    <row r="2942" spans="1:4">
      <c r="A2942" s="2" t="s">
        <v>3529</v>
      </c>
      <c r="B2942" s="2" t="s">
        <v>36</v>
      </c>
      <c r="C2942" s="2" t="s">
        <v>24</v>
      </c>
      <c r="D2942" s="2">
        <v>1</v>
      </c>
    </row>
    <row r="2943" spans="1:4">
      <c r="A2943" s="2" t="s">
        <v>3564</v>
      </c>
      <c r="B2943" s="2" t="s">
        <v>36</v>
      </c>
      <c r="C2943" s="2" t="s">
        <v>24</v>
      </c>
      <c r="D2943" s="2">
        <v>1</v>
      </c>
    </row>
    <row r="2944" spans="1:4">
      <c r="A2944" s="2" t="s">
        <v>3043</v>
      </c>
      <c r="B2944" s="2" t="s">
        <v>36</v>
      </c>
      <c r="C2944" s="2" t="s">
        <v>24</v>
      </c>
      <c r="D2944" s="2">
        <v>1</v>
      </c>
    </row>
    <row r="2945" spans="1:4">
      <c r="A2945" s="2" t="s">
        <v>2590</v>
      </c>
      <c r="B2945" s="2" t="s">
        <v>36</v>
      </c>
      <c r="C2945" s="2" t="s">
        <v>24</v>
      </c>
      <c r="D2945" s="2">
        <v>1</v>
      </c>
    </row>
    <row r="2946" spans="1:4">
      <c r="A2946" s="2" t="s">
        <v>2048</v>
      </c>
      <c r="B2946" s="2" t="s">
        <v>36</v>
      </c>
      <c r="C2946" s="2" t="s">
        <v>24</v>
      </c>
      <c r="D2946" s="2">
        <v>1</v>
      </c>
    </row>
    <row r="2947" spans="1:4">
      <c r="A2947" s="2" t="s">
        <v>2617</v>
      </c>
      <c r="B2947" s="2" t="s">
        <v>36</v>
      </c>
      <c r="C2947" s="2" t="s">
        <v>24</v>
      </c>
      <c r="D2947" s="2">
        <v>1</v>
      </c>
    </row>
    <row r="2948" spans="1:4">
      <c r="A2948" s="2" t="s">
        <v>1981</v>
      </c>
      <c r="B2948" s="2" t="s">
        <v>36</v>
      </c>
      <c r="C2948" s="2" t="s">
        <v>24</v>
      </c>
      <c r="D2948" s="2">
        <v>1</v>
      </c>
    </row>
    <row r="2949" spans="1:4">
      <c r="A2949" s="2" t="s">
        <v>2040</v>
      </c>
      <c r="B2949" s="2" t="s">
        <v>36</v>
      </c>
      <c r="C2949" s="2" t="s">
        <v>24</v>
      </c>
      <c r="D2949" s="2">
        <v>1</v>
      </c>
    </row>
    <row r="2950" spans="1:4">
      <c r="A2950" s="2" t="s">
        <v>2026</v>
      </c>
      <c r="B2950" s="2" t="s">
        <v>36</v>
      </c>
      <c r="C2950" s="2" t="s">
        <v>24</v>
      </c>
      <c r="D2950" s="2">
        <v>1</v>
      </c>
    </row>
    <row r="2951" spans="1:4">
      <c r="A2951" s="2" t="s">
        <v>2017</v>
      </c>
      <c r="B2951" s="2" t="s">
        <v>36</v>
      </c>
      <c r="C2951" s="2" t="s">
        <v>24</v>
      </c>
      <c r="D2951" s="2">
        <v>1</v>
      </c>
    </row>
    <row r="2952" spans="1:4">
      <c r="A2952" s="2" t="s">
        <v>2041</v>
      </c>
      <c r="B2952" s="2" t="s">
        <v>36</v>
      </c>
      <c r="C2952" s="2" t="s">
        <v>24</v>
      </c>
      <c r="D2952" s="2">
        <v>1</v>
      </c>
    </row>
    <row r="2953" spans="1:4">
      <c r="A2953" s="2" t="s">
        <v>3112</v>
      </c>
      <c r="B2953" s="2" t="s">
        <v>36</v>
      </c>
      <c r="C2953" s="2" t="s">
        <v>24</v>
      </c>
      <c r="D2953" s="2">
        <v>1</v>
      </c>
    </row>
    <row r="2954" spans="1:4">
      <c r="A2954" s="2" t="s">
        <v>2031</v>
      </c>
      <c r="B2954" s="2" t="s">
        <v>36</v>
      </c>
      <c r="C2954" s="2" t="s">
        <v>24</v>
      </c>
      <c r="D2954" s="2">
        <v>1</v>
      </c>
    </row>
    <row r="2955" spans="1:4">
      <c r="A2955" s="2" t="s">
        <v>2029</v>
      </c>
      <c r="B2955" s="2" t="s">
        <v>36</v>
      </c>
      <c r="C2955" s="2" t="s">
        <v>24</v>
      </c>
      <c r="D2955" s="2">
        <v>1</v>
      </c>
    </row>
    <row r="2956" spans="1:4">
      <c r="A2956" s="2" t="s">
        <v>3510</v>
      </c>
      <c r="B2956" s="2" t="s">
        <v>36</v>
      </c>
      <c r="C2956" s="2" t="s">
        <v>24</v>
      </c>
      <c r="D2956" s="2">
        <v>1</v>
      </c>
    </row>
    <row r="2957" spans="1:4">
      <c r="A2957" s="2" t="s">
        <v>360</v>
      </c>
      <c r="B2957" s="2" t="s">
        <v>36</v>
      </c>
      <c r="C2957" s="2" t="s">
        <v>24</v>
      </c>
      <c r="D2957" s="2">
        <v>1</v>
      </c>
    </row>
    <row r="2958" spans="1:4">
      <c r="A2958" s="2" t="s">
        <v>2546</v>
      </c>
      <c r="B2958" s="2" t="s">
        <v>36</v>
      </c>
      <c r="C2958" s="2" t="s">
        <v>24</v>
      </c>
      <c r="D2958" s="2">
        <v>1</v>
      </c>
    </row>
    <row r="2959" spans="1:4">
      <c r="A2959" s="2" t="s">
        <v>2644</v>
      </c>
      <c r="B2959" s="2" t="s">
        <v>36</v>
      </c>
      <c r="C2959" s="2" t="s">
        <v>24</v>
      </c>
      <c r="D2959" s="2">
        <v>1</v>
      </c>
    </row>
    <row r="2960" spans="1:4">
      <c r="A2960" s="2" t="s">
        <v>320</v>
      </c>
      <c r="B2960" s="2" t="s">
        <v>36</v>
      </c>
      <c r="C2960" s="2" t="s">
        <v>24</v>
      </c>
      <c r="D2960" s="2">
        <v>1</v>
      </c>
    </row>
    <row r="2961" spans="1:4">
      <c r="A2961" s="2" t="s">
        <v>1178</v>
      </c>
      <c r="B2961" s="2" t="s">
        <v>36</v>
      </c>
      <c r="C2961" s="2" t="s">
        <v>24</v>
      </c>
      <c r="D2961" s="2">
        <v>1</v>
      </c>
    </row>
    <row r="2962" spans="1:4">
      <c r="A2962" s="2" t="s">
        <v>2614</v>
      </c>
      <c r="B2962" s="2" t="s">
        <v>36</v>
      </c>
      <c r="C2962" s="2" t="s">
        <v>24</v>
      </c>
      <c r="D2962" s="2">
        <v>1</v>
      </c>
    </row>
    <row r="2963" spans="1:4">
      <c r="A2963" s="2" t="s">
        <v>2641</v>
      </c>
      <c r="B2963" s="2" t="s">
        <v>36</v>
      </c>
      <c r="C2963" s="2" t="s">
        <v>24</v>
      </c>
      <c r="D2963" s="2">
        <v>1</v>
      </c>
    </row>
    <row r="2964" spans="1:4">
      <c r="A2964" s="2" t="s">
        <v>2626</v>
      </c>
      <c r="B2964" s="2" t="s">
        <v>36</v>
      </c>
      <c r="C2964" s="2" t="s">
        <v>24</v>
      </c>
      <c r="D2964" s="2">
        <v>1</v>
      </c>
    </row>
    <row r="2965" spans="1:4">
      <c r="A2965" s="2" t="s">
        <v>2618</v>
      </c>
      <c r="B2965" s="2" t="s">
        <v>36</v>
      </c>
      <c r="C2965" s="2" t="s">
        <v>24</v>
      </c>
      <c r="D2965" s="2">
        <v>1</v>
      </c>
    </row>
    <row r="2966" spans="1:4">
      <c r="A2966" s="2" t="s">
        <v>2629</v>
      </c>
      <c r="B2966" s="2" t="s">
        <v>36</v>
      </c>
      <c r="C2966" s="2" t="s">
        <v>24</v>
      </c>
      <c r="D2966" s="2">
        <v>1</v>
      </c>
    </row>
    <row r="2967" spans="1:4">
      <c r="A2967" s="2" t="s">
        <v>2530</v>
      </c>
      <c r="B2967" s="2" t="s">
        <v>36</v>
      </c>
      <c r="C2967" s="2" t="s">
        <v>24</v>
      </c>
      <c r="D2967" s="2">
        <v>1</v>
      </c>
    </row>
    <row r="2968" spans="1:4">
      <c r="A2968" s="2" t="s">
        <v>2522</v>
      </c>
      <c r="B2968" s="2" t="s">
        <v>36</v>
      </c>
      <c r="C2968" s="2" t="s">
        <v>24</v>
      </c>
      <c r="D2968" s="2">
        <v>1</v>
      </c>
    </row>
    <row r="2969" spans="1:4">
      <c r="A2969" s="2" t="s">
        <v>396</v>
      </c>
      <c r="B2969" s="2" t="s">
        <v>36</v>
      </c>
      <c r="C2969" s="2" t="s">
        <v>24</v>
      </c>
      <c r="D2969" s="2">
        <v>1</v>
      </c>
    </row>
    <row r="2970" spans="1:4">
      <c r="A2970" s="2" t="s">
        <v>2049</v>
      </c>
      <c r="B2970" s="2" t="s">
        <v>36</v>
      </c>
      <c r="C2970" s="2" t="s">
        <v>24</v>
      </c>
      <c r="D2970" s="2">
        <v>1</v>
      </c>
    </row>
    <row r="2971" spans="1:4">
      <c r="A2971" s="2" t="s">
        <v>1971</v>
      </c>
      <c r="B2971" s="2" t="s">
        <v>36</v>
      </c>
      <c r="C2971" s="2" t="s">
        <v>24</v>
      </c>
      <c r="D2971" s="2">
        <v>1</v>
      </c>
    </row>
    <row r="2972" spans="1:4">
      <c r="A2972" s="2" t="s">
        <v>1667</v>
      </c>
      <c r="B2972" s="2" t="s">
        <v>36</v>
      </c>
      <c r="C2972" s="2" t="s">
        <v>24</v>
      </c>
      <c r="D2972" s="2">
        <v>1</v>
      </c>
    </row>
    <row r="2973" spans="1:4">
      <c r="A2973" s="2" t="s">
        <v>1191</v>
      </c>
      <c r="B2973" s="2" t="s">
        <v>36</v>
      </c>
      <c r="C2973" s="2" t="s">
        <v>24</v>
      </c>
      <c r="D2973" s="2">
        <v>1</v>
      </c>
    </row>
    <row r="2974" spans="1:4">
      <c r="A2974" s="2" t="s">
        <v>1997</v>
      </c>
      <c r="B2974" s="2" t="s">
        <v>36</v>
      </c>
      <c r="C2974" s="2" t="s">
        <v>24</v>
      </c>
      <c r="D2974" s="2">
        <v>1</v>
      </c>
    </row>
    <row r="2975" spans="1:4">
      <c r="A2975" s="2" t="s">
        <v>2063</v>
      </c>
      <c r="B2975" s="2" t="s">
        <v>36</v>
      </c>
      <c r="C2975" s="2" t="s">
        <v>24</v>
      </c>
      <c r="D2975" s="2">
        <v>1</v>
      </c>
    </row>
    <row r="2976" spans="1:4">
      <c r="A2976" s="2" t="s">
        <v>3566</v>
      </c>
      <c r="B2976" s="2" t="s">
        <v>36</v>
      </c>
      <c r="C2976" s="2" t="s">
        <v>24</v>
      </c>
      <c r="D2976" s="2">
        <v>1</v>
      </c>
    </row>
    <row r="2977" spans="1:4">
      <c r="A2977" s="2" t="s">
        <v>1192</v>
      </c>
      <c r="B2977" s="2" t="s">
        <v>36</v>
      </c>
      <c r="C2977" s="2" t="s">
        <v>24</v>
      </c>
      <c r="D2977" s="2">
        <v>1</v>
      </c>
    </row>
    <row r="2978" spans="1:4">
      <c r="A2978" s="2" t="s">
        <v>3567</v>
      </c>
      <c r="B2978" s="2" t="s">
        <v>36</v>
      </c>
      <c r="C2978" s="2" t="s">
        <v>24</v>
      </c>
      <c r="D2978" s="2">
        <v>1</v>
      </c>
    </row>
    <row r="2979" spans="1:4">
      <c r="A2979" s="2" t="s">
        <v>3568</v>
      </c>
      <c r="B2979" s="2" t="s">
        <v>36</v>
      </c>
      <c r="C2979" s="2" t="s">
        <v>24</v>
      </c>
      <c r="D2979" s="2">
        <v>1</v>
      </c>
    </row>
    <row r="2980" spans="1:4">
      <c r="A2980" s="2" t="s">
        <v>1983</v>
      </c>
      <c r="B2980" s="2" t="s">
        <v>36</v>
      </c>
      <c r="C2980" s="2" t="s">
        <v>24</v>
      </c>
      <c r="D2980" s="2">
        <v>1</v>
      </c>
    </row>
    <row r="2981" spans="1:4">
      <c r="A2981" s="2" t="s">
        <v>2019</v>
      </c>
      <c r="B2981" s="2" t="s">
        <v>36</v>
      </c>
      <c r="C2981" s="2" t="s">
        <v>24</v>
      </c>
      <c r="D2981" s="2">
        <v>1</v>
      </c>
    </row>
    <row r="2982" spans="1:4">
      <c r="A2982" s="2" t="s">
        <v>2069</v>
      </c>
      <c r="B2982" s="2" t="s">
        <v>36</v>
      </c>
      <c r="C2982" s="2" t="s">
        <v>24</v>
      </c>
      <c r="D2982" s="2">
        <v>1</v>
      </c>
    </row>
    <row r="2983" spans="1:4">
      <c r="A2983" s="2" t="s">
        <v>2008</v>
      </c>
      <c r="B2983" s="2" t="s">
        <v>36</v>
      </c>
      <c r="C2983" s="2" t="s">
        <v>24</v>
      </c>
      <c r="D2983" s="2">
        <v>1</v>
      </c>
    </row>
    <row r="2984" spans="1:4">
      <c r="A2984" s="2" t="s">
        <v>2042</v>
      </c>
      <c r="B2984" s="2" t="s">
        <v>36</v>
      </c>
      <c r="C2984" s="2" t="s">
        <v>24</v>
      </c>
      <c r="D2984" s="2">
        <v>1</v>
      </c>
    </row>
    <row r="2985" spans="1:4">
      <c r="A2985" s="2" t="s">
        <v>1988</v>
      </c>
      <c r="B2985" s="2" t="s">
        <v>36</v>
      </c>
      <c r="C2985" s="2" t="s">
        <v>24</v>
      </c>
      <c r="D2985" s="2">
        <v>1</v>
      </c>
    </row>
    <row r="2986" spans="1:4">
      <c r="A2986" s="2" t="s">
        <v>1999</v>
      </c>
      <c r="B2986" s="2" t="s">
        <v>36</v>
      </c>
      <c r="C2986" s="2" t="s">
        <v>24</v>
      </c>
      <c r="D2986" s="2">
        <v>1</v>
      </c>
    </row>
    <row r="2987" spans="1:4">
      <c r="A2987" s="2" t="s">
        <v>2057</v>
      </c>
      <c r="B2987" s="2" t="s">
        <v>36</v>
      </c>
      <c r="C2987" s="2" t="s">
        <v>24</v>
      </c>
      <c r="D2987" s="2">
        <v>1</v>
      </c>
    </row>
    <row r="2988" spans="1:4">
      <c r="A2988" s="2" t="s">
        <v>2058</v>
      </c>
      <c r="B2988" s="2" t="s">
        <v>36</v>
      </c>
      <c r="C2988" s="2" t="s">
        <v>24</v>
      </c>
      <c r="D2988" s="2">
        <v>1</v>
      </c>
    </row>
    <row r="2989" spans="1:4">
      <c r="A2989" s="2" t="s">
        <v>2035</v>
      </c>
      <c r="B2989" s="2" t="s">
        <v>36</v>
      </c>
      <c r="C2989" s="2" t="s">
        <v>24</v>
      </c>
      <c r="D2989" s="2">
        <v>1</v>
      </c>
    </row>
    <row r="2990" spans="1:4">
      <c r="A2990" s="2" t="s">
        <v>2020</v>
      </c>
      <c r="B2990" s="2" t="s">
        <v>36</v>
      </c>
      <c r="C2990" s="2" t="s">
        <v>24</v>
      </c>
      <c r="D2990" s="2">
        <v>1</v>
      </c>
    </row>
    <row r="2991" spans="1:4">
      <c r="A2991" s="2" t="s">
        <v>2030</v>
      </c>
      <c r="B2991" s="2" t="s">
        <v>36</v>
      </c>
      <c r="C2991" s="2" t="s">
        <v>24</v>
      </c>
      <c r="D2991" s="2">
        <v>1</v>
      </c>
    </row>
    <row r="2992" spans="1:4">
      <c r="A2992" s="2" t="s">
        <v>2059</v>
      </c>
      <c r="B2992" s="2" t="s">
        <v>36</v>
      </c>
      <c r="C2992" s="2" t="s">
        <v>24</v>
      </c>
      <c r="D2992" s="2">
        <v>1</v>
      </c>
    </row>
    <row r="2993" spans="1:4">
      <c r="A2993" s="2" t="s">
        <v>1975</v>
      </c>
      <c r="B2993" s="2" t="s">
        <v>36</v>
      </c>
      <c r="C2993" s="2" t="s">
        <v>24</v>
      </c>
      <c r="D2993" s="2">
        <v>1</v>
      </c>
    </row>
    <row r="2994" spans="1:4">
      <c r="A2994" s="2" t="s">
        <v>2070</v>
      </c>
      <c r="B2994" s="2" t="s">
        <v>36</v>
      </c>
      <c r="C2994" s="2" t="s">
        <v>24</v>
      </c>
      <c r="D2994" s="2">
        <v>1</v>
      </c>
    </row>
    <row r="2995" spans="1:4">
      <c r="A2995" s="2" t="s">
        <v>2032</v>
      </c>
      <c r="B2995" s="2" t="s">
        <v>36</v>
      </c>
      <c r="C2995" s="2" t="s">
        <v>24</v>
      </c>
      <c r="D2995" s="2">
        <v>1</v>
      </c>
    </row>
    <row r="2996" spans="1:4">
      <c r="A2996" s="2" t="s">
        <v>2022</v>
      </c>
      <c r="B2996" s="2" t="s">
        <v>36</v>
      </c>
      <c r="C2996" s="2" t="s">
        <v>24</v>
      </c>
      <c r="D2996" s="2">
        <v>1</v>
      </c>
    </row>
    <row r="2997" spans="1:4">
      <c r="A2997" s="2" t="s">
        <v>1979</v>
      </c>
      <c r="B2997" s="2" t="s">
        <v>36</v>
      </c>
      <c r="C2997" s="2" t="s">
        <v>24</v>
      </c>
      <c r="D2997" s="2">
        <v>1</v>
      </c>
    </row>
    <row r="2998" spans="1:4">
      <c r="A2998" s="2" t="s">
        <v>3996</v>
      </c>
      <c r="B2998" s="2" t="s">
        <v>36</v>
      </c>
      <c r="C2998" s="2" t="s">
        <v>24</v>
      </c>
      <c r="D2998" s="2">
        <v>1</v>
      </c>
    </row>
    <row r="2999" spans="1:4">
      <c r="A2999" s="2" t="s">
        <v>4698</v>
      </c>
      <c r="B2999" s="2" t="s">
        <v>36</v>
      </c>
      <c r="C2999" s="2" t="s">
        <v>24</v>
      </c>
      <c r="D2999" s="2">
        <v>1</v>
      </c>
    </row>
    <row r="3000" spans="1:4">
      <c r="A3000" s="2" t="s">
        <v>1218</v>
      </c>
      <c r="B3000" s="2" t="s">
        <v>36</v>
      </c>
      <c r="C3000" s="2" t="s">
        <v>24</v>
      </c>
      <c r="D3000" s="2">
        <v>1</v>
      </c>
    </row>
    <row r="3001" spans="1:4">
      <c r="A3001" s="2" t="s">
        <v>2606</v>
      </c>
      <c r="B3001" s="2" t="s">
        <v>36</v>
      </c>
      <c r="C3001" s="2" t="s">
        <v>24</v>
      </c>
      <c r="D3001" s="2">
        <v>1</v>
      </c>
    </row>
    <row r="3002" spans="1:4">
      <c r="A3002" s="2" t="s">
        <v>4336</v>
      </c>
      <c r="B3002" s="2" t="s">
        <v>36</v>
      </c>
      <c r="C3002" s="2" t="s">
        <v>24</v>
      </c>
      <c r="D3002" s="2">
        <v>1</v>
      </c>
    </row>
    <row r="3003" spans="1:4">
      <c r="A3003" s="2" t="s">
        <v>3978</v>
      </c>
      <c r="B3003" s="2" t="s">
        <v>36</v>
      </c>
      <c r="C3003" s="2" t="s">
        <v>24</v>
      </c>
      <c r="D3003" s="2">
        <v>1</v>
      </c>
    </row>
    <row r="3004" spans="1:4">
      <c r="A3004" s="2" t="s">
        <v>3968</v>
      </c>
      <c r="B3004" s="2" t="s">
        <v>36</v>
      </c>
      <c r="C3004" s="2" t="s">
        <v>24</v>
      </c>
      <c r="D3004" s="2">
        <v>1</v>
      </c>
    </row>
    <row r="3005" spans="1:4">
      <c r="A3005" s="2" t="s">
        <v>4337</v>
      </c>
      <c r="B3005" s="2" t="s">
        <v>36</v>
      </c>
      <c r="C3005" s="2" t="s">
        <v>24</v>
      </c>
      <c r="D3005" s="2">
        <v>1</v>
      </c>
    </row>
    <row r="3006" spans="1:4">
      <c r="A3006" s="2" t="s">
        <v>405</v>
      </c>
      <c r="B3006" s="2" t="s">
        <v>36</v>
      </c>
      <c r="C3006" s="2" t="s">
        <v>24</v>
      </c>
      <c r="D3006" s="2">
        <v>1</v>
      </c>
    </row>
    <row r="3007" spans="1:4">
      <c r="A3007" s="2" t="s">
        <v>378</v>
      </c>
      <c r="B3007" s="2" t="s">
        <v>36</v>
      </c>
      <c r="C3007" s="2" t="s">
        <v>24</v>
      </c>
      <c r="D3007" s="2">
        <v>1</v>
      </c>
    </row>
    <row r="3008" spans="1:4">
      <c r="A3008" s="2" t="s">
        <v>1668</v>
      </c>
      <c r="B3008" s="2" t="s">
        <v>36</v>
      </c>
      <c r="C3008" s="2" t="s">
        <v>24</v>
      </c>
      <c r="D3008" s="2">
        <v>1</v>
      </c>
    </row>
    <row r="3009" spans="1:4">
      <c r="A3009" s="2" t="s">
        <v>1669</v>
      </c>
      <c r="B3009" s="2" t="s">
        <v>36</v>
      </c>
      <c r="C3009" s="2" t="s">
        <v>24</v>
      </c>
      <c r="D3009" s="2">
        <v>1</v>
      </c>
    </row>
    <row r="3010" spans="1:4">
      <c r="A3010" s="2" t="s">
        <v>1670</v>
      </c>
      <c r="B3010" s="2" t="s">
        <v>36</v>
      </c>
      <c r="C3010" s="2" t="s">
        <v>24</v>
      </c>
      <c r="D3010" s="2">
        <v>1</v>
      </c>
    </row>
    <row r="3011" spans="1:4">
      <c r="A3011" s="2" t="s">
        <v>1672</v>
      </c>
      <c r="B3011" s="2" t="s">
        <v>36</v>
      </c>
      <c r="C3011" s="2" t="s">
        <v>24</v>
      </c>
      <c r="D3011" s="2">
        <v>1</v>
      </c>
    </row>
    <row r="3012" spans="1:4">
      <c r="A3012" s="2" t="s">
        <v>1673</v>
      </c>
      <c r="B3012" s="2" t="s">
        <v>36</v>
      </c>
      <c r="C3012" s="2" t="s">
        <v>24</v>
      </c>
      <c r="D3012" s="2">
        <v>1</v>
      </c>
    </row>
    <row r="3013" spans="1:4">
      <c r="A3013" s="2" t="s">
        <v>3127</v>
      </c>
      <c r="B3013" s="2" t="s">
        <v>36</v>
      </c>
      <c r="C3013" s="2" t="s">
        <v>24</v>
      </c>
      <c r="D3013" s="2">
        <v>1</v>
      </c>
    </row>
    <row r="3014" spans="1:4">
      <c r="A3014" s="2" t="s">
        <v>4305</v>
      </c>
      <c r="B3014" s="2" t="s">
        <v>36</v>
      </c>
      <c r="C3014" s="2" t="s">
        <v>24</v>
      </c>
      <c r="D3014" s="2">
        <v>1</v>
      </c>
    </row>
    <row r="3015" spans="1:4">
      <c r="A3015" s="2" t="s">
        <v>1219</v>
      </c>
      <c r="B3015" s="2" t="s">
        <v>36</v>
      </c>
      <c r="C3015" s="2" t="s">
        <v>24</v>
      </c>
      <c r="D3015" s="2">
        <v>1</v>
      </c>
    </row>
    <row r="3016" spans="1:4">
      <c r="A3016" s="2" t="s">
        <v>1193</v>
      </c>
      <c r="B3016" s="2" t="s">
        <v>36</v>
      </c>
      <c r="C3016" s="2" t="s">
        <v>24</v>
      </c>
      <c r="D3016" s="2">
        <v>1</v>
      </c>
    </row>
    <row r="3017" spans="1:4">
      <c r="A3017" s="2" t="s">
        <v>1220</v>
      </c>
      <c r="B3017" s="2" t="s">
        <v>36</v>
      </c>
      <c r="C3017" s="2" t="s">
        <v>24</v>
      </c>
      <c r="D3017" s="2">
        <v>1</v>
      </c>
    </row>
    <row r="3018" spans="1:4">
      <c r="A3018" s="2" t="s">
        <v>1674</v>
      </c>
      <c r="B3018" s="2" t="s">
        <v>36</v>
      </c>
      <c r="C3018" s="2" t="s">
        <v>24</v>
      </c>
      <c r="D3018" s="2">
        <v>1</v>
      </c>
    </row>
    <row r="3019" spans="1:4">
      <c r="A3019" s="2" t="s">
        <v>2081</v>
      </c>
      <c r="B3019" s="2" t="s">
        <v>36</v>
      </c>
      <c r="C3019" s="2" t="s">
        <v>24</v>
      </c>
      <c r="D3019" s="2">
        <v>1</v>
      </c>
    </row>
    <row r="3020" spans="1:4">
      <c r="A3020" s="2" t="s">
        <v>397</v>
      </c>
      <c r="B3020" s="2" t="s">
        <v>36</v>
      </c>
      <c r="C3020" s="2" t="s">
        <v>24</v>
      </c>
      <c r="D3020" s="2">
        <v>1</v>
      </c>
    </row>
    <row r="3021" spans="1:4">
      <c r="A3021" s="2" t="s">
        <v>3113</v>
      </c>
      <c r="B3021" s="2" t="s">
        <v>36</v>
      </c>
      <c r="C3021" s="2" t="s">
        <v>24</v>
      </c>
      <c r="D3021" s="2">
        <v>1</v>
      </c>
    </row>
    <row r="3022" spans="1:4">
      <c r="A3022" s="2" t="s">
        <v>1194</v>
      </c>
      <c r="B3022" s="2" t="s">
        <v>36</v>
      </c>
      <c r="C3022" s="2" t="s">
        <v>24</v>
      </c>
      <c r="D3022" s="2">
        <v>1</v>
      </c>
    </row>
    <row r="3023" spans="1:4">
      <c r="A3023" s="2" t="s">
        <v>331</v>
      </c>
      <c r="B3023" s="2" t="s">
        <v>36</v>
      </c>
      <c r="C3023" s="2" t="s">
        <v>24</v>
      </c>
      <c r="D3023" s="2">
        <v>1</v>
      </c>
    </row>
    <row r="3024" spans="1:4">
      <c r="A3024" s="2" t="s">
        <v>4338</v>
      </c>
      <c r="B3024" s="2" t="s">
        <v>36</v>
      </c>
      <c r="C3024" s="2" t="s">
        <v>24</v>
      </c>
      <c r="D3024" s="2">
        <v>1</v>
      </c>
    </row>
    <row r="3025" spans="1:4">
      <c r="A3025" s="2" t="s">
        <v>4306</v>
      </c>
      <c r="B3025" s="2" t="s">
        <v>36</v>
      </c>
      <c r="C3025" s="2" t="s">
        <v>24</v>
      </c>
      <c r="D3025" s="2">
        <v>1</v>
      </c>
    </row>
    <row r="3026" spans="1:4">
      <c r="A3026" s="2" t="s">
        <v>4706</v>
      </c>
      <c r="B3026" s="2" t="s">
        <v>36</v>
      </c>
      <c r="C3026" s="2" t="s">
        <v>24</v>
      </c>
      <c r="D3026" s="2">
        <v>1</v>
      </c>
    </row>
    <row r="3027" spans="1:4">
      <c r="A3027" s="2" t="s">
        <v>3569</v>
      </c>
      <c r="B3027" s="2" t="s">
        <v>36</v>
      </c>
      <c r="C3027" s="2" t="s">
        <v>24</v>
      </c>
      <c r="D3027" s="2">
        <v>1</v>
      </c>
    </row>
    <row r="3028" spans="1:4">
      <c r="A3028" s="2" t="s">
        <v>3956</v>
      </c>
      <c r="B3028" s="2" t="s">
        <v>36</v>
      </c>
      <c r="C3028" s="2" t="s">
        <v>24</v>
      </c>
      <c r="D3028" s="2">
        <v>1</v>
      </c>
    </row>
    <row r="3029" spans="1:4">
      <c r="A3029" s="2" t="s">
        <v>3501</v>
      </c>
      <c r="B3029" s="2" t="s">
        <v>36</v>
      </c>
      <c r="C3029" s="2" t="s">
        <v>24</v>
      </c>
      <c r="D3029" s="2">
        <v>1</v>
      </c>
    </row>
    <row r="3030" spans="1:4">
      <c r="A3030" s="2" t="s">
        <v>4699</v>
      </c>
      <c r="B3030" s="2" t="s">
        <v>36</v>
      </c>
      <c r="C3030" s="2" t="s">
        <v>24</v>
      </c>
      <c r="D3030" s="2">
        <v>1</v>
      </c>
    </row>
    <row r="3031" spans="1:4">
      <c r="A3031" s="2" t="s">
        <v>1675</v>
      </c>
      <c r="B3031" s="2" t="s">
        <v>36</v>
      </c>
      <c r="C3031" s="2" t="s">
        <v>24</v>
      </c>
      <c r="D3031" s="2">
        <v>1</v>
      </c>
    </row>
    <row r="3032" spans="1:4">
      <c r="A3032" s="2" t="s">
        <v>1644</v>
      </c>
      <c r="B3032" s="2" t="s">
        <v>36</v>
      </c>
      <c r="C3032" s="2" t="s">
        <v>24</v>
      </c>
      <c r="D3032" s="2">
        <v>1</v>
      </c>
    </row>
    <row r="3033" spans="1:4">
      <c r="A3033" s="2" t="s">
        <v>3570</v>
      </c>
      <c r="B3033" s="2" t="s">
        <v>36</v>
      </c>
      <c r="C3033" s="2" t="s">
        <v>24</v>
      </c>
      <c r="D3033" s="2">
        <v>1</v>
      </c>
    </row>
    <row r="3034" spans="1:4">
      <c r="A3034" s="2" t="s">
        <v>2050</v>
      </c>
      <c r="B3034" s="2" t="s">
        <v>36</v>
      </c>
      <c r="C3034" s="2" t="s">
        <v>24</v>
      </c>
      <c r="D3034" s="2">
        <v>1</v>
      </c>
    </row>
    <row r="3035" spans="1:4">
      <c r="A3035" s="2" t="s">
        <v>418</v>
      </c>
      <c r="B3035" s="2" t="s">
        <v>36</v>
      </c>
      <c r="C3035" s="2" t="s">
        <v>24</v>
      </c>
      <c r="D3035" s="2">
        <v>1</v>
      </c>
    </row>
    <row r="3036" spans="1:4">
      <c r="A3036" s="2" t="s">
        <v>1993</v>
      </c>
      <c r="B3036" s="2" t="s">
        <v>36</v>
      </c>
      <c r="C3036" s="2" t="s">
        <v>24</v>
      </c>
      <c r="D3036" s="2">
        <v>1</v>
      </c>
    </row>
    <row r="3037" spans="1:4">
      <c r="A3037" s="2" t="s">
        <v>3530</v>
      </c>
      <c r="B3037" s="2" t="s">
        <v>36</v>
      </c>
      <c r="C3037" s="2" t="s">
        <v>24</v>
      </c>
      <c r="D3037" s="2">
        <v>1</v>
      </c>
    </row>
    <row r="3038" spans="1:4">
      <c r="A3038" s="2" t="s">
        <v>1676</v>
      </c>
      <c r="B3038" s="2" t="s">
        <v>36</v>
      </c>
      <c r="C3038" s="2" t="s">
        <v>24</v>
      </c>
      <c r="D3038" s="2">
        <v>1</v>
      </c>
    </row>
    <row r="3039" spans="1:4">
      <c r="A3039" s="2" t="s">
        <v>430</v>
      </c>
      <c r="B3039" s="2" t="s">
        <v>36</v>
      </c>
      <c r="C3039" s="2" t="s">
        <v>24</v>
      </c>
      <c r="D3039" s="2">
        <v>1</v>
      </c>
    </row>
    <row r="3040" spans="1:4">
      <c r="A3040" s="2" t="s">
        <v>3114</v>
      </c>
      <c r="B3040" s="2" t="s">
        <v>36</v>
      </c>
      <c r="C3040" s="2" t="s">
        <v>24</v>
      </c>
      <c r="D3040" s="2">
        <v>1</v>
      </c>
    </row>
    <row r="3041" spans="1:4">
      <c r="A3041" s="2" t="s">
        <v>4629</v>
      </c>
      <c r="B3041" s="2" t="s">
        <v>36</v>
      </c>
      <c r="C3041" s="2" t="s">
        <v>24</v>
      </c>
      <c r="D3041" s="2">
        <v>1</v>
      </c>
    </row>
    <row r="3042" spans="1:4">
      <c r="A3042" s="2" t="s">
        <v>4611</v>
      </c>
      <c r="B3042" s="2" t="s">
        <v>36</v>
      </c>
      <c r="C3042" s="2" t="s">
        <v>24</v>
      </c>
      <c r="D3042" s="2">
        <v>1</v>
      </c>
    </row>
    <row r="3043" spans="1:4">
      <c r="A3043" s="2" t="s">
        <v>4686</v>
      </c>
      <c r="B3043" s="2" t="s">
        <v>36</v>
      </c>
      <c r="C3043" s="2" t="s">
        <v>24</v>
      </c>
      <c r="D3043" s="2">
        <v>1</v>
      </c>
    </row>
    <row r="3044" spans="1:4">
      <c r="A3044" s="2" t="s">
        <v>4654</v>
      </c>
      <c r="B3044" s="2" t="s">
        <v>36</v>
      </c>
      <c r="C3044" s="2" t="s">
        <v>24</v>
      </c>
      <c r="D3044" s="2">
        <v>1</v>
      </c>
    </row>
    <row r="3045" spans="1:4">
      <c r="A3045" s="2" t="s">
        <v>4620</v>
      </c>
      <c r="B3045" s="2" t="s">
        <v>36</v>
      </c>
      <c r="C3045" s="2" t="s">
        <v>24</v>
      </c>
      <c r="D3045" s="2">
        <v>1</v>
      </c>
    </row>
    <row r="3046" spans="1:4">
      <c r="A3046" s="2" t="s">
        <v>4627</v>
      </c>
      <c r="B3046" s="2" t="s">
        <v>36</v>
      </c>
      <c r="C3046" s="2" t="s">
        <v>24</v>
      </c>
      <c r="D3046" s="2">
        <v>1</v>
      </c>
    </row>
    <row r="3047" spans="1:4">
      <c r="A3047" s="2" t="s">
        <v>4656</v>
      </c>
      <c r="B3047" s="2" t="s">
        <v>36</v>
      </c>
      <c r="C3047" s="2" t="s">
        <v>24</v>
      </c>
      <c r="D3047" s="2">
        <v>1</v>
      </c>
    </row>
    <row r="3048" spans="1:4">
      <c r="A3048" s="2" t="s">
        <v>4643</v>
      </c>
      <c r="B3048" s="2" t="s">
        <v>36</v>
      </c>
      <c r="C3048" s="2" t="s">
        <v>24</v>
      </c>
      <c r="D3048" s="2">
        <v>1</v>
      </c>
    </row>
    <row r="3049" spans="1:4">
      <c r="A3049" s="2" t="s">
        <v>4664</v>
      </c>
      <c r="B3049" s="2" t="s">
        <v>36</v>
      </c>
      <c r="C3049" s="2" t="s">
        <v>24</v>
      </c>
      <c r="D3049" s="2">
        <v>1</v>
      </c>
    </row>
    <row r="3050" spans="1:4">
      <c r="A3050" s="2" t="s">
        <v>4623</v>
      </c>
      <c r="B3050" s="2" t="s">
        <v>36</v>
      </c>
      <c r="C3050" s="2" t="s">
        <v>24</v>
      </c>
      <c r="D3050" s="2">
        <v>1</v>
      </c>
    </row>
    <row r="3051" spans="1:4">
      <c r="A3051" s="2" t="s">
        <v>4577</v>
      </c>
      <c r="B3051" s="2" t="s">
        <v>36</v>
      </c>
      <c r="C3051" s="2" t="s">
        <v>24</v>
      </c>
      <c r="D3051" s="2">
        <v>1</v>
      </c>
    </row>
    <row r="3052" spans="1:4">
      <c r="A3052" s="2" t="s">
        <v>4614</v>
      </c>
      <c r="B3052" s="2" t="s">
        <v>36</v>
      </c>
      <c r="C3052" s="2" t="s">
        <v>24</v>
      </c>
      <c r="D3052" s="2">
        <v>1</v>
      </c>
    </row>
    <row r="3053" spans="1:4">
      <c r="A3053" s="2" t="s">
        <v>4589</v>
      </c>
      <c r="B3053" s="2" t="s">
        <v>36</v>
      </c>
      <c r="C3053" s="2" t="s">
        <v>24</v>
      </c>
      <c r="D3053" s="2">
        <v>1</v>
      </c>
    </row>
    <row r="3054" spans="1:4">
      <c r="A3054" s="2" t="s">
        <v>4601</v>
      </c>
      <c r="B3054" s="2" t="s">
        <v>36</v>
      </c>
      <c r="C3054" s="2" t="s">
        <v>24</v>
      </c>
      <c r="D3054" s="2">
        <v>1</v>
      </c>
    </row>
    <row r="3055" spans="1:4">
      <c r="A3055" s="2" t="s">
        <v>4585</v>
      </c>
      <c r="B3055" s="2" t="s">
        <v>36</v>
      </c>
      <c r="C3055" s="2" t="s">
        <v>24</v>
      </c>
      <c r="D3055" s="2">
        <v>1</v>
      </c>
    </row>
    <row r="3056" spans="1:4">
      <c r="A3056" s="2" t="s">
        <v>4593</v>
      </c>
      <c r="B3056" s="2" t="s">
        <v>36</v>
      </c>
      <c r="C3056" s="2" t="s">
        <v>24</v>
      </c>
      <c r="D3056" s="2">
        <v>1</v>
      </c>
    </row>
    <row r="3057" spans="1:4">
      <c r="A3057" s="2" t="s">
        <v>4597</v>
      </c>
      <c r="B3057" s="2" t="s">
        <v>36</v>
      </c>
      <c r="C3057" s="2" t="s">
        <v>24</v>
      </c>
      <c r="D3057" s="2">
        <v>1</v>
      </c>
    </row>
    <row r="3058" spans="1:4">
      <c r="A3058" s="2" t="s">
        <v>4700</v>
      </c>
      <c r="B3058" s="2" t="s">
        <v>36</v>
      </c>
      <c r="C3058" s="2" t="s">
        <v>24</v>
      </c>
      <c r="D3058" s="2">
        <v>1</v>
      </c>
    </row>
    <row r="3059" spans="1:4">
      <c r="A3059" s="2" t="s">
        <v>4595</v>
      </c>
      <c r="B3059" s="2" t="s">
        <v>36</v>
      </c>
      <c r="C3059" s="2" t="s">
        <v>24</v>
      </c>
      <c r="D3059" s="2">
        <v>1</v>
      </c>
    </row>
    <row r="3060" spans="1:4">
      <c r="A3060" s="2" t="s">
        <v>4599</v>
      </c>
      <c r="B3060" s="2" t="s">
        <v>36</v>
      </c>
      <c r="C3060" s="2" t="s">
        <v>24</v>
      </c>
      <c r="D3060" s="2">
        <v>1</v>
      </c>
    </row>
    <row r="3061" spans="1:4">
      <c r="A3061" s="2" t="s">
        <v>4581</v>
      </c>
      <c r="B3061" s="2" t="s">
        <v>36</v>
      </c>
      <c r="C3061" s="2" t="s">
        <v>24</v>
      </c>
      <c r="D3061" s="2">
        <v>1</v>
      </c>
    </row>
    <row r="3062" spans="1:4">
      <c r="A3062" s="2" t="s">
        <v>4591</v>
      </c>
      <c r="B3062" s="2" t="s">
        <v>36</v>
      </c>
      <c r="C3062" s="2" t="s">
        <v>24</v>
      </c>
      <c r="D3062" s="2">
        <v>1</v>
      </c>
    </row>
    <row r="3063" spans="1:4">
      <c r="A3063" s="2" t="s">
        <v>4587</v>
      </c>
      <c r="B3063" s="2" t="s">
        <v>36</v>
      </c>
      <c r="C3063" s="2" t="s">
        <v>24</v>
      </c>
      <c r="D3063" s="2">
        <v>1</v>
      </c>
    </row>
    <row r="3064" spans="1:4">
      <c r="A3064" s="2" t="s">
        <v>4667</v>
      </c>
      <c r="B3064" s="2" t="s">
        <v>36</v>
      </c>
      <c r="C3064" s="2" t="s">
        <v>24</v>
      </c>
      <c r="D3064" s="2">
        <v>1</v>
      </c>
    </row>
    <row r="3065" spans="1:4">
      <c r="A3065" s="2" t="s">
        <v>4583</v>
      </c>
      <c r="B3065" s="2" t="s">
        <v>36</v>
      </c>
      <c r="C3065" s="2" t="s">
        <v>24</v>
      </c>
      <c r="D3065" s="2">
        <v>1</v>
      </c>
    </row>
    <row r="3066" spans="1:4">
      <c r="A3066" s="2" t="s">
        <v>4665</v>
      </c>
      <c r="B3066" s="2" t="s">
        <v>36</v>
      </c>
      <c r="C3066" s="2" t="s">
        <v>24</v>
      </c>
      <c r="D3066" s="2">
        <v>1</v>
      </c>
    </row>
    <row r="3067" spans="1:4">
      <c r="A3067" s="2" t="s">
        <v>4579</v>
      </c>
      <c r="B3067" s="2" t="s">
        <v>36</v>
      </c>
      <c r="C3067" s="2" t="s">
        <v>24</v>
      </c>
      <c r="D3067" s="2">
        <v>1</v>
      </c>
    </row>
    <row r="3068" spans="1:4">
      <c r="A3068" s="2" t="s">
        <v>4675</v>
      </c>
      <c r="B3068" s="2" t="s">
        <v>36</v>
      </c>
      <c r="C3068" s="2" t="s">
        <v>24</v>
      </c>
      <c r="D3068" s="2">
        <v>1</v>
      </c>
    </row>
    <row r="3069" spans="1:4">
      <c r="A3069" s="2" t="s">
        <v>419</v>
      </c>
      <c r="B3069" s="2" t="s">
        <v>36</v>
      </c>
      <c r="C3069" s="2" t="s">
        <v>24</v>
      </c>
      <c r="D3069" s="2">
        <v>1</v>
      </c>
    </row>
    <row r="3070" spans="1:4">
      <c r="A3070" s="2" t="s">
        <v>3070</v>
      </c>
      <c r="B3070" s="2" t="s">
        <v>36</v>
      </c>
      <c r="C3070" s="2" t="s">
        <v>24</v>
      </c>
      <c r="D3070" s="2">
        <v>1</v>
      </c>
    </row>
    <row r="3071" spans="1:4">
      <c r="A3071" s="2" t="s">
        <v>1677</v>
      </c>
      <c r="B3071" s="2" t="s">
        <v>36</v>
      </c>
      <c r="C3071" s="2" t="s">
        <v>24</v>
      </c>
      <c r="D3071" s="2">
        <v>1</v>
      </c>
    </row>
    <row r="3072" spans="1:4">
      <c r="A3072" s="2" t="s">
        <v>4604</v>
      </c>
      <c r="B3072" s="2" t="s">
        <v>36</v>
      </c>
      <c r="C3072" s="2" t="s">
        <v>24</v>
      </c>
      <c r="D3072" s="2">
        <v>1</v>
      </c>
    </row>
    <row r="3073" spans="1:4">
      <c r="A3073" s="2" t="s">
        <v>4648</v>
      </c>
      <c r="B3073" s="2" t="s">
        <v>36</v>
      </c>
      <c r="C3073" s="2" t="s">
        <v>24</v>
      </c>
      <c r="D3073" s="2">
        <v>1</v>
      </c>
    </row>
    <row r="3074" spans="1:4">
      <c r="A3074" s="2" t="s">
        <v>3052</v>
      </c>
      <c r="B3074" s="2" t="s">
        <v>36</v>
      </c>
      <c r="C3074" s="2" t="s">
        <v>24</v>
      </c>
      <c r="D3074" s="2">
        <v>1</v>
      </c>
    </row>
    <row r="3075" spans="1:4">
      <c r="A3075" s="2" t="s">
        <v>3531</v>
      </c>
      <c r="B3075" s="2" t="s">
        <v>36</v>
      </c>
      <c r="C3075" s="2" t="s">
        <v>24</v>
      </c>
      <c r="D3075" s="2">
        <v>1</v>
      </c>
    </row>
    <row r="3076" spans="1:4">
      <c r="A3076" s="2" t="s">
        <v>3023</v>
      </c>
      <c r="B3076" s="2" t="s">
        <v>36</v>
      </c>
      <c r="C3076" s="2" t="s">
        <v>24</v>
      </c>
      <c r="D3076" s="2">
        <v>1</v>
      </c>
    </row>
    <row r="3077" spans="1:4">
      <c r="A3077" s="2" t="s">
        <v>3025</v>
      </c>
      <c r="B3077" s="2" t="s">
        <v>36</v>
      </c>
      <c r="C3077" s="2" t="s">
        <v>24</v>
      </c>
      <c r="D3077" s="2">
        <v>1</v>
      </c>
    </row>
    <row r="3078" spans="1:4">
      <c r="A3078" s="2" t="s">
        <v>3037</v>
      </c>
      <c r="B3078" s="2" t="s">
        <v>36</v>
      </c>
      <c r="C3078" s="2" t="s">
        <v>24</v>
      </c>
      <c r="D3078" s="2">
        <v>1</v>
      </c>
    </row>
    <row r="3079" spans="1:4">
      <c r="A3079" s="2" t="s">
        <v>3021</v>
      </c>
      <c r="B3079" s="2" t="s">
        <v>36</v>
      </c>
      <c r="C3079" s="2" t="s">
        <v>24</v>
      </c>
      <c r="D3079" s="2">
        <v>1</v>
      </c>
    </row>
    <row r="3080" spans="1:4">
      <c r="A3080" s="2" t="s">
        <v>3116</v>
      </c>
      <c r="B3080" s="2" t="s">
        <v>36</v>
      </c>
      <c r="C3080" s="2" t="s">
        <v>24</v>
      </c>
      <c r="D3080" s="2">
        <v>1</v>
      </c>
    </row>
    <row r="3081" spans="1:4">
      <c r="A3081" s="2" t="s">
        <v>4659</v>
      </c>
      <c r="B3081" s="2" t="s">
        <v>36</v>
      </c>
      <c r="C3081" s="2" t="s">
        <v>24</v>
      </c>
      <c r="D3081" s="2">
        <v>1</v>
      </c>
    </row>
    <row r="3082" spans="1:4">
      <c r="A3082" s="2" t="s">
        <v>1139</v>
      </c>
      <c r="B3082" s="2" t="s">
        <v>36</v>
      </c>
      <c r="C3082" s="2" t="s">
        <v>24</v>
      </c>
      <c r="D3082" s="2">
        <v>1</v>
      </c>
    </row>
    <row r="3083" spans="1:4">
      <c r="A3083" s="2" t="s">
        <v>1179</v>
      </c>
      <c r="B3083" s="2" t="s">
        <v>36</v>
      </c>
      <c r="C3083" s="2" t="s">
        <v>24</v>
      </c>
      <c r="D3083" s="2">
        <v>1</v>
      </c>
    </row>
    <row r="3084" spans="1:4">
      <c r="A3084" s="2" t="s">
        <v>1615</v>
      </c>
      <c r="B3084" s="2" t="s">
        <v>36</v>
      </c>
      <c r="C3084" s="2" t="s">
        <v>24</v>
      </c>
      <c r="D3084" s="2">
        <v>1</v>
      </c>
    </row>
    <row r="3085" spans="1:4">
      <c r="A3085" s="2" t="s">
        <v>3571</v>
      </c>
      <c r="B3085" s="2" t="s">
        <v>36</v>
      </c>
      <c r="C3085" s="2" t="s">
        <v>24</v>
      </c>
      <c r="D3085" s="2">
        <v>1</v>
      </c>
    </row>
    <row r="3086" spans="1:4">
      <c r="A3086" s="2" t="s">
        <v>4701</v>
      </c>
      <c r="B3086" s="2" t="s">
        <v>36</v>
      </c>
      <c r="C3086" s="2" t="s">
        <v>24</v>
      </c>
      <c r="D3086" s="2">
        <v>1</v>
      </c>
    </row>
    <row r="3087" spans="1:4">
      <c r="A3087" s="2" t="s">
        <v>1678</v>
      </c>
      <c r="B3087" s="2" t="s">
        <v>36</v>
      </c>
      <c r="C3087" s="2" t="s">
        <v>24</v>
      </c>
      <c r="D3087" s="2">
        <v>1</v>
      </c>
    </row>
    <row r="3088" spans="1:4">
      <c r="A3088" s="2" t="s">
        <v>1135</v>
      </c>
      <c r="B3088" s="2" t="s">
        <v>36</v>
      </c>
      <c r="C3088" s="2" t="s">
        <v>24</v>
      </c>
      <c r="D3088" s="2">
        <v>1</v>
      </c>
    </row>
    <row r="3089" spans="1:4">
      <c r="A3089" s="2" t="s">
        <v>3477</v>
      </c>
      <c r="B3089" s="2" t="s">
        <v>36</v>
      </c>
      <c r="C3089" s="2" t="s">
        <v>24</v>
      </c>
      <c r="D3089" s="2">
        <v>1</v>
      </c>
    </row>
    <row r="3090" spans="1:4">
      <c r="A3090" s="2" t="s">
        <v>303</v>
      </c>
      <c r="B3090" s="2" t="s">
        <v>36</v>
      </c>
      <c r="C3090" s="2" t="s">
        <v>24</v>
      </c>
      <c r="D3090" s="2">
        <v>1</v>
      </c>
    </row>
    <row r="3091" spans="1:4">
      <c r="A3091" s="2" t="s">
        <v>3071</v>
      </c>
      <c r="B3091" s="2" t="s">
        <v>36</v>
      </c>
      <c r="C3091" s="2" t="s">
        <v>24</v>
      </c>
      <c r="D3091" s="2">
        <v>1</v>
      </c>
    </row>
    <row r="3092" spans="1:4">
      <c r="A3092" s="2" t="s">
        <v>3029</v>
      </c>
      <c r="B3092" s="2" t="s">
        <v>36</v>
      </c>
      <c r="C3092" s="2" t="s">
        <v>24</v>
      </c>
      <c r="D3092" s="2">
        <v>1</v>
      </c>
    </row>
    <row r="3093" spans="1:4">
      <c r="A3093" s="2" t="s">
        <v>3039</v>
      </c>
      <c r="B3093" s="2" t="s">
        <v>36</v>
      </c>
      <c r="C3093" s="2" t="s">
        <v>24</v>
      </c>
      <c r="D3093" s="2">
        <v>1</v>
      </c>
    </row>
    <row r="3094" spans="1:4">
      <c r="A3094" s="2" t="s">
        <v>3018</v>
      </c>
      <c r="B3094" s="2" t="s">
        <v>36</v>
      </c>
      <c r="C3094" s="2" t="s">
        <v>24</v>
      </c>
      <c r="D3094" s="2">
        <v>1</v>
      </c>
    </row>
    <row r="3095" spans="1:4">
      <c r="A3095" s="2" t="s">
        <v>4668</v>
      </c>
      <c r="B3095" s="2" t="s">
        <v>36</v>
      </c>
      <c r="C3095" s="2" t="s">
        <v>24</v>
      </c>
      <c r="D3095" s="2">
        <v>1</v>
      </c>
    </row>
    <row r="3096" spans="1:4">
      <c r="A3096" s="2" t="s">
        <v>4652</v>
      </c>
      <c r="B3096" s="2" t="s">
        <v>36</v>
      </c>
      <c r="C3096" s="2" t="s">
        <v>24</v>
      </c>
      <c r="D3096" s="2">
        <v>1</v>
      </c>
    </row>
    <row r="3097" spans="1:4">
      <c r="A3097" s="2" t="s">
        <v>3073</v>
      </c>
      <c r="B3097" s="2" t="s">
        <v>36</v>
      </c>
      <c r="C3097" s="2" t="s">
        <v>24</v>
      </c>
      <c r="D3097" s="2">
        <v>1</v>
      </c>
    </row>
    <row r="3098" spans="1:4">
      <c r="A3098" s="2" t="s">
        <v>1679</v>
      </c>
      <c r="B3098" s="2" t="s">
        <v>36</v>
      </c>
      <c r="C3098" s="2" t="s">
        <v>24</v>
      </c>
      <c r="D3098" s="2">
        <v>1</v>
      </c>
    </row>
    <row r="3099" spans="1:4">
      <c r="A3099" s="2" t="s">
        <v>3485</v>
      </c>
      <c r="B3099" s="2" t="s">
        <v>36</v>
      </c>
      <c r="C3099" s="2" t="s">
        <v>24</v>
      </c>
      <c r="D3099" s="2">
        <v>1</v>
      </c>
    </row>
    <row r="3100" spans="1:4">
      <c r="A3100" s="2" t="s">
        <v>2014</v>
      </c>
      <c r="B3100" s="2" t="s">
        <v>36</v>
      </c>
      <c r="C3100" s="2" t="s">
        <v>24</v>
      </c>
      <c r="D3100" s="2">
        <v>1</v>
      </c>
    </row>
    <row r="3101" spans="1:4">
      <c r="A3101" s="2" t="s">
        <v>3572</v>
      </c>
      <c r="B3101" s="2" t="s">
        <v>36</v>
      </c>
      <c r="C3101" s="2" t="s">
        <v>24</v>
      </c>
      <c r="D3101" s="2">
        <v>1</v>
      </c>
    </row>
    <row r="3102" spans="1:4">
      <c r="A3102" s="2" t="s">
        <v>143</v>
      </c>
      <c r="B3102" s="2" t="s">
        <v>36</v>
      </c>
      <c r="C3102" s="2" t="s">
        <v>24</v>
      </c>
      <c r="D3102" s="2">
        <v>1</v>
      </c>
    </row>
    <row r="3103" spans="1:4">
      <c r="A3103" s="2" t="s">
        <v>94</v>
      </c>
      <c r="B3103" s="2" t="s">
        <v>36</v>
      </c>
      <c r="C3103" s="2" t="s">
        <v>24</v>
      </c>
      <c r="D3103" s="2">
        <v>1</v>
      </c>
    </row>
    <row r="3104" spans="1:4">
      <c r="A3104" s="2" t="s">
        <v>1680</v>
      </c>
      <c r="B3104" s="2" t="s">
        <v>36</v>
      </c>
      <c r="C3104" s="2" t="s">
        <v>24</v>
      </c>
      <c r="D3104" s="2">
        <v>1</v>
      </c>
    </row>
    <row r="3105" spans="1:4">
      <c r="A3105" s="2" t="s">
        <v>3928</v>
      </c>
      <c r="B3105" s="2" t="s">
        <v>36</v>
      </c>
      <c r="C3105" s="2" t="s">
        <v>24</v>
      </c>
      <c r="D3105" s="2">
        <v>1</v>
      </c>
    </row>
    <row r="3106" spans="1:4">
      <c r="A3106" s="2" t="s">
        <v>333</v>
      </c>
      <c r="B3106" s="2" t="s">
        <v>36</v>
      </c>
      <c r="C3106" s="2" t="s">
        <v>24</v>
      </c>
      <c r="D3106" s="2">
        <v>1</v>
      </c>
    </row>
    <row r="3107" spans="1:4">
      <c r="A3107" s="2" t="s">
        <v>1681</v>
      </c>
      <c r="B3107" s="2" t="s">
        <v>36</v>
      </c>
      <c r="C3107" s="2" t="s">
        <v>24</v>
      </c>
      <c r="D3107" s="2">
        <v>1</v>
      </c>
    </row>
    <row r="3108" spans="1:4">
      <c r="A3108" s="2" t="s">
        <v>1682</v>
      </c>
      <c r="B3108" s="2" t="s">
        <v>36</v>
      </c>
      <c r="C3108" s="2" t="s">
        <v>24</v>
      </c>
      <c r="D3108" s="2">
        <v>1</v>
      </c>
    </row>
    <row r="3109" spans="1:4">
      <c r="A3109" s="2" t="s">
        <v>1683</v>
      </c>
      <c r="B3109" s="2" t="s">
        <v>36</v>
      </c>
      <c r="C3109" s="2" t="s">
        <v>24</v>
      </c>
      <c r="D3109" s="2">
        <v>1</v>
      </c>
    </row>
    <row r="3110" spans="1:4">
      <c r="A3110" s="2" t="s">
        <v>3960</v>
      </c>
      <c r="B3110" s="2" t="s">
        <v>36</v>
      </c>
      <c r="C3110" s="2" t="s">
        <v>24</v>
      </c>
      <c r="D3110" s="2">
        <v>1</v>
      </c>
    </row>
    <row r="3111" spans="1:4">
      <c r="A3111" s="2" t="s">
        <v>3573</v>
      </c>
      <c r="B3111" s="2" t="s">
        <v>36</v>
      </c>
      <c r="C3111" s="2" t="s">
        <v>24</v>
      </c>
      <c r="D3111" s="2">
        <v>1</v>
      </c>
    </row>
    <row r="3112" spans="1:4">
      <c r="A3112" s="2" t="s">
        <v>2630</v>
      </c>
      <c r="B3112" s="2" t="s">
        <v>36</v>
      </c>
      <c r="C3112" s="2" t="s">
        <v>24</v>
      </c>
      <c r="D3112" s="2">
        <v>1</v>
      </c>
    </row>
    <row r="3113" spans="1:4">
      <c r="A3113" s="2" t="s">
        <v>2570</v>
      </c>
      <c r="B3113" s="2" t="s">
        <v>36</v>
      </c>
      <c r="C3113" s="2" t="s">
        <v>24</v>
      </c>
      <c r="D3113" s="2">
        <v>1</v>
      </c>
    </row>
    <row r="3114" spans="1:4">
      <c r="A3114" s="2" t="s">
        <v>3491</v>
      </c>
      <c r="B3114" s="2" t="s">
        <v>36</v>
      </c>
      <c r="C3114" s="2" t="s">
        <v>24</v>
      </c>
      <c r="D3114" s="2">
        <v>1</v>
      </c>
    </row>
    <row r="3115" spans="1:4">
      <c r="A3115" s="2" t="s">
        <v>3040</v>
      </c>
      <c r="B3115" s="2" t="s">
        <v>36</v>
      </c>
      <c r="C3115" s="2" t="s">
        <v>24</v>
      </c>
      <c r="D3115" s="2">
        <v>1</v>
      </c>
    </row>
    <row r="3116" spans="1:4">
      <c r="A3116" s="2" t="s">
        <v>2647</v>
      </c>
      <c r="B3116" s="2" t="s">
        <v>36</v>
      </c>
      <c r="C3116" s="2" t="s">
        <v>24</v>
      </c>
      <c r="D3116" s="2">
        <v>1</v>
      </c>
    </row>
    <row r="3117" spans="1:4">
      <c r="A3117" s="2" t="s">
        <v>3049</v>
      </c>
      <c r="B3117" s="2" t="s">
        <v>36</v>
      </c>
      <c r="C3117" s="2" t="s">
        <v>24</v>
      </c>
      <c r="D3117" s="2">
        <v>1</v>
      </c>
    </row>
    <row r="3118" spans="1:4">
      <c r="A3118" s="2" t="s">
        <v>3575</v>
      </c>
      <c r="B3118" s="2" t="s">
        <v>36</v>
      </c>
      <c r="C3118" s="2" t="s">
        <v>24</v>
      </c>
      <c r="D3118" s="2">
        <v>1</v>
      </c>
    </row>
    <row r="3119" spans="1:4">
      <c r="A3119" s="2" t="s">
        <v>3577</v>
      </c>
      <c r="B3119" s="2" t="s">
        <v>36</v>
      </c>
      <c r="C3119" s="2" t="s">
        <v>24</v>
      </c>
      <c r="D3119" s="2">
        <v>1</v>
      </c>
    </row>
    <row r="3120" spans="1:4">
      <c r="A3120" s="2" t="s">
        <v>1684</v>
      </c>
      <c r="B3120" s="2" t="s">
        <v>36</v>
      </c>
      <c r="C3120" s="2" t="s">
        <v>24</v>
      </c>
      <c r="D3120" s="2">
        <v>1</v>
      </c>
    </row>
    <row r="3121" spans="1:4">
      <c r="A3121" s="2" t="s">
        <v>1639</v>
      </c>
      <c r="B3121" s="2" t="s">
        <v>36</v>
      </c>
      <c r="C3121" s="2" t="s">
        <v>24</v>
      </c>
      <c r="D3121" s="2">
        <v>1</v>
      </c>
    </row>
    <row r="3122" spans="1:4">
      <c r="A3122" s="2" t="s">
        <v>4636</v>
      </c>
      <c r="B3122" s="2" t="s">
        <v>36</v>
      </c>
      <c r="C3122" s="2" t="s">
        <v>24</v>
      </c>
      <c r="D3122" s="2">
        <v>1</v>
      </c>
    </row>
    <row r="3123" spans="1:4">
      <c r="A3123" s="2" t="s">
        <v>4687</v>
      </c>
      <c r="B3123" s="2" t="s">
        <v>36</v>
      </c>
      <c r="C3123" s="2" t="s">
        <v>24</v>
      </c>
      <c r="D3123" s="2">
        <v>1</v>
      </c>
    </row>
    <row r="3124" spans="1:4">
      <c r="A3124" s="2" t="s">
        <v>4660</v>
      </c>
      <c r="B3124" s="2" t="s">
        <v>36</v>
      </c>
      <c r="C3124" s="2" t="s">
        <v>24</v>
      </c>
      <c r="D3124" s="2">
        <v>1</v>
      </c>
    </row>
    <row r="3125" spans="1:4">
      <c r="A3125" s="2" t="s">
        <v>3503</v>
      </c>
      <c r="B3125" s="2" t="s">
        <v>36</v>
      </c>
      <c r="C3125" s="2" t="s">
        <v>24</v>
      </c>
      <c r="D3125" s="2">
        <v>1</v>
      </c>
    </row>
    <row r="3126" spans="1:4">
      <c r="A3126" s="2" t="s">
        <v>3532</v>
      </c>
      <c r="B3126" s="2" t="s">
        <v>36</v>
      </c>
      <c r="C3126" s="2" t="s">
        <v>24</v>
      </c>
      <c r="D3126" s="2">
        <v>1</v>
      </c>
    </row>
    <row r="3127" spans="1:4">
      <c r="A3127" s="2" t="s">
        <v>3512</v>
      </c>
      <c r="B3127" s="2" t="s">
        <v>36</v>
      </c>
      <c r="C3127" s="2" t="s">
        <v>24</v>
      </c>
      <c r="D3127" s="2">
        <v>1</v>
      </c>
    </row>
    <row r="3128" spans="1:4">
      <c r="A3128" s="2" t="s">
        <v>3488</v>
      </c>
      <c r="B3128" s="2" t="s">
        <v>36</v>
      </c>
      <c r="C3128" s="2" t="s">
        <v>24</v>
      </c>
      <c r="D3128" s="2">
        <v>1</v>
      </c>
    </row>
    <row r="3129" spans="1:4">
      <c r="A3129" s="2" t="s">
        <v>3578</v>
      </c>
      <c r="B3129" s="2" t="s">
        <v>36</v>
      </c>
      <c r="C3129" s="2" t="s">
        <v>24</v>
      </c>
      <c r="D3129" s="2">
        <v>1</v>
      </c>
    </row>
    <row r="3130" spans="1:4">
      <c r="A3130" s="2" t="s">
        <v>2021</v>
      </c>
      <c r="B3130" s="2" t="s">
        <v>36</v>
      </c>
      <c r="C3130" s="2" t="s">
        <v>24</v>
      </c>
      <c r="D3130" s="2">
        <v>1</v>
      </c>
    </row>
    <row r="3131" spans="1:4">
      <c r="A3131" s="2" t="s">
        <v>2064</v>
      </c>
      <c r="B3131" s="2" t="s">
        <v>36</v>
      </c>
      <c r="C3131" s="2" t="s">
        <v>24</v>
      </c>
      <c r="D3131" s="2">
        <v>1</v>
      </c>
    </row>
    <row r="3132" spans="1:4">
      <c r="A3132" s="2" t="s">
        <v>2016</v>
      </c>
      <c r="B3132" s="2" t="s">
        <v>36</v>
      </c>
      <c r="C3132" s="2" t="s">
        <v>24</v>
      </c>
      <c r="D3132" s="2">
        <v>1</v>
      </c>
    </row>
    <row r="3133" spans="1:4">
      <c r="A3133" s="2" t="s">
        <v>1640</v>
      </c>
      <c r="B3133" s="2" t="s">
        <v>36</v>
      </c>
      <c r="C3133" s="2" t="s">
        <v>24</v>
      </c>
      <c r="D3133" s="2">
        <v>1</v>
      </c>
    </row>
    <row r="3134" spans="1:4">
      <c r="A3134" s="2" t="s">
        <v>3979</v>
      </c>
      <c r="B3134" s="2" t="s">
        <v>36</v>
      </c>
      <c r="C3134" s="2" t="s">
        <v>24</v>
      </c>
      <c r="D3134" s="2">
        <v>1</v>
      </c>
    </row>
    <row r="3135" spans="1:4">
      <c r="A3135" s="2" t="s">
        <v>322</v>
      </c>
      <c r="B3135" s="2" t="s">
        <v>36</v>
      </c>
      <c r="C3135" s="2" t="s">
        <v>24</v>
      </c>
      <c r="D3135" s="2">
        <v>1</v>
      </c>
    </row>
    <row r="3136" spans="1:4">
      <c r="A3136" s="2" t="s">
        <v>339</v>
      </c>
      <c r="B3136" s="2" t="s">
        <v>36</v>
      </c>
      <c r="C3136" s="2" t="s">
        <v>24</v>
      </c>
      <c r="D3136" s="2">
        <v>1</v>
      </c>
    </row>
    <row r="3137" spans="1:4">
      <c r="A3137" s="2" t="s">
        <v>2648</v>
      </c>
      <c r="B3137" s="2" t="s">
        <v>36</v>
      </c>
      <c r="C3137" s="2" t="s">
        <v>24</v>
      </c>
      <c r="D3137" s="2">
        <v>1</v>
      </c>
    </row>
    <row r="3138" spans="1:4">
      <c r="A3138" s="2" t="s">
        <v>2568</v>
      </c>
      <c r="B3138" s="2" t="s">
        <v>36</v>
      </c>
      <c r="C3138" s="2" t="s">
        <v>24</v>
      </c>
      <c r="D3138" s="2">
        <v>1</v>
      </c>
    </row>
    <row r="3139" spans="1:4">
      <c r="A3139" s="2" t="s">
        <v>407</v>
      </c>
      <c r="B3139" s="2" t="s">
        <v>36</v>
      </c>
      <c r="C3139" s="2" t="s">
        <v>24</v>
      </c>
      <c r="D3139" s="2">
        <v>1</v>
      </c>
    </row>
    <row r="3140" spans="1:4">
      <c r="A3140" s="2" t="s">
        <v>4292</v>
      </c>
      <c r="B3140" s="2" t="s">
        <v>36</v>
      </c>
      <c r="C3140" s="2" t="s">
        <v>24</v>
      </c>
      <c r="D3140" s="2">
        <v>1</v>
      </c>
    </row>
    <row r="3141" spans="1:4">
      <c r="A3141" s="2" t="s">
        <v>4280</v>
      </c>
      <c r="B3141" s="2" t="s">
        <v>36</v>
      </c>
      <c r="C3141" s="2" t="s">
        <v>24</v>
      </c>
      <c r="D3141" s="2">
        <v>1</v>
      </c>
    </row>
    <row r="3142" spans="1:4">
      <c r="A3142" s="2" t="s">
        <v>4290</v>
      </c>
      <c r="B3142" s="2" t="s">
        <v>36</v>
      </c>
      <c r="C3142" s="2" t="s">
        <v>24</v>
      </c>
      <c r="D3142" s="2">
        <v>1</v>
      </c>
    </row>
    <row r="3143" spans="1:4">
      <c r="A3143" s="2" t="s">
        <v>4308</v>
      </c>
      <c r="B3143" s="2" t="s">
        <v>36</v>
      </c>
      <c r="C3143" s="2" t="s">
        <v>24</v>
      </c>
      <c r="D3143" s="2">
        <v>1</v>
      </c>
    </row>
    <row r="3144" spans="1:4">
      <c r="A3144" s="2" t="s">
        <v>3075</v>
      </c>
      <c r="B3144" s="2" t="s">
        <v>36</v>
      </c>
      <c r="C3144" s="2" t="s">
        <v>24</v>
      </c>
      <c r="D3144" s="2">
        <v>1</v>
      </c>
    </row>
    <row r="3145" spans="1:4">
      <c r="A3145" s="2" t="s">
        <v>3118</v>
      </c>
      <c r="B3145" s="2" t="s">
        <v>36</v>
      </c>
      <c r="C3145" s="2" t="s">
        <v>24</v>
      </c>
      <c r="D3145" s="2">
        <v>1</v>
      </c>
    </row>
    <row r="3146" spans="1:4">
      <c r="A3146" s="2" t="s">
        <v>308</v>
      </c>
      <c r="B3146" s="2" t="s">
        <v>36</v>
      </c>
      <c r="C3146" s="2" t="s">
        <v>24</v>
      </c>
      <c r="D3146" s="2">
        <v>1</v>
      </c>
    </row>
    <row r="3147" spans="1:4">
      <c r="A3147" s="2" t="s">
        <v>1686</v>
      </c>
      <c r="B3147" s="2" t="s">
        <v>36</v>
      </c>
      <c r="C3147" s="2" t="s">
        <v>24</v>
      </c>
      <c r="D3147" s="2">
        <v>1</v>
      </c>
    </row>
    <row r="3148" spans="1:4">
      <c r="A3148" s="2" t="s">
        <v>3579</v>
      </c>
      <c r="B3148" s="2" t="s">
        <v>36</v>
      </c>
      <c r="C3148" s="2" t="s">
        <v>24</v>
      </c>
      <c r="D3148" s="2">
        <v>1</v>
      </c>
    </row>
    <row r="3149" spans="1:4">
      <c r="A3149" s="2" t="s">
        <v>4004</v>
      </c>
      <c r="B3149" s="2" t="s">
        <v>36</v>
      </c>
      <c r="C3149" s="2" t="s">
        <v>24</v>
      </c>
      <c r="D3149" s="2">
        <v>1</v>
      </c>
    </row>
    <row r="3150" spans="1:4">
      <c r="A3150" s="2" t="s">
        <v>3076</v>
      </c>
      <c r="B3150" s="2" t="s">
        <v>36</v>
      </c>
      <c r="C3150" s="2" t="s">
        <v>24</v>
      </c>
      <c r="D3150" s="2">
        <v>1</v>
      </c>
    </row>
    <row r="3151" spans="1:4">
      <c r="A3151" s="2" t="s">
        <v>2645</v>
      </c>
      <c r="B3151" s="2" t="s">
        <v>36</v>
      </c>
      <c r="C3151" s="2" t="s">
        <v>24</v>
      </c>
      <c r="D3151" s="2">
        <v>1</v>
      </c>
    </row>
    <row r="3152" spans="1:4">
      <c r="A3152" s="2" t="s">
        <v>391</v>
      </c>
      <c r="B3152" s="2" t="s">
        <v>36</v>
      </c>
      <c r="C3152" s="2" t="s">
        <v>24</v>
      </c>
      <c r="D3152" s="2">
        <v>1</v>
      </c>
    </row>
    <row r="3153" spans="1:4">
      <c r="A3153" s="2" t="s">
        <v>2554</v>
      </c>
      <c r="B3153" s="2" t="s">
        <v>36</v>
      </c>
      <c r="C3153" s="2" t="s">
        <v>24</v>
      </c>
      <c r="D3153" s="2">
        <v>1</v>
      </c>
    </row>
    <row r="3154" spans="1:4">
      <c r="A3154" s="2" t="s">
        <v>2631</v>
      </c>
      <c r="B3154" s="2" t="s">
        <v>36</v>
      </c>
      <c r="C3154" s="2" t="s">
        <v>24</v>
      </c>
      <c r="D3154" s="2">
        <v>1</v>
      </c>
    </row>
    <row r="3155" spans="1:4">
      <c r="A3155" s="2" t="s">
        <v>4339</v>
      </c>
      <c r="B3155" s="2" t="s">
        <v>36</v>
      </c>
      <c r="C3155" s="2" t="s">
        <v>24</v>
      </c>
      <c r="D3155" s="2">
        <v>1</v>
      </c>
    </row>
    <row r="3156" spans="1:4">
      <c r="A3156" s="2" t="s">
        <v>1195</v>
      </c>
      <c r="B3156" s="2" t="s">
        <v>36</v>
      </c>
      <c r="C3156" s="2" t="s">
        <v>24</v>
      </c>
      <c r="D3156" s="2">
        <v>1</v>
      </c>
    </row>
    <row r="3157" spans="1:4">
      <c r="A3157" s="2" t="s">
        <v>1641</v>
      </c>
      <c r="B3157" s="2" t="s">
        <v>36</v>
      </c>
      <c r="C3157" s="2" t="s">
        <v>24</v>
      </c>
      <c r="D3157" s="2">
        <v>1</v>
      </c>
    </row>
    <row r="3158" spans="1:4">
      <c r="A3158" s="2" t="s">
        <v>3997</v>
      </c>
      <c r="B3158" s="2" t="s">
        <v>36</v>
      </c>
      <c r="C3158" s="2" t="s">
        <v>24</v>
      </c>
      <c r="D3158" s="2">
        <v>1</v>
      </c>
    </row>
    <row r="3159" spans="1:4">
      <c r="A3159" s="2" t="s">
        <v>4005</v>
      </c>
      <c r="B3159" s="2" t="s">
        <v>36</v>
      </c>
      <c r="C3159" s="2" t="s">
        <v>24</v>
      </c>
      <c r="D3159" s="2">
        <v>1</v>
      </c>
    </row>
    <row r="3160" spans="1:4">
      <c r="A3160" s="2" t="s">
        <v>3902</v>
      </c>
      <c r="B3160" s="2" t="s">
        <v>36</v>
      </c>
      <c r="C3160" s="2" t="s">
        <v>24</v>
      </c>
      <c r="D3160" s="2">
        <v>1</v>
      </c>
    </row>
    <row r="3161" spans="1:4">
      <c r="A3161" s="2" t="s">
        <v>3920</v>
      </c>
      <c r="B3161" s="2" t="s">
        <v>36</v>
      </c>
      <c r="C3161" s="2" t="s">
        <v>24</v>
      </c>
      <c r="D3161" s="2">
        <v>1</v>
      </c>
    </row>
    <row r="3162" spans="1:4">
      <c r="A3162" s="2" t="s">
        <v>3900</v>
      </c>
      <c r="B3162" s="2" t="s">
        <v>36</v>
      </c>
      <c r="C3162" s="2" t="s">
        <v>24</v>
      </c>
      <c r="D3162" s="2">
        <v>1</v>
      </c>
    </row>
    <row r="3163" spans="1:4">
      <c r="A3163" s="2" t="s">
        <v>3894</v>
      </c>
      <c r="B3163" s="2" t="s">
        <v>36</v>
      </c>
      <c r="C3163" s="2" t="s">
        <v>24</v>
      </c>
      <c r="D3163" s="2">
        <v>1</v>
      </c>
    </row>
    <row r="3164" spans="1:4">
      <c r="A3164" s="2" t="s">
        <v>3909</v>
      </c>
      <c r="B3164" s="2" t="s">
        <v>36</v>
      </c>
      <c r="C3164" s="2" t="s">
        <v>24</v>
      </c>
      <c r="D3164" s="2">
        <v>1</v>
      </c>
    </row>
    <row r="3165" spans="1:4">
      <c r="A3165" s="2" t="s">
        <v>3969</v>
      </c>
      <c r="B3165" s="2" t="s">
        <v>36</v>
      </c>
      <c r="C3165" s="2" t="s">
        <v>24</v>
      </c>
      <c r="D3165" s="2">
        <v>1</v>
      </c>
    </row>
    <row r="3166" spans="1:4">
      <c r="A3166" s="2" t="s">
        <v>3951</v>
      </c>
      <c r="B3166" s="2" t="s">
        <v>36</v>
      </c>
      <c r="C3166" s="2" t="s">
        <v>24</v>
      </c>
      <c r="D3166" s="2">
        <v>1</v>
      </c>
    </row>
    <row r="3167" spans="1:4">
      <c r="A3167" s="2" t="s">
        <v>3905</v>
      </c>
      <c r="B3167" s="2" t="s">
        <v>36</v>
      </c>
      <c r="C3167" s="2" t="s">
        <v>24</v>
      </c>
      <c r="D3167" s="2">
        <v>1</v>
      </c>
    </row>
    <row r="3168" spans="1:4">
      <c r="A3168" s="2" t="s">
        <v>3926</v>
      </c>
      <c r="B3168" s="2" t="s">
        <v>36</v>
      </c>
      <c r="C3168" s="2" t="s">
        <v>24</v>
      </c>
      <c r="D3168" s="2">
        <v>1</v>
      </c>
    </row>
    <row r="3169" spans="1:4">
      <c r="A3169" s="2" t="s">
        <v>3513</v>
      </c>
      <c r="B3169" s="2" t="s">
        <v>36</v>
      </c>
      <c r="C3169" s="2" t="s">
        <v>24</v>
      </c>
      <c r="D3169" s="2">
        <v>1</v>
      </c>
    </row>
    <row r="3170" spans="1:4">
      <c r="A3170" s="2" t="s">
        <v>3514</v>
      </c>
      <c r="B3170" s="2" t="s">
        <v>36</v>
      </c>
      <c r="C3170" s="2" t="s">
        <v>24</v>
      </c>
      <c r="D3170" s="2">
        <v>1</v>
      </c>
    </row>
    <row r="3171" spans="1:4">
      <c r="A3171" s="2" t="s">
        <v>3580</v>
      </c>
      <c r="B3171" s="2" t="s">
        <v>36</v>
      </c>
      <c r="C3171" s="2" t="s">
        <v>24</v>
      </c>
      <c r="D3171" s="2">
        <v>1</v>
      </c>
    </row>
    <row r="3172" spans="1:4">
      <c r="A3172" s="2" t="s">
        <v>2624</v>
      </c>
      <c r="B3172" s="2" t="s">
        <v>36</v>
      </c>
      <c r="C3172" s="2" t="s">
        <v>24</v>
      </c>
      <c r="D3172" s="2">
        <v>1</v>
      </c>
    </row>
    <row r="3173" spans="1:4">
      <c r="A3173" s="2" t="s">
        <v>3581</v>
      </c>
      <c r="B3173" s="2" t="s">
        <v>36</v>
      </c>
      <c r="C3173" s="2" t="s">
        <v>24</v>
      </c>
      <c r="D3173" s="2">
        <v>1</v>
      </c>
    </row>
    <row r="3174" spans="1:4">
      <c r="A3174" s="2" t="s">
        <v>3533</v>
      </c>
      <c r="B3174" s="2" t="s">
        <v>36</v>
      </c>
      <c r="C3174" s="2" t="s">
        <v>24</v>
      </c>
      <c r="D3174" s="2">
        <v>1</v>
      </c>
    </row>
    <row r="3175" spans="1:4">
      <c r="A3175" s="2" t="s">
        <v>3582</v>
      </c>
      <c r="B3175" s="2" t="s">
        <v>36</v>
      </c>
      <c r="C3175" s="2" t="s">
        <v>24</v>
      </c>
      <c r="D3175" s="2">
        <v>1</v>
      </c>
    </row>
    <row r="3176" spans="1:4">
      <c r="A3176" s="2" t="s">
        <v>2071</v>
      </c>
      <c r="B3176" s="2" t="s">
        <v>36</v>
      </c>
      <c r="C3176" s="2" t="s">
        <v>24</v>
      </c>
      <c r="D3176" s="2">
        <v>1</v>
      </c>
    </row>
    <row r="3177" spans="1:4">
      <c r="A3177" s="2" t="s">
        <v>2009</v>
      </c>
      <c r="B3177" s="2" t="s">
        <v>36</v>
      </c>
      <c r="C3177" s="2" t="s">
        <v>24</v>
      </c>
      <c r="D3177" s="2">
        <v>1</v>
      </c>
    </row>
    <row r="3178" spans="1:4">
      <c r="A3178" s="2" t="s">
        <v>4681</v>
      </c>
      <c r="B3178" s="2" t="s">
        <v>36</v>
      </c>
      <c r="C3178" s="2" t="s">
        <v>24</v>
      </c>
      <c r="D3178" s="2">
        <v>1</v>
      </c>
    </row>
    <row r="3179" spans="1:4">
      <c r="A3179" s="2" t="s">
        <v>2043</v>
      </c>
      <c r="B3179" s="2" t="s">
        <v>36</v>
      </c>
      <c r="C3179" s="2" t="s">
        <v>24</v>
      </c>
      <c r="D3179" s="2">
        <v>1</v>
      </c>
    </row>
    <row r="3180" spans="1:4">
      <c r="A3180" s="2" t="s">
        <v>2051</v>
      </c>
      <c r="B3180" s="2" t="s">
        <v>36</v>
      </c>
      <c r="C3180" s="2" t="s">
        <v>24</v>
      </c>
      <c r="D3180" s="2">
        <v>1</v>
      </c>
    </row>
    <row r="3181" spans="1:4">
      <c r="A3181" s="2" t="s">
        <v>2086</v>
      </c>
      <c r="B3181" s="2" t="s">
        <v>36</v>
      </c>
      <c r="C3181" s="2" t="s">
        <v>24</v>
      </c>
      <c r="D3181" s="2">
        <v>1</v>
      </c>
    </row>
    <row r="3182" spans="1:4">
      <c r="A3182" s="10">
        <v>37135</v>
      </c>
      <c r="B3182" s="2" t="s">
        <v>36</v>
      </c>
      <c r="C3182" s="2" t="s">
        <v>24</v>
      </c>
      <c r="D3182" s="2">
        <v>1</v>
      </c>
    </row>
    <row r="3183" spans="1:4">
      <c r="A3183" s="2" t="s">
        <v>2065</v>
      </c>
      <c r="B3183" s="2" t="s">
        <v>36</v>
      </c>
      <c r="C3183" s="2" t="s">
        <v>24</v>
      </c>
      <c r="D3183" s="2">
        <v>1</v>
      </c>
    </row>
    <row r="3184" spans="1:4">
      <c r="A3184" s="2" t="s">
        <v>2632</v>
      </c>
      <c r="B3184" s="2" t="s">
        <v>36</v>
      </c>
      <c r="C3184" s="2" t="s">
        <v>24</v>
      </c>
      <c r="D3184" s="2">
        <v>1</v>
      </c>
    </row>
    <row r="3185" spans="1:4">
      <c r="A3185" s="2" t="s">
        <v>3053</v>
      </c>
      <c r="B3185" s="2" t="s">
        <v>36</v>
      </c>
      <c r="C3185" s="2" t="s">
        <v>24</v>
      </c>
      <c r="D3185" s="2">
        <v>1</v>
      </c>
    </row>
    <row r="3186" spans="1:4">
      <c r="A3186" s="2" t="s">
        <v>3077</v>
      </c>
      <c r="B3186" s="2" t="s">
        <v>36</v>
      </c>
      <c r="C3186" s="2" t="s">
        <v>24</v>
      </c>
      <c r="D3186" s="2">
        <v>1</v>
      </c>
    </row>
    <row r="3187" spans="1:4">
      <c r="A3187" s="2" t="s">
        <v>4707</v>
      </c>
      <c r="B3187" s="2" t="s">
        <v>36</v>
      </c>
      <c r="C3187" s="2" t="s">
        <v>24</v>
      </c>
      <c r="D3187" s="2">
        <v>1</v>
      </c>
    </row>
    <row r="3188" spans="1:4">
      <c r="A3188" s="2" t="s">
        <v>2012</v>
      </c>
      <c r="B3188" s="2" t="s">
        <v>36</v>
      </c>
      <c r="C3188" s="2" t="s">
        <v>24</v>
      </c>
      <c r="D3188" s="2">
        <v>1</v>
      </c>
    </row>
    <row r="3189" spans="1:4">
      <c r="A3189" s="2" t="s">
        <v>4708</v>
      </c>
      <c r="B3189" s="2" t="s">
        <v>36</v>
      </c>
      <c r="C3189" s="2" t="s">
        <v>24</v>
      </c>
      <c r="D3189" s="2">
        <v>1</v>
      </c>
    </row>
    <row r="3190" spans="1:4">
      <c r="A3190" s="2" t="s">
        <v>2087</v>
      </c>
      <c r="B3190" s="2" t="s">
        <v>36</v>
      </c>
      <c r="C3190" s="2" t="s">
        <v>24</v>
      </c>
      <c r="D3190" s="2">
        <v>1</v>
      </c>
    </row>
    <row r="3191" spans="1:4">
      <c r="A3191" s="2" t="s">
        <v>1196</v>
      </c>
      <c r="B3191" s="2" t="s">
        <v>36</v>
      </c>
      <c r="C3191" s="2" t="s">
        <v>24</v>
      </c>
      <c r="D3191" s="2">
        <v>1</v>
      </c>
    </row>
    <row r="3192" spans="1:4">
      <c r="A3192" s="2" t="s">
        <v>2558</v>
      </c>
      <c r="B3192" s="2" t="s">
        <v>36</v>
      </c>
      <c r="C3192" s="2" t="s">
        <v>24</v>
      </c>
      <c r="D3192" s="2">
        <v>1</v>
      </c>
    </row>
    <row r="3193" spans="1:4">
      <c r="A3193" s="2" t="s">
        <v>2002</v>
      </c>
      <c r="B3193" s="2" t="s">
        <v>36</v>
      </c>
      <c r="C3193" s="2" t="s">
        <v>24</v>
      </c>
      <c r="D3193" s="2">
        <v>1</v>
      </c>
    </row>
    <row r="3194" spans="1:4">
      <c r="A3194" s="2" t="s">
        <v>3534</v>
      </c>
      <c r="B3194" s="2" t="s">
        <v>36</v>
      </c>
      <c r="C3194" s="2" t="s">
        <v>24</v>
      </c>
      <c r="D3194" s="2">
        <v>1</v>
      </c>
    </row>
    <row r="3195" spans="1:4">
      <c r="A3195" s="2" t="s">
        <v>4340</v>
      </c>
      <c r="B3195" s="2" t="s">
        <v>36</v>
      </c>
      <c r="C3195" s="2" t="s">
        <v>24</v>
      </c>
      <c r="D3195" s="2">
        <v>1</v>
      </c>
    </row>
    <row r="3196" spans="1:4">
      <c r="A3196" s="2" t="s">
        <v>4341</v>
      </c>
      <c r="B3196" s="2" t="s">
        <v>36</v>
      </c>
      <c r="C3196" s="2" t="s">
        <v>24</v>
      </c>
      <c r="D3196" s="2">
        <v>1</v>
      </c>
    </row>
    <row r="3197" spans="1:4">
      <c r="A3197" s="2" t="s">
        <v>4342</v>
      </c>
      <c r="B3197" s="2" t="s">
        <v>36</v>
      </c>
      <c r="C3197" s="2" t="s">
        <v>24</v>
      </c>
      <c r="D3197" s="2">
        <v>1</v>
      </c>
    </row>
    <row r="3198" spans="1:4">
      <c r="A3198" s="2" t="s">
        <v>4343</v>
      </c>
      <c r="B3198" s="2" t="s">
        <v>36</v>
      </c>
      <c r="C3198" s="2" t="s">
        <v>24</v>
      </c>
      <c r="D3198" s="2">
        <v>1</v>
      </c>
    </row>
    <row r="3199" spans="1:4">
      <c r="A3199" s="2" t="s">
        <v>4344</v>
      </c>
      <c r="B3199" s="2" t="s">
        <v>36</v>
      </c>
      <c r="C3199" s="2" t="s">
        <v>24</v>
      </c>
      <c r="D3199" s="2">
        <v>1</v>
      </c>
    </row>
    <row r="3200" spans="1:4">
      <c r="A3200" s="2" t="s">
        <v>4345</v>
      </c>
      <c r="B3200" s="2" t="s">
        <v>36</v>
      </c>
      <c r="C3200" s="2" t="s">
        <v>24</v>
      </c>
      <c r="D3200" s="2">
        <v>1</v>
      </c>
    </row>
    <row r="3201" spans="1:4">
      <c r="A3201" s="2" t="s">
        <v>3583</v>
      </c>
      <c r="B3201" s="2" t="s">
        <v>36</v>
      </c>
      <c r="C3201" s="2" t="s">
        <v>24</v>
      </c>
      <c r="D3201" s="2">
        <v>1</v>
      </c>
    </row>
    <row r="3202" spans="1:4">
      <c r="A3202" s="2" t="s">
        <v>2088</v>
      </c>
      <c r="B3202" s="2" t="s">
        <v>36</v>
      </c>
      <c r="C3202" s="2" t="s">
        <v>24</v>
      </c>
      <c r="D3202" s="2">
        <v>1</v>
      </c>
    </row>
    <row r="3203" spans="1:4">
      <c r="A3203" s="2" t="s">
        <v>1687</v>
      </c>
      <c r="B3203" s="2" t="s">
        <v>36</v>
      </c>
      <c r="C3203" s="2" t="s">
        <v>24</v>
      </c>
      <c r="D3203" s="2">
        <v>1</v>
      </c>
    </row>
    <row r="3204" spans="1:4">
      <c r="A3204" s="2" t="s">
        <v>4346</v>
      </c>
      <c r="B3204" s="2" t="s">
        <v>36</v>
      </c>
      <c r="C3204" s="2" t="s">
        <v>24</v>
      </c>
      <c r="D3204" s="2">
        <v>1</v>
      </c>
    </row>
    <row r="3205" spans="1:4">
      <c r="A3205" s="2" t="s">
        <v>3985</v>
      </c>
      <c r="B3205" s="2" t="s">
        <v>36</v>
      </c>
      <c r="C3205" s="2" t="s">
        <v>24</v>
      </c>
      <c r="D3205" s="2">
        <v>1</v>
      </c>
    </row>
    <row r="3206" spans="1:4">
      <c r="A3206" s="2" t="s">
        <v>3987</v>
      </c>
      <c r="B3206" s="2" t="s">
        <v>36</v>
      </c>
      <c r="C3206" s="2" t="s">
        <v>24</v>
      </c>
      <c r="D3206" s="2">
        <v>1</v>
      </c>
    </row>
    <row r="3207" spans="1:4">
      <c r="A3207" s="2" t="s">
        <v>1688</v>
      </c>
      <c r="B3207" s="2" t="s">
        <v>36</v>
      </c>
      <c r="C3207" s="2" t="s">
        <v>24</v>
      </c>
      <c r="D3207" s="2">
        <v>1</v>
      </c>
    </row>
    <row r="3208" spans="1:4">
      <c r="A3208" s="2" t="s">
        <v>3944</v>
      </c>
      <c r="B3208" s="2" t="s">
        <v>36</v>
      </c>
      <c r="C3208" s="2" t="s">
        <v>24</v>
      </c>
      <c r="D3208" s="2">
        <v>1</v>
      </c>
    </row>
    <row r="3209" spans="1:4">
      <c r="A3209" s="2" t="s">
        <v>3998</v>
      </c>
      <c r="B3209" s="2" t="s">
        <v>36</v>
      </c>
      <c r="C3209" s="2" t="s">
        <v>24</v>
      </c>
      <c r="D3209" s="2">
        <v>1</v>
      </c>
    </row>
    <row r="3210" spans="1:4">
      <c r="A3210" s="2" t="s">
        <v>3535</v>
      </c>
      <c r="B3210" s="2" t="s">
        <v>36</v>
      </c>
      <c r="C3210" s="2" t="s">
        <v>24</v>
      </c>
      <c r="D3210" s="2">
        <v>1</v>
      </c>
    </row>
    <row r="3211" spans="1:4">
      <c r="A3211" s="2" t="s">
        <v>3078</v>
      </c>
      <c r="B3211" s="2" t="s">
        <v>36</v>
      </c>
      <c r="C3211" s="2" t="s">
        <v>24</v>
      </c>
      <c r="D3211" s="2">
        <v>1</v>
      </c>
    </row>
    <row r="3212" spans="1:4">
      <c r="A3212" s="2" t="s">
        <v>4287</v>
      </c>
      <c r="B3212" s="2" t="s">
        <v>36</v>
      </c>
      <c r="C3212" s="2" t="s">
        <v>24</v>
      </c>
      <c r="D3212" s="2">
        <v>1</v>
      </c>
    </row>
    <row r="3213" spans="1:4">
      <c r="A3213" s="2" t="s">
        <v>4271</v>
      </c>
      <c r="B3213" s="2" t="s">
        <v>36</v>
      </c>
      <c r="C3213" s="2" t="s">
        <v>24</v>
      </c>
      <c r="D3213" s="2">
        <v>1</v>
      </c>
    </row>
    <row r="3214" spans="1:4">
      <c r="A3214" s="2" t="s">
        <v>420</v>
      </c>
      <c r="B3214" s="2" t="s">
        <v>36</v>
      </c>
      <c r="C3214" s="2" t="s">
        <v>24</v>
      </c>
      <c r="D3214" s="2">
        <v>1</v>
      </c>
    </row>
    <row r="3215" spans="1:4">
      <c r="A3215" s="2" t="s">
        <v>380</v>
      </c>
      <c r="B3215" s="2" t="s">
        <v>36</v>
      </c>
      <c r="C3215" s="2" t="s">
        <v>24</v>
      </c>
      <c r="D3215" s="2">
        <v>1</v>
      </c>
    </row>
    <row r="3216" spans="1:4">
      <c r="A3216" s="2" t="s">
        <v>3504</v>
      </c>
      <c r="B3216" s="2" t="s">
        <v>36</v>
      </c>
      <c r="C3216" s="2" t="s">
        <v>24</v>
      </c>
      <c r="D3216" s="2">
        <v>1</v>
      </c>
    </row>
    <row r="3217" spans="1:4">
      <c r="A3217" s="2" t="s">
        <v>1996</v>
      </c>
      <c r="B3217" s="2" t="s">
        <v>36</v>
      </c>
      <c r="C3217" s="2" t="s">
        <v>24</v>
      </c>
      <c r="D3217" s="2">
        <v>1</v>
      </c>
    </row>
    <row r="3218" spans="1:4">
      <c r="A3218" s="2" t="s">
        <v>4274</v>
      </c>
      <c r="B3218" s="2" t="s">
        <v>36</v>
      </c>
      <c r="C3218" s="2" t="s">
        <v>24</v>
      </c>
      <c r="D3218" s="2">
        <v>1</v>
      </c>
    </row>
    <row r="3219" spans="1:4">
      <c r="A3219" s="2" t="s">
        <v>4309</v>
      </c>
      <c r="B3219" s="2" t="s">
        <v>36</v>
      </c>
      <c r="C3219" s="2" t="s">
        <v>24</v>
      </c>
      <c r="D3219" s="2">
        <v>1</v>
      </c>
    </row>
    <row r="3220" spans="1:4">
      <c r="A3220" s="2" t="s">
        <v>2089</v>
      </c>
      <c r="B3220" s="2" t="s">
        <v>36</v>
      </c>
      <c r="C3220" s="2" t="s">
        <v>24</v>
      </c>
      <c r="D3220" s="2">
        <v>1</v>
      </c>
    </row>
    <row r="3221" spans="1:4">
      <c r="A3221" s="2" t="s">
        <v>2072</v>
      </c>
      <c r="B3221" s="2" t="s">
        <v>36</v>
      </c>
      <c r="C3221" s="2" t="s">
        <v>24</v>
      </c>
      <c r="D3221" s="2">
        <v>1</v>
      </c>
    </row>
    <row r="3222" spans="1:4">
      <c r="A3222" s="2" t="s">
        <v>1197</v>
      </c>
      <c r="B3222" s="2" t="s">
        <v>36</v>
      </c>
      <c r="C3222" s="2" t="s">
        <v>24</v>
      </c>
      <c r="D3222" s="2">
        <v>1</v>
      </c>
    </row>
    <row r="3223" spans="1:4">
      <c r="A3223" s="2" t="s">
        <v>1966</v>
      </c>
      <c r="B3223" s="2" t="s">
        <v>36</v>
      </c>
      <c r="C3223" s="2" t="s">
        <v>24</v>
      </c>
      <c r="D3223" s="2">
        <v>1</v>
      </c>
    </row>
    <row r="3224" spans="1:4">
      <c r="A3224" s="2" t="s">
        <v>2607</v>
      </c>
      <c r="B3224" s="2" t="s">
        <v>36</v>
      </c>
      <c r="C3224" s="2" t="s">
        <v>24</v>
      </c>
      <c r="D3224" s="2">
        <v>1</v>
      </c>
    </row>
    <row r="3225" spans="1:4">
      <c r="A3225" s="2" t="s">
        <v>1619</v>
      </c>
      <c r="B3225" s="2" t="s">
        <v>36</v>
      </c>
      <c r="C3225" s="2" t="s">
        <v>24</v>
      </c>
      <c r="D3225" s="2">
        <v>1</v>
      </c>
    </row>
    <row r="3226" spans="1:4">
      <c r="A3226" s="2" t="s">
        <v>3584</v>
      </c>
      <c r="B3226" s="2" t="s">
        <v>36</v>
      </c>
      <c r="C3226" s="2" t="s">
        <v>24</v>
      </c>
      <c r="D3226" s="2">
        <v>1</v>
      </c>
    </row>
    <row r="3227" spans="1:4">
      <c r="A3227" s="2" t="s">
        <v>3980</v>
      </c>
      <c r="B3227" s="2" t="s">
        <v>36</v>
      </c>
      <c r="C3227" s="2" t="s">
        <v>24</v>
      </c>
      <c r="D3227" s="2">
        <v>1</v>
      </c>
    </row>
    <row r="3228" spans="1:4">
      <c r="A3228" s="2" t="s">
        <v>3970</v>
      </c>
      <c r="B3228" s="2" t="s">
        <v>36</v>
      </c>
      <c r="C3228" s="2" t="s">
        <v>24</v>
      </c>
      <c r="D3228" s="2">
        <v>1</v>
      </c>
    </row>
    <row r="3229" spans="1:4">
      <c r="A3229" s="2" t="s">
        <v>3119</v>
      </c>
      <c r="B3229" s="2" t="s">
        <v>36</v>
      </c>
      <c r="C3229" s="2" t="s">
        <v>24</v>
      </c>
      <c r="D3229" s="2">
        <v>1</v>
      </c>
    </row>
    <row r="3230" spans="1:4">
      <c r="A3230" s="2" t="s">
        <v>3942</v>
      </c>
      <c r="B3230" s="2" t="s">
        <v>36</v>
      </c>
      <c r="C3230" s="2" t="s">
        <v>24</v>
      </c>
      <c r="D3230" s="2">
        <v>1</v>
      </c>
    </row>
    <row r="3231" spans="1:4">
      <c r="A3231" s="2" t="s">
        <v>3079</v>
      </c>
      <c r="B3231" s="2" t="s">
        <v>36</v>
      </c>
      <c r="C3231" s="2" t="s">
        <v>24</v>
      </c>
      <c r="D3231" s="2">
        <v>1</v>
      </c>
    </row>
    <row r="3232" spans="1:4">
      <c r="A3232" s="2" t="s">
        <v>4688</v>
      </c>
      <c r="B3232" s="2" t="s">
        <v>36</v>
      </c>
      <c r="C3232" s="2" t="s">
        <v>24</v>
      </c>
      <c r="D3232" s="2">
        <v>1</v>
      </c>
    </row>
    <row r="3233" spans="1:4">
      <c r="A3233" s="2" t="s">
        <v>3586</v>
      </c>
      <c r="B3233" s="2" t="s">
        <v>36</v>
      </c>
      <c r="C3233" s="2" t="s">
        <v>24</v>
      </c>
      <c r="D3233" s="2">
        <v>1</v>
      </c>
    </row>
    <row r="3234" spans="1:4">
      <c r="A3234" s="2" t="s">
        <v>3031</v>
      </c>
      <c r="B3234" s="2" t="s">
        <v>36</v>
      </c>
      <c r="C3234" s="2" t="s">
        <v>24</v>
      </c>
      <c r="D3234" s="2">
        <v>1</v>
      </c>
    </row>
    <row r="3235" spans="1:4">
      <c r="A3235" s="2" t="s">
        <v>381</v>
      </c>
      <c r="B3235" s="2" t="s">
        <v>36</v>
      </c>
      <c r="C3235" s="2" t="s">
        <v>24</v>
      </c>
      <c r="D3235" s="2">
        <v>1</v>
      </c>
    </row>
    <row r="3236" spans="1:4">
      <c r="A3236" s="2" t="s">
        <v>4640</v>
      </c>
      <c r="B3236" s="2" t="s">
        <v>36</v>
      </c>
      <c r="C3236" s="2" t="s">
        <v>24</v>
      </c>
      <c r="D3236" s="2">
        <v>1</v>
      </c>
    </row>
    <row r="3237" spans="1:4">
      <c r="A3237" s="2" t="s">
        <v>3120</v>
      </c>
      <c r="B3237" s="2" t="s">
        <v>36</v>
      </c>
      <c r="C3237" s="2" t="s">
        <v>24</v>
      </c>
      <c r="D3237" s="2">
        <v>1</v>
      </c>
    </row>
    <row r="3238" spans="1:4">
      <c r="A3238" s="2" t="s">
        <v>2090</v>
      </c>
      <c r="B3238" s="2" t="s">
        <v>36</v>
      </c>
      <c r="C3238" s="2" t="s">
        <v>24</v>
      </c>
      <c r="D3238" s="2">
        <v>1</v>
      </c>
    </row>
    <row r="3239" spans="1:4">
      <c r="A3239" s="2" t="s">
        <v>2608</v>
      </c>
      <c r="B3239" s="2" t="s">
        <v>36</v>
      </c>
      <c r="C3239" s="2" t="s">
        <v>24</v>
      </c>
      <c r="D3239" s="2">
        <v>1</v>
      </c>
    </row>
    <row r="3240" spans="1:4">
      <c r="A3240" s="2" t="s">
        <v>2642</v>
      </c>
      <c r="B3240" s="2" t="s">
        <v>36</v>
      </c>
      <c r="C3240" s="2" t="s">
        <v>24</v>
      </c>
      <c r="D3240" s="2">
        <v>1</v>
      </c>
    </row>
    <row r="3241" spans="1:4">
      <c r="A3241" s="2" t="s">
        <v>3497</v>
      </c>
      <c r="B3241" s="2" t="s">
        <v>36</v>
      </c>
      <c r="C3241" s="2" t="s">
        <v>24</v>
      </c>
      <c r="D3241" s="2">
        <v>1</v>
      </c>
    </row>
    <row r="3242" spans="1:4">
      <c r="A3242" s="2" t="s">
        <v>400</v>
      </c>
      <c r="B3242" s="2" t="s">
        <v>36</v>
      </c>
      <c r="C3242" s="2" t="s">
        <v>24</v>
      </c>
      <c r="D3242" s="2">
        <v>1</v>
      </c>
    </row>
    <row r="3243" spans="1:4">
      <c r="A3243" s="2" t="s">
        <v>2082</v>
      </c>
      <c r="B3243" s="2" t="s">
        <v>36</v>
      </c>
      <c r="C3243" s="2" t="s">
        <v>24</v>
      </c>
      <c r="D3243" s="2">
        <v>1</v>
      </c>
    </row>
    <row r="3244" spans="1:4">
      <c r="A3244" s="2" t="s">
        <v>4310</v>
      </c>
      <c r="B3244" s="2" t="s">
        <v>36</v>
      </c>
      <c r="C3244" s="2" t="s">
        <v>24</v>
      </c>
      <c r="D3244" s="2">
        <v>1</v>
      </c>
    </row>
    <row r="3245" spans="1:4">
      <c r="A3245" s="2" t="s">
        <v>3027</v>
      </c>
      <c r="B3245" s="2" t="s">
        <v>36</v>
      </c>
      <c r="C3245" s="2" t="s">
        <v>24</v>
      </c>
      <c r="D3245" s="2">
        <v>1</v>
      </c>
    </row>
    <row r="3246" spans="1:4">
      <c r="A3246" s="2" t="s">
        <v>3081</v>
      </c>
      <c r="B3246" s="2" t="s">
        <v>36</v>
      </c>
      <c r="C3246" s="2" t="s">
        <v>24</v>
      </c>
      <c r="D3246" s="2">
        <v>1</v>
      </c>
    </row>
    <row r="3247" spans="1:4">
      <c r="A3247" s="2" t="s">
        <v>421</v>
      </c>
      <c r="B3247" s="2" t="s">
        <v>36</v>
      </c>
      <c r="C3247" s="2" t="s">
        <v>24</v>
      </c>
      <c r="D3247" s="2">
        <v>1</v>
      </c>
    </row>
    <row r="3248" spans="1:4">
      <c r="A3248" s="2" t="s">
        <v>2633</v>
      </c>
      <c r="B3248" s="2" t="s">
        <v>36</v>
      </c>
      <c r="C3248" s="2" t="s">
        <v>24</v>
      </c>
      <c r="D3248" s="2">
        <v>1</v>
      </c>
    </row>
    <row r="3249" spans="1:4">
      <c r="A3249" s="2" t="s">
        <v>377</v>
      </c>
      <c r="B3249" s="2" t="s">
        <v>36</v>
      </c>
      <c r="C3249" s="2" t="s">
        <v>24</v>
      </c>
      <c r="D3249" s="2">
        <v>1</v>
      </c>
    </row>
    <row r="3250" spans="1:4">
      <c r="A3250" s="2" t="s">
        <v>4666</v>
      </c>
      <c r="B3250" s="2" t="s">
        <v>36</v>
      </c>
      <c r="C3250" s="2" t="s">
        <v>24</v>
      </c>
      <c r="D3250" s="2">
        <v>1</v>
      </c>
    </row>
    <row r="3251" spans="1:4">
      <c r="A3251" s="2" t="s">
        <v>1642</v>
      </c>
      <c r="B3251" s="2" t="s">
        <v>36</v>
      </c>
      <c r="C3251" s="2" t="s">
        <v>24</v>
      </c>
      <c r="D3251" s="2">
        <v>1</v>
      </c>
    </row>
    <row r="3252" spans="1:4">
      <c r="A3252" s="2" t="s">
        <v>3999</v>
      </c>
      <c r="B3252" s="2" t="s">
        <v>36</v>
      </c>
      <c r="C3252" s="2" t="s">
        <v>24</v>
      </c>
      <c r="D3252" s="2">
        <v>1</v>
      </c>
    </row>
    <row r="3253" spans="1:4">
      <c r="A3253" s="2" t="s">
        <v>4000</v>
      </c>
      <c r="B3253" s="2" t="s">
        <v>36</v>
      </c>
      <c r="C3253" s="2" t="s">
        <v>24</v>
      </c>
      <c r="D3253" s="2">
        <v>1</v>
      </c>
    </row>
    <row r="3254" spans="1:4">
      <c r="A3254" s="2" t="s">
        <v>2027</v>
      </c>
      <c r="B3254" s="2" t="s">
        <v>36</v>
      </c>
      <c r="C3254" s="2" t="s">
        <v>24</v>
      </c>
      <c r="D3254" s="2">
        <v>1</v>
      </c>
    </row>
    <row r="3255" spans="1:4">
      <c r="A3255" s="2" t="s">
        <v>4006</v>
      </c>
      <c r="B3255" s="2" t="s">
        <v>36</v>
      </c>
      <c r="C3255" s="2" t="s">
        <v>24</v>
      </c>
      <c r="D3255" s="2">
        <v>1</v>
      </c>
    </row>
    <row r="3256" spans="1:4">
      <c r="A3256" s="2" t="s">
        <v>3962</v>
      </c>
      <c r="B3256" s="2" t="s">
        <v>36</v>
      </c>
      <c r="C3256" s="2" t="s">
        <v>24</v>
      </c>
      <c r="D3256" s="2">
        <v>1</v>
      </c>
    </row>
    <row r="3257" spans="1:4">
      <c r="A3257" s="2" t="s">
        <v>3988</v>
      </c>
      <c r="B3257" s="2" t="s">
        <v>36</v>
      </c>
      <c r="C3257" s="2" t="s">
        <v>24</v>
      </c>
      <c r="D3257" s="2">
        <v>1</v>
      </c>
    </row>
    <row r="3258" spans="1:4">
      <c r="A3258" s="2" t="s">
        <v>3948</v>
      </c>
      <c r="B3258" s="2" t="s">
        <v>36</v>
      </c>
      <c r="C3258" s="2" t="s">
        <v>24</v>
      </c>
      <c r="D3258" s="2">
        <v>1</v>
      </c>
    </row>
    <row r="3259" spans="1:4">
      <c r="A3259" s="2" t="s">
        <v>414</v>
      </c>
      <c r="B3259" s="2" t="s">
        <v>36</v>
      </c>
      <c r="C3259" s="2" t="s">
        <v>24</v>
      </c>
      <c r="D3259" s="2">
        <v>1</v>
      </c>
    </row>
    <row r="3260" spans="1:4">
      <c r="A3260" s="2" t="s">
        <v>3128</v>
      </c>
      <c r="B3260" s="2" t="s">
        <v>36</v>
      </c>
      <c r="C3260" s="2" t="s">
        <v>24</v>
      </c>
      <c r="D3260" s="2">
        <v>1</v>
      </c>
    </row>
    <row r="3261" spans="1:4">
      <c r="A3261" s="2" t="s">
        <v>3121</v>
      </c>
      <c r="B3261" s="2" t="s">
        <v>36</v>
      </c>
      <c r="C3261" s="2" t="s">
        <v>24</v>
      </c>
      <c r="D3261" s="2">
        <v>1</v>
      </c>
    </row>
    <row r="3262" spans="1:4">
      <c r="A3262" s="2" t="s">
        <v>1690</v>
      </c>
      <c r="B3262" s="2" t="s">
        <v>36</v>
      </c>
      <c r="C3262" s="2" t="s">
        <v>24</v>
      </c>
      <c r="D3262" s="2">
        <v>1</v>
      </c>
    </row>
    <row r="3263" spans="1:4">
      <c r="A3263" s="2" t="s">
        <v>3923</v>
      </c>
      <c r="B3263" s="2" t="s">
        <v>36</v>
      </c>
      <c r="C3263" s="2" t="s">
        <v>24</v>
      </c>
      <c r="D3263" s="2">
        <v>1</v>
      </c>
    </row>
    <row r="3264" spans="1:4">
      <c r="A3264" s="2" t="s">
        <v>2591</v>
      </c>
      <c r="B3264" s="2" t="s">
        <v>36</v>
      </c>
      <c r="C3264" s="2" t="s">
        <v>24</v>
      </c>
      <c r="D3264" s="2">
        <v>1</v>
      </c>
    </row>
    <row r="3265" spans="1:4">
      <c r="A3265" s="2" t="s">
        <v>3129</v>
      </c>
      <c r="B3265" s="2" t="s">
        <v>36</v>
      </c>
      <c r="C3265" s="2" t="s">
        <v>24</v>
      </c>
      <c r="D3265" s="2">
        <v>1</v>
      </c>
    </row>
    <row r="3266" spans="1:4">
      <c r="A3266" s="2" t="s">
        <v>2550</v>
      </c>
      <c r="B3266" s="2" t="s">
        <v>36</v>
      </c>
      <c r="C3266" s="2" t="s">
        <v>24</v>
      </c>
      <c r="D3266" s="2">
        <v>1</v>
      </c>
    </row>
    <row r="3267" spans="1:4">
      <c r="A3267" s="2" t="s">
        <v>318</v>
      </c>
      <c r="B3267" s="2" t="s">
        <v>36</v>
      </c>
      <c r="C3267" s="2" t="s">
        <v>39</v>
      </c>
      <c r="D3267" s="2">
        <v>451</v>
      </c>
    </row>
    <row r="3268" spans="1:4">
      <c r="A3268" s="2" t="s">
        <v>358</v>
      </c>
      <c r="B3268" s="2" t="s">
        <v>36</v>
      </c>
      <c r="C3268" s="2" t="s">
        <v>39</v>
      </c>
      <c r="D3268" s="2">
        <v>450</v>
      </c>
    </row>
    <row r="3269" spans="1:4">
      <c r="A3269" s="2" t="s">
        <v>352</v>
      </c>
      <c r="B3269" s="2" t="s">
        <v>36</v>
      </c>
      <c r="C3269" s="2" t="s">
        <v>39</v>
      </c>
      <c r="D3269" s="2">
        <v>445</v>
      </c>
    </row>
    <row r="3270" spans="1:4">
      <c r="A3270" s="2" t="s">
        <v>329</v>
      </c>
      <c r="B3270" s="2" t="s">
        <v>36</v>
      </c>
      <c r="C3270" s="2" t="s">
        <v>39</v>
      </c>
      <c r="D3270" s="2">
        <v>442</v>
      </c>
    </row>
    <row r="3271" spans="1:4">
      <c r="A3271" s="2" t="s">
        <v>335</v>
      </c>
      <c r="B3271" s="2" t="s">
        <v>36</v>
      </c>
      <c r="C3271" s="2" t="s">
        <v>39</v>
      </c>
      <c r="D3271" s="2">
        <v>436</v>
      </c>
    </row>
    <row r="3272" spans="1:4">
      <c r="A3272" s="2" t="s">
        <v>1199</v>
      </c>
      <c r="B3272" s="2" t="s">
        <v>36</v>
      </c>
      <c r="C3272" s="2" t="s">
        <v>39</v>
      </c>
      <c r="D3272" s="2">
        <v>434</v>
      </c>
    </row>
    <row r="3273" spans="1:4">
      <c r="A3273" s="2" t="s">
        <v>340</v>
      </c>
      <c r="B3273" s="2" t="s">
        <v>36</v>
      </c>
      <c r="C3273" s="2" t="s">
        <v>39</v>
      </c>
      <c r="D3273" s="2">
        <v>431</v>
      </c>
    </row>
    <row r="3274" spans="1:4">
      <c r="A3274" s="2" t="s">
        <v>4310</v>
      </c>
      <c r="B3274" s="2" t="s">
        <v>36</v>
      </c>
      <c r="C3274" s="2" t="s">
        <v>39</v>
      </c>
      <c r="D3274" s="2">
        <v>429</v>
      </c>
    </row>
    <row r="3275" spans="1:4">
      <c r="A3275" s="2" t="s">
        <v>328</v>
      </c>
      <c r="B3275" s="2" t="s">
        <v>36</v>
      </c>
      <c r="C3275" s="2" t="s">
        <v>39</v>
      </c>
      <c r="D3275" s="2">
        <v>427</v>
      </c>
    </row>
    <row r="3276" spans="1:4">
      <c r="A3276" s="2" t="s">
        <v>383</v>
      </c>
      <c r="B3276" s="2" t="s">
        <v>36</v>
      </c>
      <c r="C3276" s="2" t="s">
        <v>39</v>
      </c>
      <c r="D3276" s="2">
        <v>425</v>
      </c>
    </row>
    <row r="3277" spans="1:4">
      <c r="A3277" s="2" t="s">
        <v>391</v>
      </c>
      <c r="B3277" s="2" t="s">
        <v>36</v>
      </c>
      <c r="C3277" s="2" t="s">
        <v>39</v>
      </c>
      <c r="D3277" s="2">
        <v>425</v>
      </c>
    </row>
    <row r="3278" spans="1:4">
      <c r="A3278" s="2" t="s">
        <v>3059</v>
      </c>
      <c r="B3278" s="2" t="s">
        <v>36</v>
      </c>
      <c r="C3278" s="2" t="s">
        <v>39</v>
      </c>
      <c r="D3278" s="2">
        <v>424</v>
      </c>
    </row>
    <row r="3279" spans="1:4">
      <c r="A3279" s="2" t="s">
        <v>369</v>
      </c>
      <c r="B3279" s="2" t="s">
        <v>36</v>
      </c>
      <c r="C3279" s="2" t="s">
        <v>39</v>
      </c>
      <c r="D3279" s="2">
        <v>424</v>
      </c>
    </row>
    <row r="3280" spans="1:4">
      <c r="A3280" s="2" t="s">
        <v>363</v>
      </c>
      <c r="B3280" s="2" t="s">
        <v>36</v>
      </c>
      <c r="C3280" s="2" t="s">
        <v>39</v>
      </c>
      <c r="D3280" s="2">
        <v>423</v>
      </c>
    </row>
    <row r="3281" spans="1:4">
      <c r="A3281" s="2" t="s">
        <v>1188</v>
      </c>
      <c r="B3281" s="2" t="s">
        <v>36</v>
      </c>
      <c r="C3281" s="2" t="s">
        <v>39</v>
      </c>
      <c r="D3281" s="2">
        <v>421</v>
      </c>
    </row>
    <row r="3282" spans="1:4">
      <c r="A3282" s="2" t="s">
        <v>390</v>
      </c>
      <c r="B3282" s="2" t="s">
        <v>36</v>
      </c>
      <c r="C3282" s="2" t="s">
        <v>39</v>
      </c>
      <c r="D3282" s="2">
        <v>419</v>
      </c>
    </row>
    <row r="3283" spans="1:4">
      <c r="A3283" s="2" t="s">
        <v>1668</v>
      </c>
      <c r="B3283" s="2" t="s">
        <v>36</v>
      </c>
      <c r="C3283" s="2" t="s">
        <v>39</v>
      </c>
      <c r="D3283" s="2">
        <v>418</v>
      </c>
    </row>
    <row r="3284" spans="1:4">
      <c r="A3284" s="2" t="s">
        <v>392</v>
      </c>
      <c r="B3284" s="2" t="s">
        <v>36</v>
      </c>
      <c r="C3284" s="2" t="s">
        <v>39</v>
      </c>
      <c r="D3284" s="2">
        <v>416</v>
      </c>
    </row>
    <row r="3285" spans="1:4">
      <c r="A3285" s="2" t="s">
        <v>2646</v>
      </c>
      <c r="B3285" s="2" t="s">
        <v>36</v>
      </c>
      <c r="C3285" s="2" t="s">
        <v>39</v>
      </c>
      <c r="D3285" s="2">
        <v>416</v>
      </c>
    </row>
    <row r="3286" spans="1:4">
      <c r="A3286" s="2" t="s">
        <v>4707</v>
      </c>
      <c r="B3286" s="2" t="s">
        <v>36</v>
      </c>
      <c r="C3286" s="2" t="s">
        <v>39</v>
      </c>
      <c r="D3286" s="2">
        <v>416</v>
      </c>
    </row>
    <row r="3287" spans="1:4">
      <c r="A3287" s="2" t="s">
        <v>405</v>
      </c>
      <c r="B3287" s="2" t="s">
        <v>36</v>
      </c>
      <c r="C3287" s="2" t="s">
        <v>39</v>
      </c>
      <c r="D3287" s="2">
        <v>414</v>
      </c>
    </row>
    <row r="3288" spans="1:4">
      <c r="A3288" s="2" t="s">
        <v>301</v>
      </c>
      <c r="B3288" s="2" t="s">
        <v>36</v>
      </c>
      <c r="C3288" s="2" t="s">
        <v>39</v>
      </c>
      <c r="D3288" s="2">
        <v>413</v>
      </c>
    </row>
    <row r="3289" spans="1:4">
      <c r="A3289" s="2" t="s">
        <v>3990</v>
      </c>
      <c r="B3289" s="2" t="s">
        <v>36</v>
      </c>
      <c r="C3289" s="2" t="s">
        <v>39</v>
      </c>
      <c r="D3289" s="2">
        <v>412</v>
      </c>
    </row>
    <row r="3290" spans="1:4">
      <c r="A3290" s="2" t="s">
        <v>427</v>
      </c>
      <c r="B3290" s="2" t="s">
        <v>36</v>
      </c>
      <c r="C3290" s="2" t="s">
        <v>39</v>
      </c>
      <c r="D3290" s="2">
        <v>412</v>
      </c>
    </row>
    <row r="3291" spans="1:4">
      <c r="A3291" s="2" t="s">
        <v>2647</v>
      </c>
      <c r="B3291" s="2" t="s">
        <v>36</v>
      </c>
      <c r="C3291" s="2" t="s">
        <v>39</v>
      </c>
      <c r="D3291" s="2">
        <v>409</v>
      </c>
    </row>
    <row r="3292" spans="1:4">
      <c r="A3292" s="2" t="s">
        <v>1184</v>
      </c>
      <c r="B3292" s="2" t="s">
        <v>36</v>
      </c>
      <c r="C3292" s="2" t="s">
        <v>39</v>
      </c>
      <c r="D3292" s="2">
        <v>408</v>
      </c>
    </row>
    <row r="3293" spans="1:4">
      <c r="A3293" s="2" t="s">
        <v>423</v>
      </c>
      <c r="B3293" s="2" t="s">
        <v>36</v>
      </c>
      <c r="C3293" s="2" t="s">
        <v>39</v>
      </c>
      <c r="D3293" s="2">
        <v>407</v>
      </c>
    </row>
    <row r="3294" spans="1:4">
      <c r="A3294" s="2" t="s">
        <v>403</v>
      </c>
      <c r="B3294" s="2" t="s">
        <v>36</v>
      </c>
      <c r="C3294" s="2" t="s">
        <v>39</v>
      </c>
      <c r="D3294" s="2">
        <v>407</v>
      </c>
    </row>
    <row r="3295" spans="1:4">
      <c r="A3295" s="2" t="s">
        <v>1969</v>
      </c>
      <c r="B3295" s="2" t="s">
        <v>36</v>
      </c>
      <c r="C3295" s="2" t="s">
        <v>39</v>
      </c>
      <c r="D3295" s="2">
        <v>406</v>
      </c>
    </row>
    <row r="3296" spans="1:4">
      <c r="A3296" s="2" t="s">
        <v>2080</v>
      </c>
      <c r="B3296" s="2" t="s">
        <v>36</v>
      </c>
      <c r="C3296" s="2" t="s">
        <v>39</v>
      </c>
      <c r="D3296" s="2">
        <v>406</v>
      </c>
    </row>
    <row r="3297" spans="1:4">
      <c r="A3297" s="2" t="s">
        <v>401</v>
      </c>
      <c r="B3297" s="2" t="s">
        <v>36</v>
      </c>
      <c r="C3297" s="2" t="s">
        <v>39</v>
      </c>
      <c r="D3297" s="2">
        <v>401</v>
      </c>
    </row>
    <row r="3298" spans="1:4">
      <c r="A3298" s="2" t="s">
        <v>416</v>
      </c>
      <c r="B3298" s="2" t="s">
        <v>36</v>
      </c>
      <c r="C3298" s="2" t="s">
        <v>39</v>
      </c>
      <c r="D3298" s="2">
        <v>401</v>
      </c>
    </row>
    <row r="3299" spans="1:4">
      <c r="A3299" s="2" t="s">
        <v>2581</v>
      </c>
      <c r="B3299" s="2" t="s">
        <v>36</v>
      </c>
      <c r="C3299" s="2" t="s">
        <v>39</v>
      </c>
      <c r="D3299" s="2">
        <v>401</v>
      </c>
    </row>
    <row r="3300" spans="1:4">
      <c r="A3300" s="2" t="s">
        <v>1173</v>
      </c>
      <c r="B3300" s="2" t="s">
        <v>36</v>
      </c>
      <c r="C3300" s="2" t="s">
        <v>39</v>
      </c>
      <c r="D3300" s="2">
        <v>400</v>
      </c>
    </row>
    <row r="3301" spans="1:4">
      <c r="A3301" s="2" t="s">
        <v>2576</v>
      </c>
      <c r="B3301" s="2" t="s">
        <v>36</v>
      </c>
      <c r="C3301" s="2" t="s">
        <v>39</v>
      </c>
      <c r="D3301" s="2">
        <v>400</v>
      </c>
    </row>
    <row r="3302" spans="1:4">
      <c r="A3302" s="2" t="s">
        <v>413</v>
      </c>
      <c r="B3302" s="2" t="s">
        <v>36</v>
      </c>
      <c r="C3302" s="2" t="s">
        <v>39</v>
      </c>
      <c r="D3302" s="2">
        <v>400</v>
      </c>
    </row>
    <row r="3303" spans="1:4">
      <c r="A3303" s="2" t="s">
        <v>381</v>
      </c>
      <c r="B3303" s="2" t="s">
        <v>36</v>
      </c>
      <c r="C3303" s="2" t="s">
        <v>39</v>
      </c>
      <c r="D3303" s="2">
        <v>399</v>
      </c>
    </row>
    <row r="3304" spans="1:4">
      <c r="A3304" s="2" t="s">
        <v>4696</v>
      </c>
      <c r="B3304" s="2" t="s">
        <v>36</v>
      </c>
      <c r="C3304" s="2" t="s">
        <v>39</v>
      </c>
      <c r="D3304" s="2">
        <v>397</v>
      </c>
    </row>
    <row r="3305" spans="1:4">
      <c r="A3305" s="2" t="s">
        <v>2582</v>
      </c>
      <c r="B3305" s="2" t="s">
        <v>36</v>
      </c>
      <c r="C3305" s="2" t="s">
        <v>39</v>
      </c>
      <c r="D3305" s="2">
        <v>397</v>
      </c>
    </row>
    <row r="3306" spans="1:4">
      <c r="A3306" s="2" t="s">
        <v>1148</v>
      </c>
      <c r="B3306" s="2" t="s">
        <v>36</v>
      </c>
      <c r="C3306" s="2" t="s">
        <v>39</v>
      </c>
      <c r="D3306" s="2">
        <v>396</v>
      </c>
    </row>
    <row r="3307" spans="1:4">
      <c r="A3307" s="2" t="s">
        <v>3981</v>
      </c>
      <c r="B3307" s="2" t="s">
        <v>36</v>
      </c>
      <c r="C3307" s="2" t="s">
        <v>39</v>
      </c>
      <c r="D3307" s="2">
        <v>395</v>
      </c>
    </row>
    <row r="3308" spans="1:4">
      <c r="A3308" s="2" t="s">
        <v>382</v>
      </c>
      <c r="B3308" s="2" t="s">
        <v>36</v>
      </c>
      <c r="C3308" s="2" t="s">
        <v>39</v>
      </c>
      <c r="D3308" s="2">
        <v>394</v>
      </c>
    </row>
    <row r="3309" spans="1:4">
      <c r="A3309" s="2" t="s">
        <v>393</v>
      </c>
      <c r="B3309" s="2" t="s">
        <v>36</v>
      </c>
      <c r="C3309" s="2" t="s">
        <v>39</v>
      </c>
      <c r="D3309" s="2">
        <v>393</v>
      </c>
    </row>
    <row r="3310" spans="1:4">
      <c r="A3310" s="2" t="s">
        <v>399</v>
      </c>
      <c r="B3310" s="2" t="s">
        <v>36</v>
      </c>
      <c r="C3310" s="2" t="s">
        <v>39</v>
      </c>
      <c r="D3310" s="2">
        <v>390</v>
      </c>
    </row>
    <row r="3311" spans="1:4">
      <c r="A3311" s="2" t="s">
        <v>414</v>
      </c>
      <c r="B3311" s="2" t="s">
        <v>36</v>
      </c>
      <c r="C3311" s="2" t="s">
        <v>39</v>
      </c>
      <c r="D3311" s="2">
        <v>389</v>
      </c>
    </row>
    <row r="3312" spans="1:4">
      <c r="A3312" s="2" t="s">
        <v>1168</v>
      </c>
      <c r="B3312" s="2" t="s">
        <v>36</v>
      </c>
      <c r="C3312" s="2" t="s">
        <v>39</v>
      </c>
      <c r="D3312" s="2">
        <v>388</v>
      </c>
    </row>
    <row r="3313" spans="1:4">
      <c r="A3313" s="2" t="s">
        <v>2630</v>
      </c>
      <c r="B3313" s="2" t="s">
        <v>36</v>
      </c>
      <c r="C3313" s="2" t="s">
        <v>39</v>
      </c>
      <c r="D3313" s="2">
        <v>387</v>
      </c>
    </row>
    <row r="3314" spans="1:4">
      <c r="A3314" s="2" t="s">
        <v>3122</v>
      </c>
      <c r="B3314" s="2" t="s">
        <v>36</v>
      </c>
      <c r="C3314" s="2" t="s">
        <v>39</v>
      </c>
      <c r="D3314" s="2">
        <v>386</v>
      </c>
    </row>
    <row r="3315" spans="1:4">
      <c r="A3315" s="2" t="s">
        <v>4002</v>
      </c>
      <c r="B3315" s="2" t="s">
        <v>36</v>
      </c>
      <c r="C3315" s="2" t="s">
        <v>39</v>
      </c>
      <c r="D3315" s="2">
        <v>386</v>
      </c>
    </row>
    <row r="3316" spans="1:4">
      <c r="A3316" s="2" t="s">
        <v>3522</v>
      </c>
      <c r="B3316" s="2" t="s">
        <v>36</v>
      </c>
      <c r="C3316" s="2" t="s">
        <v>39</v>
      </c>
      <c r="D3316" s="2">
        <v>385</v>
      </c>
    </row>
    <row r="3317" spans="1:4">
      <c r="A3317" s="2" t="s">
        <v>2602</v>
      </c>
      <c r="B3317" s="2" t="s">
        <v>36</v>
      </c>
      <c r="C3317" s="2" t="s">
        <v>39</v>
      </c>
      <c r="D3317" s="2">
        <v>378</v>
      </c>
    </row>
    <row r="3318" spans="1:4">
      <c r="A3318" s="2" t="s">
        <v>297</v>
      </c>
      <c r="B3318" s="2" t="s">
        <v>36</v>
      </c>
      <c r="C3318" s="2" t="s">
        <v>39</v>
      </c>
      <c r="D3318" s="2">
        <v>378</v>
      </c>
    </row>
    <row r="3319" spans="1:4">
      <c r="A3319" s="2" t="s">
        <v>2010</v>
      </c>
      <c r="B3319" s="2" t="s">
        <v>36</v>
      </c>
      <c r="C3319" s="2" t="s">
        <v>39</v>
      </c>
      <c r="D3319" s="2">
        <v>377</v>
      </c>
    </row>
    <row r="3320" spans="1:4">
      <c r="A3320" s="2" t="s">
        <v>310</v>
      </c>
      <c r="B3320" s="2" t="s">
        <v>36</v>
      </c>
      <c r="C3320" s="2" t="s">
        <v>39</v>
      </c>
      <c r="D3320" s="2">
        <v>375</v>
      </c>
    </row>
    <row r="3321" spans="1:4">
      <c r="A3321" s="2" t="s">
        <v>1117</v>
      </c>
      <c r="B3321" s="2" t="s">
        <v>36</v>
      </c>
      <c r="C3321" s="2" t="s">
        <v>39</v>
      </c>
      <c r="D3321" s="2">
        <v>375</v>
      </c>
    </row>
    <row r="3322" spans="1:4">
      <c r="A3322" s="2" t="s">
        <v>1169</v>
      </c>
      <c r="B3322" s="2" t="s">
        <v>36</v>
      </c>
      <c r="C3322" s="2" t="s">
        <v>39</v>
      </c>
      <c r="D3322" s="2">
        <v>373</v>
      </c>
    </row>
    <row r="3323" spans="1:4">
      <c r="A3323" s="2" t="s">
        <v>1649</v>
      </c>
      <c r="B3323" s="2" t="s">
        <v>36</v>
      </c>
      <c r="C3323" s="2" t="s">
        <v>39</v>
      </c>
      <c r="D3323" s="2">
        <v>372</v>
      </c>
    </row>
    <row r="3324" spans="1:4">
      <c r="A3324" s="2" t="s">
        <v>3120</v>
      </c>
      <c r="B3324" s="2" t="s">
        <v>36</v>
      </c>
      <c r="C3324" s="2" t="s">
        <v>39</v>
      </c>
      <c r="D3324" s="2">
        <v>372</v>
      </c>
    </row>
    <row r="3325" spans="1:4">
      <c r="A3325" s="2" t="s">
        <v>1154</v>
      </c>
      <c r="B3325" s="2" t="s">
        <v>36</v>
      </c>
      <c r="C3325" s="2" t="s">
        <v>39</v>
      </c>
      <c r="D3325" s="2">
        <v>371</v>
      </c>
    </row>
    <row r="3326" spans="1:4">
      <c r="A3326" s="2" t="s">
        <v>2625</v>
      </c>
      <c r="B3326" s="2" t="s">
        <v>36</v>
      </c>
      <c r="C3326" s="2" t="s">
        <v>39</v>
      </c>
      <c r="D3326" s="2">
        <v>371</v>
      </c>
    </row>
    <row r="3327" spans="1:4">
      <c r="A3327" s="2" t="s">
        <v>315</v>
      </c>
      <c r="B3327" s="2" t="s">
        <v>36</v>
      </c>
      <c r="C3327" s="2" t="s">
        <v>39</v>
      </c>
      <c r="D3327" s="2">
        <v>370</v>
      </c>
    </row>
    <row r="3328" spans="1:4">
      <c r="A3328" s="2" t="s">
        <v>2603</v>
      </c>
      <c r="B3328" s="2" t="s">
        <v>36</v>
      </c>
      <c r="C3328" s="2" t="s">
        <v>39</v>
      </c>
      <c r="D3328" s="2">
        <v>368</v>
      </c>
    </row>
    <row r="3329" spans="1:4">
      <c r="A3329" s="2" t="s">
        <v>3106</v>
      </c>
      <c r="B3329" s="2" t="s">
        <v>36</v>
      </c>
      <c r="C3329" s="2" t="s">
        <v>39</v>
      </c>
      <c r="D3329" s="2">
        <v>367</v>
      </c>
    </row>
    <row r="3330" spans="1:4">
      <c r="A3330" s="2" t="s">
        <v>400</v>
      </c>
      <c r="B3330" s="2" t="s">
        <v>36</v>
      </c>
      <c r="C3330" s="2" t="s">
        <v>39</v>
      </c>
      <c r="D3330" s="2">
        <v>367</v>
      </c>
    </row>
    <row r="3331" spans="1:4">
      <c r="A3331" s="2" t="s">
        <v>384</v>
      </c>
      <c r="B3331" s="2" t="s">
        <v>36</v>
      </c>
      <c r="C3331" s="2" t="s">
        <v>39</v>
      </c>
      <c r="D3331" s="2">
        <v>366</v>
      </c>
    </row>
    <row r="3332" spans="1:4">
      <c r="A3332" s="2" t="s">
        <v>3100</v>
      </c>
      <c r="B3332" s="2" t="s">
        <v>36</v>
      </c>
      <c r="C3332" s="2" t="s">
        <v>39</v>
      </c>
      <c r="D3332" s="2">
        <v>363</v>
      </c>
    </row>
    <row r="3333" spans="1:4">
      <c r="A3333" s="2" t="s">
        <v>3974</v>
      </c>
      <c r="B3333" s="2" t="s">
        <v>36</v>
      </c>
      <c r="C3333" s="2" t="s">
        <v>39</v>
      </c>
      <c r="D3333" s="2">
        <v>362</v>
      </c>
    </row>
    <row r="3334" spans="1:4">
      <c r="A3334" s="2" t="s">
        <v>3111</v>
      </c>
      <c r="B3334" s="2" t="s">
        <v>36</v>
      </c>
      <c r="C3334" s="2" t="s">
        <v>39</v>
      </c>
      <c r="D3334" s="2">
        <v>362</v>
      </c>
    </row>
    <row r="3335" spans="1:4">
      <c r="A3335" s="2" t="s">
        <v>1220</v>
      </c>
      <c r="B3335" s="2" t="s">
        <v>36</v>
      </c>
      <c r="C3335" s="2" t="s">
        <v>39</v>
      </c>
      <c r="D3335" s="2">
        <v>362</v>
      </c>
    </row>
    <row r="3336" spans="1:4">
      <c r="A3336" s="2" t="s">
        <v>1673</v>
      </c>
      <c r="B3336" s="2" t="s">
        <v>36</v>
      </c>
      <c r="C3336" s="2" t="s">
        <v>39</v>
      </c>
      <c r="D3336" s="2">
        <v>360</v>
      </c>
    </row>
    <row r="3337" spans="1:4">
      <c r="A3337" s="2" t="s">
        <v>2062</v>
      </c>
      <c r="B3337" s="2" t="s">
        <v>36</v>
      </c>
      <c r="C3337" s="2" t="s">
        <v>39</v>
      </c>
      <c r="D3337" s="2">
        <v>359</v>
      </c>
    </row>
    <row r="3338" spans="1:4">
      <c r="A3338" s="2" t="s">
        <v>1140</v>
      </c>
      <c r="B3338" s="2" t="s">
        <v>36</v>
      </c>
      <c r="C3338" s="2" t="s">
        <v>39</v>
      </c>
      <c r="D3338" s="2">
        <v>356</v>
      </c>
    </row>
    <row r="3339" spans="1:4">
      <c r="A3339" s="2" t="s">
        <v>4706</v>
      </c>
      <c r="B3339" s="2" t="s">
        <v>36</v>
      </c>
      <c r="C3339" s="2" t="s">
        <v>39</v>
      </c>
      <c r="D3339" s="2">
        <v>356</v>
      </c>
    </row>
    <row r="3340" spans="1:4">
      <c r="A3340" s="2" t="s">
        <v>3498</v>
      </c>
      <c r="B3340" s="2" t="s">
        <v>36</v>
      </c>
      <c r="C3340" s="2" t="s">
        <v>39</v>
      </c>
      <c r="D3340" s="2">
        <v>355</v>
      </c>
    </row>
    <row r="3341" spans="1:4">
      <c r="A3341" s="2" t="s">
        <v>3051</v>
      </c>
      <c r="B3341" s="2" t="s">
        <v>36</v>
      </c>
      <c r="C3341" s="2" t="s">
        <v>39</v>
      </c>
      <c r="D3341" s="2">
        <v>355</v>
      </c>
    </row>
    <row r="3342" spans="1:4">
      <c r="A3342" s="2" t="s">
        <v>348</v>
      </c>
      <c r="B3342" s="2" t="s">
        <v>36</v>
      </c>
      <c r="C3342" s="2" t="s">
        <v>39</v>
      </c>
      <c r="D3342" s="2">
        <v>352</v>
      </c>
    </row>
    <row r="3343" spans="1:4">
      <c r="A3343" s="2" t="s">
        <v>1214</v>
      </c>
      <c r="B3343" s="2" t="s">
        <v>36</v>
      </c>
      <c r="C3343" s="2" t="s">
        <v>39</v>
      </c>
      <c r="D3343" s="2">
        <v>352</v>
      </c>
    </row>
    <row r="3344" spans="1:4">
      <c r="A3344" s="2" t="s">
        <v>4280</v>
      </c>
      <c r="B3344" s="2" t="s">
        <v>36</v>
      </c>
      <c r="C3344" s="2" t="s">
        <v>39</v>
      </c>
      <c r="D3344" s="2">
        <v>351</v>
      </c>
    </row>
    <row r="3345" spans="1:4">
      <c r="A3345" s="2" t="s">
        <v>4666</v>
      </c>
      <c r="B3345" s="2" t="s">
        <v>36</v>
      </c>
      <c r="C3345" s="2" t="s">
        <v>39</v>
      </c>
      <c r="D3345" s="2">
        <v>351</v>
      </c>
    </row>
    <row r="3346" spans="1:4">
      <c r="A3346" s="2" t="s">
        <v>2585</v>
      </c>
      <c r="B3346" s="2" t="s">
        <v>36</v>
      </c>
      <c r="C3346" s="2" t="s">
        <v>39</v>
      </c>
      <c r="D3346" s="2">
        <v>350</v>
      </c>
    </row>
    <row r="3347" spans="1:4">
      <c r="A3347" s="2" t="s">
        <v>3027</v>
      </c>
      <c r="B3347" s="2" t="s">
        <v>36</v>
      </c>
      <c r="C3347" s="2" t="s">
        <v>39</v>
      </c>
      <c r="D3347" s="2">
        <v>349</v>
      </c>
    </row>
    <row r="3348" spans="1:4">
      <c r="A3348" s="2" t="s">
        <v>1153</v>
      </c>
      <c r="B3348" s="2" t="s">
        <v>36</v>
      </c>
      <c r="C3348" s="2" t="s">
        <v>39</v>
      </c>
      <c r="D3348" s="2">
        <v>348</v>
      </c>
    </row>
    <row r="3349" spans="1:4">
      <c r="A3349" s="2" t="s">
        <v>407</v>
      </c>
      <c r="B3349" s="2" t="s">
        <v>36</v>
      </c>
      <c r="C3349" s="2" t="s">
        <v>39</v>
      </c>
      <c r="D3349" s="2">
        <v>347</v>
      </c>
    </row>
    <row r="3350" spans="1:4">
      <c r="A3350" s="2" t="s">
        <v>2623</v>
      </c>
      <c r="B3350" s="2" t="s">
        <v>36</v>
      </c>
      <c r="C3350" s="2" t="s">
        <v>39</v>
      </c>
      <c r="D3350" s="2">
        <v>346</v>
      </c>
    </row>
    <row r="3351" spans="1:4">
      <c r="A3351" s="2" t="s">
        <v>1162</v>
      </c>
      <c r="B3351" s="2" t="s">
        <v>36</v>
      </c>
      <c r="C3351" s="2" t="s">
        <v>39</v>
      </c>
      <c r="D3351" s="2">
        <v>344</v>
      </c>
    </row>
    <row r="3352" spans="1:4">
      <c r="A3352" s="2" t="s">
        <v>2556</v>
      </c>
      <c r="B3352" s="2" t="s">
        <v>36</v>
      </c>
      <c r="C3352" s="2" t="s">
        <v>39</v>
      </c>
      <c r="D3352" s="2">
        <v>344</v>
      </c>
    </row>
    <row r="3353" spans="1:4">
      <c r="A3353" s="2" t="s">
        <v>1996</v>
      </c>
      <c r="B3353" s="2" t="s">
        <v>36</v>
      </c>
      <c r="C3353" s="2" t="s">
        <v>39</v>
      </c>
      <c r="D3353" s="2">
        <v>344</v>
      </c>
    </row>
    <row r="3354" spans="1:4">
      <c r="A3354" s="2" t="s">
        <v>1213</v>
      </c>
      <c r="B3354" s="2" t="s">
        <v>36</v>
      </c>
      <c r="C3354" s="2" t="s">
        <v>39</v>
      </c>
      <c r="D3354" s="2">
        <v>343</v>
      </c>
    </row>
    <row r="3355" spans="1:4">
      <c r="A3355" s="2" t="s">
        <v>308</v>
      </c>
      <c r="B3355" s="2" t="s">
        <v>36</v>
      </c>
      <c r="C3355" s="2" t="s">
        <v>39</v>
      </c>
      <c r="D3355" s="2">
        <v>342</v>
      </c>
    </row>
    <row r="3356" spans="1:4">
      <c r="A3356" s="2" t="s">
        <v>2639</v>
      </c>
      <c r="B3356" s="2" t="s">
        <v>36</v>
      </c>
      <c r="C3356" s="2" t="s">
        <v>39</v>
      </c>
      <c r="D3356" s="2">
        <v>340</v>
      </c>
    </row>
    <row r="3357" spans="1:4">
      <c r="A3357" s="2" t="s">
        <v>2084</v>
      </c>
      <c r="B3357" s="2" t="s">
        <v>36</v>
      </c>
      <c r="C3357" s="2" t="s">
        <v>39</v>
      </c>
      <c r="D3357" s="2">
        <v>339</v>
      </c>
    </row>
    <row r="3358" spans="1:4">
      <c r="A3358" s="2" t="s">
        <v>1667</v>
      </c>
      <c r="B3358" s="2" t="s">
        <v>36</v>
      </c>
      <c r="C3358" s="2" t="s">
        <v>39</v>
      </c>
      <c r="D3358" s="2">
        <v>338</v>
      </c>
    </row>
    <row r="3359" spans="1:4">
      <c r="A3359" s="2" t="s">
        <v>1191</v>
      </c>
      <c r="B3359" s="2" t="s">
        <v>36</v>
      </c>
      <c r="C3359" s="2" t="s">
        <v>39</v>
      </c>
      <c r="D3359" s="2">
        <v>338</v>
      </c>
    </row>
    <row r="3360" spans="1:4">
      <c r="A3360" s="2" t="s">
        <v>386</v>
      </c>
      <c r="B3360" s="2" t="s">
        <v>36</v>
      </c>
      <c r="C3360" s="2" t="s">
        <v>39</v>
      </c>
      <c r="D3360" s="2">
        <v>336</v>
      </c>
    </row>
    <row r="3361" spans="1:4">
      <c r="A3361" s="2" t="s">
        <v>3056</v>
      </c>
      <c r="B3361" s="2" t="s">
        <v>36</v>
      </c>
      <c r="C3361" s="2" t="s">
        <v>39</v>
      </c>
      <c r="D3361" s="2">
        <v>336</v>
      </c>
    </row>
    <row r="3362" spans="1:4">
      <c r="A3362" s="2" t="s">
        <v>1983</v>
      </c>
      <c r="B3362" s="2" t="s">
        <v>36</v>
      </c>
      <c r="C3362" s="2" t="s">
        <v>39</v>
      </c>
      <c r="D3362" s="2">
        <v>335</v>
      </c>
    </row>
    <row r="3363" spans="1:4">
      <c r="A3363" s="2" t="s">
        <v>1135</v>
      </c>
      <c r="B3363" s="2" t="s">
        <v>36</v>
      </c>
      <c r="C3363" s="2" t="s">
        <v>39</v>
      </c>
      <c r="D3363" s="2">
        <v>335</v>
      </c>
    </row>
    <row r="3364" spans="1:4">
      <c r="A3364" s="2" t="s">
        <v>3125</v>
      </c>
      <c r="B3364" s="2" t="s">
        <v>36</v>
      </c>
      <c r="C3364" s="2" t="s">
        <v>39</v>
      </c>
      <c r="D3364" s="2">
        <v>334</v>
      </c>
    </row>
    <row r="3365" spans="1:4">
      <c r="A3365" s="2" t="s">
        <v>971</v>
      </c>
      <c r="B3365" s="2" t="s">
        <v>36</v>
      </c>
      <c r="C3365" s="2" t="s">
        <v>39</v>
      </c>
      <c r="D3365" s="2">
        <v>334</v>
      </c>
    </row>
    <row r="3366" spans="1:4">
      <c r="A3366" s="2" t="s">
        <v>1690</v>
      </c>
      <c r="B3366" s="2" t="s">
        <v>36</v>
      </c>
      <c r="C3366" s="2" t="s">
        <v>39</v>
      </c>
      <c r="D3366" s="2">
        <v>334</v>
      </c>
    </row>
    <row r="3367" spans="1:4">
      <c r="A3367" s="2" t="s">
        <v>4694</v>
      </c>
      <c r="B3367" s="2" t="s">
        <v>36</v>
      </c>
      <c r="C3367" s="2" t="s">
        <v>39</v>
      </c>
      <c r="D3367" s="2">
        <v>333</v>
      </c>
    </row>
    <row r="3368" spans="1:4">
      <c r="A3368" s="2" t="s">
        <v>428</v>
      </c>
      <c r="B3368" s="2" t="s">
        <v>36</v>
      </c>
      <c r="C3368" s="2" t="s">
        <v>39</v>
      </c>
      <c r="D3368" s="2">
        <v>333</v>
      </c>
    </row>
    <row r="3369" spans="1:4">
      <c r="A3369" s="2" t="s">
        <v>429</v>
      </c>
      <c r="B3369" s="2" t="s">
        <v>36</v>
      </c>
      <c r="C3369" s="2" t="s">
        <v>39</v>
      </c>
      <c r="D3369" s="2">
        <v>331</v>
      </c>
    </row>
    <row r="3370" spans="1:4">
      <c r="A3370" s="2" t="s">
        <v>2638</v>
      </c>
      <c r="B3370" s="2" t="s">
        <v>36</v>
      </c>
      <c r="C3370" s="2" t="s">
        <v>39</v>
      </c>
      <c r="D3370" s="2">
        <v>330</v>
      </c>
    </row>
    <row r="3371" spans="1:4">
      <c r="A3371" s="2" t="s">
        <v>366</v>
      </c>
      <c r="B3371" s="2" t="s">
        <v>36</v>
      </c>
      <c r="C3371" s="2" t="s">
        <v>39</v>
      </c>
      <c r="D3371" s="2">
        <v>327</v>
      </c>
    </row>
    <row r="3372" spans="1:4">
      <c r="A3372" s="2" t="s">
        <v>387</v>
      </c>
      <c r="B3372" s="2" t="s">
        <v>36</v>
      </c>
      <c r="C3372" s="2" t="s">
        <v>39</v>
      </c>
      <c r="D3372" s="2">
        <v>327</v>
      </c>
    </row>
    <row r="3373" spans="1:4">
      <c r="A3373" s="2" t="s">
        <v>1642</v>
      </c>
      <c r="B3373" s="2" t="s">
        <v>36</v>
      </c>
      <c r="C3373" s="2" t="s">
        <v>39</v>
      </c>
      <c r="D3373" s="2">
        <v>325</v>
      </c>
    </row>
    <row r="3374" spans="1:4">
      <c r="A3374" s="2" t="s">
        <v>1615</v>
      </c>
      <c r="B3374" s="2" t="s">
        <v>36</v>
      </c>
      <c r="C3374" s="2" t="s">
        <v>39</v>
      </c>
      <c r="D3374" s="2">
        <v>322</v>
      </c>
    </row>
    <row r="3375" spans="1:4">
      <c r="A3375" s="2" t="s">
        <v>967</v>
      </c>
      <c r="B3375" s="2" t="s">
        <v>36</v>
      </c>
      <c r="C3375" s="2" t="s">
        <v>39</v>
      </c>
      <c r="D3375" s="2">
        <v>321</v>
      </c>
    </row>
    <row r="3376" spans="1:4">
      <c r="A3376" s="2" t="s">
        <v>3518</v>
      </c>
      <c r="B3376" s="2" t="s">
        <v>36</v>
      </c>
      <c r="C3376" s="2" t="s">
        <v>39</v>
      </c>
      <c r="D3376" s="2">
        <v>318</v>
      </c>
    </row>
    <row r="3377" spans="1:4">
      <c r="A3377" s="2" t="s">
        <v>4295</v>
      </c>
      <c r="B3377" s="2" t="s">
        <v>36</v>
      </c>
      <c r="C3377" s="2" t="s">
        <v>39</v>
      </c>
      <c r="D3377" s="2">
        <v>318</v>
      </c>
    </row>
    <row r="3378" spans="1:4">
      <c r="A3378" s="2" t="s">
        <v>2578</v>
      </c>
      <c r="B3378" s="2" t="s">
        <v>36</v>
      </c>
      <c r="C3378" s="2" t="s">
        <v>39</v>
      </c>
      <c r="D3378" s="2">
        <v>316</v>
      </c>
    </row>
    <row r="3379" spans="1:4">
      <c r="A3379" s="2" t="s">
        <v>4347</v>
      </c>
      <c r="B3379" s="2" t="s">
        <v>36</v>
      </c>
      <c r="C3379" s="2" t="s">
        <v>39</v>
      </c>
      <c r="D3379" s="2">
        <v>316</v>
      </c>
    </row>
    <row r="3380" spans="1:4">
      <c r="A3380" s="2" t="s">
        <v>1205</v>
      </c>
      <c r="B3380" s="2" t="s">
        <v>36</v>
      </c>
      <c r="C3380" s="2" t="s">
        <v>39</v>
      </c>
      <c r="D3380" s="2">
        <v>314</v>
      </c>
    </row>
    <row r="3381" spans="1:4">
      <c r="A3381" s="2" t="s">
        <v>4276</v>
      </c>
      <c r="B3381" s="2" t="s">
        <v>36</v>
      </c>
      <c r="C3381" s="2" t="s">
        <v>39</v>
      </c>
      <c r="D3381" s="2">
        <v>314</v>
      </c>
    </row>
    <row r="3382" spans="1:4">
      <c r="A3382" s="2" t="s">
        <v>1211</v>
      </c>
      <c r="B3382" s="2" t="s">
        <v>36</v>
      </c>
      <c r="C3382" s="2" t="s">
        <v>39</v>
      </c>
      <c r="D3382" s="2">
        <v>314</v>
      </c>
    </row>
    <row r="3383" spans="1:4">
      <c r="A3383" s="2" t="s">
        <v>3569</v>
      </c>
      <c r="B3383" s="2" t="s">
        <v>36</v>
      </c>
      <c r="C3383" s="2" t="s">
        <v>39</v>
      </c>
      <c r="D3383" s="2">
        <v>313</v>
      </c>
    </row>
    <row r="3384" spans="1:4">
      <c r="A3384" s="2" t="s">
        <v>4292</v>
      </c>
      <c r="B3384" s="2" t="s">
        <v>36</v>
      </c>
      <c r="C3384" s="2" t="s">
        <v>39</v>
      </c>
      <c r="D3384" s="2">
        <v>313</v>
      </c>
    </row>
    <row r="3385" spans="1:4">
      <c r="A3385" s="2" t="s">
        <v>425</v>
      </c>
      <c r="B3385" s="2" t="s">
        <v>36</v>
      </c>
      <c r="C3385" s="2" t="s">
        <v>39</v>
      </c>
      <c r="D3385" s="2">
        <v>312</v>
      </c>
    </row>
    <row r="3386" spans="1:4">
      <c r="A3386" s="2" t="s">
        <v>3085</v>
      </c>
      <c r="B3386" s="2" t="s">
        <v>36</v>
      </c>
      <c r="C3386" s="2" t="s">
        <v>39</v>
      </c>
      <c r="D3386" s="2">
        <v>311</v>
      </c>
    </row>
    <row r="3387" spans="1:4">
      <c r="A3387" s="2" t="s">
        <v>3050</v>
      </c>
      <c r="B3387" s="2" t="s">
        <v>36</v>
      </c>
      <c r="C3387" s="2" t="s">
        <v>39</v>
      </c>
      <c r="D3387" s="2">
        <v>311</v>
      </c>
    </row>
    <row r="3388" spans="1:4">
      <c r="A3388" s="2" t="s">
        <v>2088</v>
      </c>
      <c r="B3388" s="2" t="s">
        <v>36</v>
      </c>
      <c r="C3388" s="2" t="s">
        <v>39</v>
      </c>
      <c r="D3388" s="2">
        <v>307</v>
      </c>
    </row>
    <row r="3389" spans="1:4">
      <c r="A3389" s="2" t="s">
        <v>1648</v>
      </c>
      <c r="B3389" s="2" t="s">
        <v>36</v>
      </c>
      <c r="C3389" s="2" t="s">
        <v>39</v>
      </c>
      <c r="D3389" s="2">
        <v>306</v>
      </c>
    </row>
    <row r="3390" spans="1:4">
      <c r="A3390" s="2" t="s">
        <v>417</v>
      </c>
      <c r="B3390" s="2" t="s">
        <v>36</v>
      </c>
      <c r="C3390" s="2" t="s">
        <v>39</v>
      </c>
      <c r="D3390" s="2">
        <v>306</v>
      </c>
    </row>
    <row r="3391" spans="1:4">
      <c r="A3391" s="2" t="s">
        <v>1190</v>
      </c>
      <c r="B3391" s="2" t="s">
        <v>36</v>
      </c>
      <c r="C3391" s="2" t="s">
        <v>39</v>
      </c>
      <c r="D3391" s="2">
        <v>306</v>
      </c>
    </row>
    <row r="3392" spans="1:4">
      <c r="A3392" s="2" t="s">
        <v>1675</v>
      </c>
      <c r="B3392" s="2" t="s">
        <v>36</v>
      </c>
      <c r="C3392" s="2" t="s">
        <v>39</v>
      </c>
      <c r="D3392" s="2">
        <v>306</v>
      </c>
    </row>
    <row r="3393" spans="1:4">
      <c r="A3393" s="2" t="s">
        <v>1160</v>
      </c>
      <c r="B3393" s="2" t="s">
        <v>36</v>
      </c>
      <c r="C3393" s="2" t="s">
        <v>39</v>
      </c>
      <c r="D3393" s="2">
        <v>304</v>
      </c>
    </row>
    <row r="3394" spans="1:4">
      <c r="A3394" s="2" t="s">
        <v>1651</v>
      </c>
      <c r="B3394" s="2" t="s">
        <v>36</v>
      </c>
      <c r="C3394" s="2" t="s">
        <v>39</v>
      </c>
      <c r="D3394" s="2">
        <v>302</v>
      </c>
    </row>
    <row r="3395" spans="1:4">
      <c r="A3395" s="2" t="s">
        <v>4006</v>
      </c>
      <c r="B3395" s="2" t="s">
        <v>36</v>
      </c>
      <c r="C3395" s="2" t="s">
        <v>39</v>
      </c>
      <c r="D3395" s="2">
        <v>302</v>
      </c>
    </row>
    <row r="3396" spans="1:4">
      <c r="A3396" s="2" t="s">
        <v>3121</v>
      </c>
      <c r="B3396" s="2" t="s">
        <v>36</v>
      </c>
      <c r="C3396" s="2" t="s">
        <v>39</v>
      </c>
      <c r="D3396" s="2">
        <v>302</v>
      </c>
    </row>
    <row r="3397" spans="1:4">
      <c r="A3397" s="2" t="s">
        <v>3995</v>
      </c>
      <c r="B3397" s="2" t="s">
        <v>36</v>
      </c>
      <c r="C3397" s="2" t="s">
        <v>39</v>
      </c>
      <c r="D3397" s="2">
        <v>301</v>
      </c>
    </row>
    <row r="3398" spans="1:4">
      <c r="A3398" s="2" t="s">
        <v>3540</v>
      </c>
      <c r="B3398" s="2" t="s">
        <v>36</v>
      </c>
      <c r="C3398" s="2" t="s">
        <v>39</v>
      </c>
      <c r="D3398" s="2">
        <v>300</v>
      </c>
    </row>
    <row r="3399" spans="1:4">
      <c r="A3399" s="2" t="s">
        <v>3113</v>
      </c>
      <c r="B3399" s="2" t="s">
        <v>36</v>
      </c>
      <c r="C3399" s="2" t="s">
        <v>39</v>
      </c>
      <c r="D3399" s="2">
        <v>298</v>
      </c>
    </row>
    <row r="3400" spans="1:4">
      <c r="A3400" s="2" t="s">
        <v>4692</v>
      </c>
      <c r="B3400" s="2" t="s">
        <v>36</v>
      </c>
      <c r="C3400" s="2" t="s">
        <v>39</v>
      </c>
      <c r="D3400" s="2">
        <v>297</v>
      </c>
    </row>
    <row r="3401" spans="1:4">
      <c r="A3401" s="2" t="s">
        <v>4001</v>
      </c>
      <c r="B3401" s="2" t="s">
        <v>36</v>
      </c>
      <c r="C3401" s="2" t="s">
        <v>39</v>
      </c>
      <c r="D3401" s="2">
        <v>294</v>
      </c>
    </row>
    <row r="3402" spans="1:4">
      <c r="A3402" s="2" t="s">
        <v>373</v>
      </c>
      <c r="B3402" s="2" t="s">
        <v>36</v>
      </c>
      <c r="C3402" s="2" t="s">
        <v>39</v>
      </c>
      <c r="D3402" s="2">
        <v>294</v>
      </c>
    </row>
    <row r="3403" spans="1:4">
      <c r="A3403" s="2" t="s">
        <v>3957</v>
      </c>
      <c r="B3403" s="2" t="s">
        <v>36</v>
      </c>
      <c r="C3403" s="2" t="s">
        <v>39</v>
      </c>
      <c r="D3403" s="2">
        <v>292</v>
      </c>
    </row>
    <row r="3404" spans="1:4">
      <c r="A3404" s="2" t="s">
        <v>1670</v>
      </c>
      <c r="B3404" s="2" t="s">
        <v>36</v>
      </c>
      <c r="C3404" s="2" t="s">
        <v>39</v>
      </c>
      <c r="D3404" s="2">
        <v>292</v>
      </c>
    </row>
    <row r="3405" spans="1:4">
      <c r="A3405" s="2" t="s">
        <v>3534</v>
      </c>
      <c r="B3405" s="2" t="s">
        <v>36</v>
      </c>
      <c r="C3405" s="2" t="s">
        <v>39</v>
      </c>
      <c r="D3405" s="2">
        <v>292</v>
      </c>
    </row>
    <row r="3406" spans="1:4">
      <c r="A3406" s="2" t="s">
        <v>1665</v>
      </c>
      <c r="B3406" s="2" t="s">
        <v>36</v>
      </c>
      <c r="C3406" s="2" t="s">
        <v>39</v>
      </c>
      <c r="D3406" s="2">
        <v>291</v>
      </c>
    </row>
    <row r="3407" spans="1:4">
      <c r="A3407" s="2" t="s">
        <v>3956</v>
      </c>
      <c r="B3407" s="2" t="s">
        <v>36</v>
      </c>
      <c r="C3407" s="2" t="s">
        <v>39</v>
      </c>
      <c r="D3407" s="2">
        <v>291</v>
      </c>
    </row>
    <row r="3408" spans="1:4">
      <c r="A3408" s="2" t="s">
        <v>3558</v>
      </c>
      <c r="B3408" s="2" t="s">
        <v>36</v>
      </c>
      <c r="C3408" s="2" t="s">
        <v>39</v>
      </c>
      <c r="D3408" s="2">
        <v>289</v>
      </c>
    </row>
    <row r="3409" spans="1:4">
      <c r="A3409" s="2" t="s">
        <v>380</v>
      </c>
      <c r="B3409" s="2" t="s">
        <v>36</v>
      </c>
      <c r="C3409" s="2" t="s">
        <v>39</v>
      </c>
      <c r="D3409" s="2">
        <v>288</v>
      </c>
    </row>
    <row r="3410" spans="1:4">
      <c r="A3410" s="2" t="s">
        <v>347</v>
      </c>
      <c r="B3410" s="2" t="s">
        <v>36</v>
      </c>
      <c r="C3410" s="2" t="s">
        <v>39</v>
      </c>
      <c r="D3410" s="2">
        <v>287</v>
      </c>
    </row>
    <row r="3411" spans="1:4">
      <c r="A3411" s="2" t="s">
        <v>2034</v>
      </c>
      <c r="B3411" s="2" t="s">
        <v>36</v>
      </c>
      <c r="C3411" s="2" t="s">
        <v>39</v>
      </c>
      <c r="D3411" s="2">
        <v>286</v>
      </c>
    </row>
    <row r="3412" spans="1:4">
      <c r="A3412" s="2" t="s">
        <v>3965</v>
      </c>
      <c r="B3412" s="2" t="s">
        <v>36</v>
      </c>
      <c r="C3412" s="2" t="s">
        <v>39</v>
      </c>
      <c r="D3412" s="2">
        <v>285</v>
      </c>
    </row>
    <row r="3413" spans="1:4">
      <c r="A3413" s="2" t="s">
        <v>345</v>
      </c>
      <c r="B3413" s="2" t="s">
        <v>36</v>
      </c>
      <c r="C3413" s="2" t="s">
        <v>39</v>
      </c>
      <c r="D3413" s="2">
        <v>285</v>
      </c>
    </row>
    <row r="3414" spans="1:4">
      <c r="A3414" s="2" t="s">
        <v>402</v>
      </c>
      <c r="B3414" s="2" t="s">
        <v>36</v>
      </c>
      <c r="C3414" s="2" t="s">
        <v>39</v>
      </c>
      <c r="D3414" s="2">
        <v>285</v>
      </c>
    </row>
    <row r="3415" spans="1:4">
      <c r="A3415" s="2" t="s">
        <v>1662</v>
      </c>
      <c r="B3415" s="2" t="s">
        <v>36</v>
      </c>
      <c r="C3415" s="2" t="s">
        <v>39</v>
      </c>
      <c r="D3415" s="2">
        <v>285</v>
      </c>
    </row>
    <row r="3416" spans="1:4">
      <c r="A3416" s="2" t="s">
        <v>4321</v>
      </c>
      <c r="B3416" s="2" t="s">
        <v>36</v>
      </c>
      <c r="C3416" s="2" t="s">
        <v>39</v>
      </c>
      <c r="D3416" s="2">
        <v>284</v>
      </c>
    </row>
    <row r="3417" spans="1:4">
      <c r="A3417" s="2" t="s">
        <v>299</v>
      </c>
      <c r="B3417" s="2" t="s">
        <v>36</v>
      </c>
      <c r="C3417" s="2" t="s">
        <v>39</v>
      </c>
      <c r="D3417" s="2">
        <v>283</v>
      </c>
    </row>
    <row r="3418" spans="1:4">
      <c r="A3418" s="2" t="s">
        <v>3479</v>
      </c>
      <c r="B3418" s="2" t="s">
        <v>36</v>
      </c>
      <c r="C3418" s="2" t="s">
        <v>39</v>
      </c>
      <c r="D3418" s="2">
        <v>283</v>
      </c>
    </row>
    <row r="3419" spans="1:4">
      <c r="A3419" s="2" t="s">
        <v>2046</v>
      </c>
      <c r="B3419" s="2" t="s">
        <v>36</v>
      </c>
      <c r="C3419" s="2" t="s">
        <v>39</v>
      </c>
      <c r="D3419" s="2">
        <v>283</v>
      </c>
    </row>
    <row r="3420" spans="1:4">
      <c r="A3420" s="2" t="s">
        <v>350</v>
      </c>
      <c r="B3420" s="2" t="s">
        <v>36</v>
      </c>
      <c r="C3420" s="2" t="s">
        <v>39</v>
      </c>
      <c r="D3420" s="2">
        <v>283</v>
      </c>
    </row>
    <row r="3421" spans="1:4">
      <c r="A3421" s="2" t="s">
        <v>3954</v>
      </c>
      <c r="B3421" s="2" t="s">
        <v>36</v>
      </c>
      <c r="C3421" s="2" t="s">
        <v>39</v>
      </c>
      <c r="D3421" s="2">
        <v>281</v>
      </c>
    </row>
    <row r="3422" spans="1:4">
      <c r="A3422" s="2" t="s">
        <v>1150</v>
      </c>
      <c r="B3422" s="2" t="s">
        <v>36</v>
      </c>
      <c r="C3422" s="2" t="s">
        <v>39</v>
      </c>
      <c r="D3422" s="2">
        <v>280</v>
      </c>
    </row>
    <row r="3423" spans="1:4">
      <c r="A3423" s="2" t="s">
        <v>3984</v>
      </c>
      <c r="B3423" s="2" t="s">
        <v>36</v>
      </c>
      <c r="C3423" s="2" t="s">
        <v>39</v>
      </c>
      <c r="D3423" s="2">
        <v>280</v>
      </c>
    </row>
    <row r="3424" spans="1:4">
      <c r="A3424" s="2" t="s">
        <v>2077</v>
      </c>
      <c r="B3424" s="2" t="s">
        <v>36</v>
      </c>
      <c r="C3424" s="2" t="s">
        <v>39</v>
      </c>
      <c r="D3424" s="2">
        <v>279</v>
      </c>
    </row>
    <row r="3425" spans="1:4">
      <c r="A3425" s="2" t="s">
        <v>3068</v>
      </c>
      <c r="B3425" s="2" t="s">
        <v>36</v>
      </c>
      <c r="C3425" s="2" t="s">
        <v>39</v>
      </c>
      <c r="D3425" s="2">
        <v>279</v>
      </c>
    </row>
    <row r="3426" spans="1:4">
      <c r="A3426" s="2" t="s">
        <v>2618</v>
      </c>
      <c r="B3426" s="2" t="s">
        <v>36</v>
      </c>
      <c r="C3426" s="2" t="s">
        <v>39</v>
      </c>
      <c r="D3426" s="2">
        <v>279</v>
      </c>
    </row>
    <row r="3427" spans="1:4">
      <c r="A3427" s="2" t="s">
        <v>2645</v>
      </c>
      <c r="B3427" s="2" t="s">
        <v>36</v>
      </c>
      <c r="C3427" s="2" t="s">
        <v>39</v>
      </c>
      <c r="D3427" s="2">
        <v>279</v>
      </c>
    </row>
    <row r="3428" spans="1:4">
      <c r="A3428" s="2" t="s">
        <v>4697</v>
      </c>
      <c r="B3428" s="2" t="s">
        <v>36</v>
      </c>
      <c r="C3428" s="2" t="s">
        <v>39</v>
      </c>
      <c r="D3428" s="2">
        <v>277</v>
      </c>
    </row>
    <row r="3429" spans="1:4">
      <c r="A3429" s="2" t="s">
        <v>3116</v>
      </c>
      <c r="B3429" s="2" t="s">
        <v>36</v>
      </c>
      <c r="C3429" s="2" t="s">
        <v>39</v>
      </c>
      <c r="D3429" s="2">
        <v>277</v>
      </c>
    </row>
    <row r="3430" spans="1:4">
      <c r="A3430" s="2" t="s">
        <v>1964</v>
      </c>
      <c r="B3430" s="2" t="s">
        <v>36</v>
      </c>
      <c r="C3430" s="2" t="s">
        <v>39</v>
      </c>
      <c r="D3430" s="2">
        <v>276</v>
      </c>
    </row>
    <row r="3431" spans="1:4">
      <c r="A3431" s="2" t="s">
        <v>2612</v>
      </c>
      <c r="B3431" s="2" t="s">
        <v>36</v>
      </c>
      <c r="C3431" s="2" t="s">
        <v>39</v>
      </c>
      <c r="D3431" s="2">
        <v>276</v>
      </c>
    </row>
    <row r="3432" spans="1:4">
      <c r="A3432" s="2" t="s">
        <v>370</v>
      </c>
      <c r="B3432" s="2" t="s">
        <v>36</v>
      </c>
      <c r="C3432" s="2" t="s">
        <v>39</v>
      </c>
      <c r="D3432" s="2">
        <v>276</v>
      </c>
    </row>
    <row r="3433" spans="1:4">
      <c r="A3433" s="2" t="s">
        <v>4302</v>
      </c>
      <c r="B3433" s="2" t="s">
        <v>36</v>
      </c>
      <c r="C3433" s="2" t="s">
        <v>39</v>
      </c>
      <c r="D3433" s="2">
        <v>274</v>
      </c>
    </row>
    <row r="3434" spans="1:4">
      <c r="A3434" s="2" t="s">
        <v>1178</v>
      </c>
      <c r="B3434" s="2" t="s">
        <v>36</v>
      </c>
      <c r="C3434" s="2" t="s">
        <v>39</v>
      </c>
      <c r="D3434" s="2">
        <v>272</v>
      </c>
    </row>
    <row r="3435" spans="1:4">
      <c r="A3435" s="2" t="s">
        <v>3977</v>
      </c>
      <c r="B3435" s="2" t="s">
        <v>36</v>
      </c>
      <c r="C3435" s="2" t="s">
        <v>39</v>
      </c>
      <c r="D3435" s="2">
        <v>271</v>
      </c>
    </row>
    <row r="3436" spans="1:4">
      <c r="A3436" s="2" t="s">
        <v>2560</v>
      </c>
      <c r="B3436" s="2" t="s">
        <v>36</v>
      </c>
      <c r="C3436" s="2" t="s">
        <v>39</v>
      </c>
      <c r="D3436" s="2">
        <v>271</v>
      </c>
    </row>
    <row r="3437" spans="1:4">
      <c r="A3437" s="2" t="s">
        <v>3483</v>
      </c>
      <c r="B3437" s="2" t="s">
        <v>36</v>
      </c>
      <c r="C3437" s="2" t="s">
        <v>39</v>
      </c>
      <c r="D3437" s="2">
        <v>271</v>
      </c>
    </row>
    <row r="3438" spans="1:4">
      <c r="A3438" s="2" t="s">
        <v>3105</v>
      </c>
      <c r="B3438" s="2" t="s">
        <v>36</v>
      </c>
      <c r="C3438" s="2" t="s">
        <v>39</v>
      </c>
      <c r="D3438" s="2">
        <v>270</v>
      </c>
    </row>
    <row r="3439" spans="1:4">
      <c r="A3439" s="2" t="s">
        <v>4003</v>
      </c>
      <c r="B3439" s="2" t="s">
        <v>36</v>
      </c>
      <c r="C3439" s="2" t="s">
        <v>39</v>
      </c>
      <c r="D3439" s="2">
        <v>269</v>
      </c>
    </row>
    <row r="3440" spans="1:4">
      <c r="A3440" s="2" t="s">
        <v>2568</v>
      </c>
      <c r="B3440" s="2" t="s">
        <v>36</v>
      </c>
      <c r="C3440" s="2" t="s">
        <v>39</v>
      </c>
      <c r="D3440" s="2">
        <v>269</v>
      </c>
    </row>
    <row r="3441" spans="1:4">
      <c r="A3441" s="2" t="s">
        <v>377</v>
      </c>
      <c r="B3441" s="2" t="s">
        <v>36</v>
      </c>
      <c r="C3441" s="2" t="s">
        <v>39</v>
      </c>
      <c r="D3441" s="2">
        <v>269</v>
      </c>
    </row>
    <row r="3442" spans="1:4">
      <c r="A3442" s="2" t="s">
        <v>1676</v>
      </c>
      <c r="B3442" s="2" t="s">
        <v>36</v>
      </c>
      <c r="C3442" s="2" t="s">
        <v>39</v>
      </c>
      <c r="D3442" s="2">
        <v>268</v>
      </c>
    </row>
    <row r="3443" spans="1:4">
      <c r="A3443" s="2" t="s">
        <v>378</v>
      </c>
      <c r="B3443" s="2" t="s">
        <v>36</v>
      </c>
      <c r="C3443" s="2" t="s">
        <v>39</v>
      </c>
      <c r="D3443" s="2">
        <v>267</v>
      </c>
    </row>
    <row r="3444" spans="1:4">
      <c r="A3444" s="2" t="s">
        <v>1195</v>
      </c>
      <c r="B3444" s="2" t="s">
        <v>36</v>
      </c>
      <c r="C3444" s="2" t="s">
        <v>39</v>
      </c>
      <c r="D3444" s="2">
        <v>267</v>
      </c>
    </row>
    <row r="3445" spans="1:4">
      <c r="A3445" s="2" t="s">
        <v>2043</v>
      </c>
      <c r="B3445" s="2" t="s">
        <v>36</v>
      </c>
      <c r="C3445" s="2" t="s">
        <v>39</v>
      </c>
      <c r="D3445" s="2">
        <v>266</v>
      </c>
    </row>
    <row r="3446" spans="1:4">
      <c r="A3446" s="2" t="s">
        <v>1994</v>
      </c>
      <c r="B3446" s="2" t="s">
        <v>36</v>
      </c>
      <c r="C3446" s="2" t="s">
        <v>39</v>
      </c>
      <c r="D3446" s="2">
        <v>264</v>
      </c>
    </row>
    <row r="3447" spans="1:4">
      <c r="A3447" s="2" t="s">
        <v>3102</v>
      </c>
      <c r="B3447" s="2" t="s">
        <v>36</v>
      </c>
      <c r="C3447" s="2" t="s">
        <v>39</v>
      </c>
      <c r="D3447" s="2">
        <v>264</v>
      </c>
    </row>
    <row r="3448" spans="1:4">
      <c r="A3448" s="2" t="s">
        <v>143</v>
      </c>
      <c r="B3448" s="2" t="s">
        <v>36</v>
      </c>
      <c r="C3448" s="2" t="s">
        <v>39</v>
      </c>
      <c r="D3448" s="2">
        <v>264</v>
      </c>
    </row>
    <row r="3449" spans="1:4">
      <c r="A3449" s="2" t="s">
        <v>361</v>
      </c>
      <c r="B3449" s="2" t="s">
        <v>36</v>
      </c>
      <c r="C3449" s="2" t="s">
        <v>39</v>
      </c>
      <c r="D3449" s="2">
        <v>261</v>
      </c>
    </row>
    <row r="3450" spans="1:4">
      <c r="A3450" s="2" t="s">
        <v>412</v>
      </c>
      <c r="B3450" s="2" t="s">
        <v>36</v>
      </c>
      <c r="C3450" s="2" t="s">
        <v>39</v>
      </c>
      <c r="D3450" s="2">
        <v>261</v>
      </c>
    </row>
    <row r="3451" spans="1:4">
      <c r="A3451" s="2" t="s">
        <v>3053</v>
      </c>
      <c r="B3451" s="2" t="s">
        <v>36</v>
      </c>
      <c r="C3451" s="2" t="s">
        <v>39</v>
      </c>
      <c r="D3451" s="2">
        <v>261</v>
      </c>
    </row>
    <row r="3452" spans="1:4">
      <c r="A3452" s="2" t="s">
        <v>3567</v>
      </c>
      <c r="B3452" s="2" t="s">
        <v>36</v>
      </c>
      <c r="C3452" s="2" t="s">
        <v>39</v>
      </c>
      <c r="D3452" s="2">
        <v>260</v>
      </c>
    </row>
    <row r="3453" spans="1:4">
      <c r="A3453" s="2" t="s">
        <v>1133</v>
      </c>
      <c r="B3453" s="2" t="s">
        <v>36</v>
      </c>
      <c r="C3453" s="2" t="s">
        <v>39</v>
      </c>
      <c r="D3453" s="2">
        <v>259</v>
      </c>
    </row>
    <row r="3454" spans="1:4">
      <c r="A3454" s="2" t="s">
        <v>4328</v>
      </c>
      <c r="B3454" s="2" t="s">
        <v>36</v>
      </c>
      <c r="C3454" s="2" t="s">
        <v>39</v>
      </c>
      <c r="D3454" s="2">
        <v>259</v>
      </c>
    </row>
    <row r="3455" spans="1:4">
      <c r="A3455" s="2" t="s">
        <v>419</v>
      </c>
      <c r="B3455" s="2" t="s">
        <v>36</v>
      </c>
      <c r="C3455" s="2" t="s">
        <v>39</v>
      </c>
      <c r="D3455" s="2">
        <v>259</v>
      </c>
    </row>
    <row r="3456" spans="1:4">
      <c r="A3456" s="2" t="s">
        <v>3108</v>
      </c>
      <c r="B3456" s="2" t="s">
        <v>36</v>
      </c>
      <c r="C3456" s="2" t="s">
        <v>39</v>
      </c>
      <c r="D3456" s="2">
        <v>257</v>
      </c>
    </row>
    <row r="3457" spans="1:4">
      <c r="A3457" s="2" t="s">
        <v>421</v>
      </c>
      <c r="B3457" s="2" t="s">
        <v>36</v>
      </c>
      <c r="C3457" s="2" t="s">
        <v>39</v>
      </c>
      <c r="D3457" s="2">
        <v>257</v>
      </c>
    </row>
    <row r="3458" spans="1:4">
      <c r="A3458" s="2" t="s">
        <v>3998</v>
      </c>
      <c r="B3458" s="2" t="s">
        <v>36</v>
      </c>
      <c r="C3458" s="2" t="s">
        <v>39</v>
      </c>
      <c r="D3458" s="2">
        <v>256</v>
      </c>
    </row>
    <row r="3459" spans="1:4">
      <c r="A3459" s="2" t="s">
        <v>3507</v>
      </c>
      <c r="B3459" s="2" t="s">
        <v>36</v>
      </c>
      <c r="C3459" s="2" t="s">
        <v>39</v>
      </c>
      <c r="D3459" s="2">
        <v>255</v>
      </c>
    </row>
    <row r="3460" spans="1:4">
      <c r="A3460" s="2" t="s">
        <v>2633</v>
      </c>
      <c r="B3460" s="2" t="s">
        <v>36</v>
      </c>
      <c r="C3460" s="2" t="s">
        <v>39</v>
      </c>
      <c r="D3460" s="2">
        <v>255</v>
      </c>
    </row>
    <row r="3461" spans="1:4">
      <c r="A3461" s="2" t="s">
        <v>3553</v>
      </c>
      <c r="B3461" s="2" t="s">
        <v>36</v>
      </c>
      <c r="C3461" s="2" t="s">
        <v>39</v>
      </c>
      <c r="D3461" s="2">
        <v>253</v>
      </c>
    </row>
    <row r="3462" spans="1:4">
      <c r="A3462" s="2" t="s">
        <v>418</v>
      </c>
      <c r="B3462" s="2" t="s">
        <v>36</v>
      </c>
      <c r="C3462" s="2" t="s">
        <v>39</v>
      </c>
      <c r="D3462" s="2">
        <v>253</v>
      </c>
    </row>
    <row r="3463" spans="1:4">
      <c r="A3463" s="2" t="s">
        <v>3066</v>
      </c>
      <c r="B3463" s="2" t="s">
        <v>36</v>
      </c>
      <c r="C3463" s="2" t="s">
        <v>39</v>
      </c>
      <c r="D3463" s="2">
        <v>252</v>
      </c>
    </row>
    <row r="3464" spans="1:4">
      <c r="A3464" s="2" t="s">
        <v>2048</v>
      </c>
      <c r="B3464" s="2" t="s">
        <v>36</v>
      </c>
      <c r="C3464" s="2" t="s">
        <v>39</v>
      </c>
      <c r="D3464" s="2">
        <v>251</v>
      </c>
    </row>
    <row r="3465" spans="1:4">
      <c r="A3465" s="2" t="s">
        <v>3040</v>
      </c>
      <c r="B3465" s="2" t="s">
        <v>36</v>
      </c>
      <c r="C3465" s="2" t="s">
        <v>39</v>
      </c>
      <c r="D3465" s="2">
        <v>251</v>
      </c>
    </row>
    <row r="3466" spans="1:4">
      <c r="A3466" s="2" t="s">
        <v>3967</v>
      </c>
      <c r="B3466" s="2" t="s">
        <v>36</v>
      </c>
      <c r="C3466" s="2" t="s">
        <v>39</v>
      </c>
      <c r="D3466" s="2">
        <v>250</v>
      </c>
    </row>
    <row r="3467" spans="1:4">
      <c r="A3467" s="2" t="s">
        <v>3075</v>
      </c>
      <c r="B3467" s="2" t="s">
        <v>36</v>
      </c>
      <c r="C3467" s="2" t="s">
        <v>39</v>
      </c>
      <c r="D3467" s="2">
        <v>250</v>
      </c>
    </row>
    <row r="3468" spans="1:4">
      <c r="A3468" s="2" t="s">
        <v>3088</v>
      </c>
      <c r="B3468" s="2" t="s">
        <v>36</v>
      </c>
      <c r="C3468" s="2" t="s">
        <v>39</v>
      </c>
      <c r="D3468" s="2">
        <v>249</v>
      </c>
    </row>
    <row r="3469" spans="1:4">
      <c r="A3469" s="2" t="s">
        <v>1987</v>
      </c>
      <c r="B3469" s="2" t="s">
        <v>36</v>
      </c>
      <c r="C3469" s="2" t="s">
        <v>39</v>
      </c>
      <c r="D3469" s="2">
        <v>249</v>
      </c>
    </row>
    <row r="3470" spans="1:4">
      <c r="A3470" s="2" t="s">
        <v>3489</v>
      </c>
      <c r="B3470" s="2" t="s">
        <v>36</v>
      </c>
      <c r="C3470" s="2" t="s">
        <v>39</v>
      </c>
      <c r="D3470" s="2">
        <v>248</v>
      </c>
    </row>
    <row r="3471" spans="1:4">
      <c r="A3471" s="2" t="s">
        <v>1971</v>
      </c>
      <c r="B3471" s="2" t="s">
        <v>36</v>
      </c>
      <c r="C3471" s="2" t="s">
        <v>39</v>
      </c>
      <c r="D3471" s="2">
        <v>247</v>
      </c>
    </row>
    <row r="3472" spans="1:4">
      <c r="A3472" s="2" t="s">
        <v>1688</v>
      </c>
      <c r="B3472" s="2" t="s">
        <v>36</v>
      </c>
      <c r="C3472" s="2" t="s">
        <v>39</v>
      </c>
      <c r="D3472" s="2">
        <v>246</v>
      </c>
    </row>
    <row r="3473" spans="1:4">
      <c r="A3473" s="2" t="s">
        <v>1181</v>
      </c>
      <c r="B3473" s="2" t="s">
        <v>36</v>
      </c>
      <c r="C3473" s="2" t="s">
        <v>39</v>
      </c>
      <c r="D3473" s="2">
        <v>245</v>
      </c>
    </row>
    <row r="3474" spans="1:4">
      <c r="A3474" s="2" t="s">
        <v>408</v>
      </c>
      <c r="B3474" s="2" t="s">
        <v>36</v>
      </c>
      <c r="C3474" s="2" t="s">
        <v>39</v>
      </c>
      <c r="D3474" s="2">
        <v>245</v>
      </c>
    </row>
    <row r="3475" spans="1:4">
      <c r="A3475" s="2" t="s">
        <v>4337</v>
      </c>
      <c r="B3475" s="2" t="s">
        <v>36</v>
      </c>
      <c r="C3475" s="2" t="s">
        <v>39</v>
      </c>
      <c r="D3475" s="2">
        <v>244</v>
      </c>
    </row>
    <row r="3476" spans="1:4">
      <c r="A3476" s="2" t="s">
        <v>1174</v>
      </c>
      <c r="B3476" s="2" t="s">
        <v>36</v>
      </c>
      <c r="C3476" s="2" t="s">
        <v>39</v>
      </c>
      <c r="D3476" s="2">
        <v>243</v>
      </c>
    </row>
    <row r="3477" spans="1:4">
      <c r="A3477" s="2" t="s">
        <v>3559</v>
      </c>
      <c r="B3477" s="2" t="s">
        <v>36</v>
      </c>
      <c r="C3477" s="2" t="s">
        <v>39</v>
      </c>
      <c r="D3477" s="2">
        <v>243</v>
      </c>
    </row>
    <row r="3478" spans="1:4">
      <c r="A3478" s="2" t="s">
        <v>1990</v>
      </c>
      <c r="B3478" s="2" t="s">
        <v>36</v>
      </c>
      <c r="C3478" s="2" t="s">
        <v>39</v>
      </c>
      <c r="D3478" s="2">
        <v>243</v>
      </c>
    </row>
    <row r="3479" spans="1:4">
      <c r="A3479" s="2" t="s">
        <v>1666</v>
      </c>
      <c r="B3479" s="2" t="s">
        <v>36</v>
      </c>
      <c r="C3479" s="2" t="s">
        <v>39</v>
      </c>
      <c r="D3479" s="2">
        <v>242</v>
      </c>
    </row>
    <row r="3480" spans="1:4">
      <c r="A3480" s="2" t="s">
        <v>396</v>
      </c>
      <c r="B3480" s="2" t="s">
        <v>36</v>
      </c>
      <c r="C3480" s="2" t="s">
        <v>39</v>
      </c>
      <c r="D3480" s="2">
        <v>242</v>
      </c>
    </row>
    <row r="3481" spans="1:4">
      <c r="A3481" s="2" t="s">
        <v>1221</v>
      </c>
      <c r="B3481" s="2" t="s">
        <v>36</v>
      </c>
      <c r="C3481" s="2" t="s">
        <v>39</v>
      </c>
      <c r="D3481" s="2">
        <v>242</v>
      </c>
    </row>
    <row r="3482" spans="1:4">
      <c r="A3482" s="2" t="s">
        <v>4287</v>
      </c>
      <c r="B3482" s="2" t="s">
        <v>36</v>
      </c>
      <c r="C3482" s="2" t="s">
        <v>39</v>
      </c>
      <c r="D3482" s="2">
        <v>239</v>
      </c>
    </row>
    <row r="3483" spans="1:4">
      <c r="A3483" s="2" t="s">
        <v>4303</v>
      </c>
      <c r="B3483" s="2" t="s">
        <v>36</v>
      </c>
      <c r="C3483" s="2" t="s">
        <v>39</v>
      </c>
      <c r="D3483" s="2">
        <v>238</v>
      </c>
    </row>
    <row r="3484" spans="1:4">
      <c r="A3484" s="2" t="s">
        <v>398</v>
      </c>
      <c r="B3484" s="2" t="s">
        <v>36</v>
      </c>
      <c r="C3484" s="2" t="s">
        <v>39</v>
      </c>
      <c r="D3484" s="2">
        <v>238</v>
      </c>
    </row>
    <row r="3485" spans="1:4">
      <c r="A3485" s="2" t="s">
        <v>4698</v>
      </c>
      <c r="B3485" s="2" t="s">
        <v>36</v>
      </c>
      <c r="C3485" s="2" t="s">
        <v>39</v>
      </c>
      <c r="D3485" s="2">
        <v>237</v>
      </c>
    </row>
    <row r="3486" spans="1:4">
      <c r="A3486" s="2" t="s">
        <v>1962</v>
      </c>
      <c r="B3486" s="2" t="s">
        <v>36</v>
      </c>
      <c r="C3486" s="2" t="s">
        <v>39</v>
      </c>
      <c r="D3486" s="2">
        <v>236</v>
      </c>
    </row>
    <row r="3487" spans="1:4">
      <c r="A3487" s="2" t="s">
        <v>3082</v>
      </c>
      <c r="B3487" s="2" t="s">
        <v>36</v>
      </c>
      <c r="C3487" s="2" t="s">
        <v>39</v>
      </c>
      <c r="D3487" s="2">
        <v>235</v>
      </c>
    </row>
    <row r="3488" spans="1:4">
      <c r="A3488" s="2" t="s">
        <v>4301</v>
      </c>
      <c r="B3488" s="2" t="s">
        <v>36</v>
      </c>
      <c r="C3488" s="2" t="s">
        <v>39</v>
      </c>
      <c r="D3488" s="2">
        <v>234</v>
      </c>
    </row>
    <row r="3489" spans="1:4">
      <c r="A3489" s="2" t="s">
        <v>388</v>
      </c>
      <c r="B3489" s="2" t="s">
        <v>36</v>
      </c>
      <c r="C3489" s="2" t="s">
        <v>39</v>
      </c>
      <c r="D3489" s="2">
        <v>234</v>
      </c>
    </row>
    <row r="3490" spans="1:4">
      <c r="A3490" s="2" t="s">
        <v>4306</v>
      </c>
      <c r="B3490" s="2" t="s">
        <v>36</v>
      </c>
      <c r="C3490" s="2" t="s">
        <v>39</v>
      </c>
      <c r="D3490" s="2">
        <v>234</v>
      </c>
    </row>
    <row r="3491" spans="1:4">
      <c r="A3491" s="2" t="s">
        <v>2631</v>
      </c>
      <c r="B3491" s="2" t="s">
        <v>36</v>
      </c>
      <c r="C3491" s="2" t="s">
        <v>39</v>
      </c>
      <c r="D3491" s="2">
        <v>233</v>
      </c>
    </row>
    <row r="3492" spans="1:4">
      <c r="A3492" s="2" t="s">
        <v>2616</v>
      </c>
      <c r="B3492" s="2" t="s">
        <v>36</v>
      </c>
      <c r="C3492" s="2" t="s">
        <v>39</v>
      </c>
      <c r="D3492" s="2">
        <v>232</v>
      </c>
    </row>
    <row r="3493" spans="1:4">
      <c r="A3493" s="2" t="s">
        <v>2049</v>
      </c>
      <c r="B3493" s="2" t="s">
        <v>36</v>
      </c>
      <c r="C3493" s="2" t="s">
        <v>39</v>
      </c>
      <c r="D3493" s="2">
        <v>231</v>
      </c>
    </row>
    <row r="3494" spans="1:4">
      <c r="A3494" s="2" t="s">
        <v>1193</v>
      </c>
      <c r="B3494" s="2" t="s">
        <v>36</v>
      </c>
      <c r="C3494" s="2" t="s">
        <v>39</v>
      </c>
      <c r="D3494" s="2">
        <v>231</v>
      </c>
    </row>
    <row r="3495" spans="1:4">
      <c r="A3495" s="2" t="s">
        <v>1687</v>
      </c>
      <c r="B3495" s="2" t="s">
        <v>36</v>
      </c>
      <c r="C3495" s="2" t="s">
        <v>39</v>
      </c>
      <c r="D3495" s="2">
        <v>230</v>
      </c>
    </row>
    <row r="3496" spans="1:4">
      <c r="A3496" s="2" t="s">
        <v>3047</v>
      </c>
      <c r="B3496" s="2" t="s">
        <v>36</v>
      </c>
      <c r="C3496" s="2" t="s">
        <v>39</v>
      </c>
      <c r="D3496" s="2">
        <v>229</v>
      </c>
    </row>
    <row r="3497" spans="1:4">
      <c r="A3497" s="2" t="s">
        <v>1172</v>
      </c>
      <c r="B3497" s="2" t="s">
        <v>36</v>
      </c>
      <c r="C3497" s="2" t="s">
        <v>39</v>
      </c>
      <c r="D3497" s="2">
        <v>229</v>
      </c>
    </row>
    <row r="3498" spans="1:4">
      <c r="A3498" s="2" t="s">
        <v>1681</v>
      </c>
      <c r="B3498" s="2" t="s">
        <v>36</v>
      </c>
      <c r="C3498" s="2" t="s">
        <v>39</v>
      </c>
      <c r="D3498" s="2">
        <v>229</v>
      </c>
    </row>
    <row r="3499" spans="1:4">
      <c r="A3499" s="2" t="s">
        <v>420</v>
      </c>
      <c r="B3499" s="2" t="s">
        <v>36</v>
      </c>
      <c r="C3499" s="2" t="s">
        <v>39</v>
      </c>
      <c r="D3499" s="2">
        <v>229</v>
      </c>
    </row>
    <row r="3500" spans="1:4">
      <c r="A3500" s="2" t="s">
        <v>1218</v>
      </c>
      <c r="B3500" s="2" t="s">
        <v>36</v>
      </c>
      <c r="C3500" s="2" t="s">
        <v>39</v>
      </c>
      <c r="D3500" s="2">
        <v>228</v>
      </c>
    </row>
    <row r="3501" spans="1:4">
      <c r="A3501" s="2" t="s">
        <v>3549</v>
      </c>
      <c r="B3501" s="2" t="s">
        <v>36</v>
      </c>
      <c r="C3501" s="2" t="s">
        <v>39</v>
      </c>
      <c r="D3501" s="2">
        <v>224</v>
      </c>
    </row>
    <row r="3502" spans="1:4">
      <c r="A3502" s="2" t="s">
        <v>1656</v>
      </c>
      <c r="B3502" s="2" t="s">
        <v>36</v>
      </c>
      <c r="C3502" s="2" t="s">
        <v>39</v>
      </c>
      <c r="D3502" s="2">
        <v>224</v>
      </c>
    </row>
    <row r="3503" spans="1:4">
      <c r="A3503" s="2" t="s">
        <v>3579</v>
      </c>
      <c r="B3503" s="2" t="s">
        <v>36</v>
      </c>
      <c r="C3503" s="2" t="s">
        <v>39</v>
      </c>
      <c r="D3503" s="2">
        <v>223</v>
      </c>
    </row>
    <row r="3504" spans="1:4">
      <c r="A3504" s="2" t="s">
        <v>3060</v>
      </c>
      <c r="B3504" s="2" t="s">
        <v>36</v>
      </c>
      <c r="C3504" s="2" t="s">
        <v>39</v>
      </c>
      <c r="D3504" s="2">
        <v>221</v>
      </c>
    </row>
    <row r="3505" spans="1:4">
      <c r="A3505" s="2" t="s">
        <v>1219</v>
      </c>
      <c r="B3505" s="2" t="s">
        <v>36</v>
      </c>
      <c r="C3505" s="2" t="s">
        <v>39</v>
      </c>
      <c r="D3505" s="2">
        <v>220</v>
      </c>
    </row>
    <row r="3506" spans="1:4">
      <c r="A3506" s="2" t="s">
        <v>94</v>
      </c>
      <c r="B3506" s="2" t="s">
        <v>36</v>
      </c>
      <c r="C3506" s="2" t="s">
        <v>39</v>
      </c>
      <c r="D3506" s="2">
        <v>220</v>
      </c>
    </row>
    <row r="3507" spans="1:4">
      <c r="A3507" s="2" t="s">
        <v>394</v>
      </c>
      <c r="B3507" s="2" t="s">
        <v>36</v>
      </c>
      <c r="C3507" s="2" t="s">
        <v>39</v>
      </c>
      <c r="D3507" s="2">
        <v>219</v>
      </c>
    </row>
    <row r="3508" spans="1:4">
      <c r="A3508" s="2" t="s">
        <v>4305</v>
      </c>
      <c r="B3508" s="2" t="s">
        <v>36</v>
      </c>
      <c r="C3508" s="2" t="s">
        <v>39</v>
      </c>
      <c r="D3508" s="2">
        <v>217</v>
      </c>
    </row>
    <row r="3509" spans="1:4">
      <c r="A3509" s="2" t="s">
        <v>1973</v>
      </c>
      <c r="B3509" s="2" t="s">
        <v>36</v>
      </c>
      <c r="C3509" s="2" t="s">
        <v>39</v>
      </c>
      <c r="D3509" s="2">
        <v>216</v>
      </c>
    </row>
    <row r="3510" spans="1:4">
      <c r="A3510" s="2" t="s">
        <v>2611</v>
      </c>
      <c r="B3510" s="2" t="s">
        <v>36</v>
      </c>
      <c r="C3510" s="2" t="s">
        <v>39</v>
      </c>
      <c r="D3510" s="2">
        <v>216</v>
      </c>
    </row>
    <row r="3511" spans="1:4">
      <c r="A3511" s="2" t="s">
        <v>1201</v>
      </c>
      <c r="B3511" s="2" t="s">
        <v>36</v>
      </c>
      <c r="C3511" s="2" t="s">
        <v>39</v>
      </c>
      <c r="D3511" s="2">
        <v>215</v>
      </c>
    </row>
    <row r="3512" spans="1:4">
      <c r="A3512" s="2" t="s">
        <v>1650</v>
      </c>
      <c r="B3512" s="2" t="s">
        <v>36</v>
      </c>
      <c r="C3512" s="2" t="s">
        <v>39</v>
      </c>
      <c r="D3512" s="2">
        <v>215</v>
      </c>
    </row>
    <row r="3513" spans="1:4">
      <c r="A3513" s="2" t="s">
        <v>4642</v>
      </c>
      <c r="B3513" s="2" t="s">
        <v>36</v>
      </c>
      <c r="C3513" s="2" t="s">
        <v>39</v>
      </c>
      <c r="D3513" s="2">
        <v>214</v>
      </c>
    </row>
    <row r="3514" spans="1:4">
      <c r="A3514" s="2" t="s">
        <v>3107</v>
      </c>
      <c r="B3514" s="2" t="s">
        <v>36</v>
      </c>
      <c r="C3514" s="2" t="s">
        <v>39</v>
      </c>
      <c r="D3514" s="2">
        <v>214</v>
      </c>
    </row>
    <row r="3515" spans="1:4">
      <c r="A3515" s="2" t="s">
        <v>2604</v>
      </c>
      <c r="B3515" s="2" t="s">
        <v>36</v>
      </c>
      <c r="C3515" s="2" t="s">
        <v>39</v>
      </c>
      <c r="D3515" s="2">
        <v>213</v>
      </c>
    </row>
    <row r="3516" spans="1:4">
      <c r="A3516" s="2" t="s">
        <v>357</v>
      </c>
      <c r="B3516" s="2" t="s">
        <v>36</v>
      </c>
      <c r="C3516" s="2" t="s">
        <v>39</v>
      </c>
      <c r="D3516" s="2">
        <v>212</v>
      </c>
    </row>
    <row r="3517" spans="1:4">
      <c r="A3517" s="2" t="s">
        <v>3112</v>
      </c>
      <c r="B3517" s="2" t="s">
        <v>36</v>
      </c>
      <c r="C3517" s="2" t="s">
        <v>39</v>
      </c>
      <c r="D3517" s="2">
        <v>212</v>
      </c>
    </row>
    <row r="3518" spans="1:4">
      <c r="A3518" s="2" t="s">
        <v>4308</v>
      </c>
      <c r="B3518" s="2" t="s">
        <v>36</v>
      </c>
      <c r="C3518" s="2" t="s">
        <v>39</v>
      </c>
      <c r="D3518" s="2">
        <v>212</v>
      </c>
    </row>
    <row r="3519" spans="1:4">
      <c r="A3519" s="2" t="s">
        <v>4316</v>
      </c>
      <c r="B3519" s="2" t="s">
        <v>36</v>
      </c>
      <c r="C3519" s="2" t="s">
        <v>39</v>
      </c>
      <c r="D3519" s="2">
        <v>209</v>
      </c>
    </row>
    <row r="3520" spans="1:4">
      <c r="A3520" s="2" t="s">
        <v>4318</v>
      </c>
      <c r="B3520" s="2" t="s">
        <v>36</v>
      </c>
      <c r="C3520" s="2" t="s">
        <v>39</v>
      </c>
      <c r="D3520" s="2">
        <v>209</v>
      </c>
    </row>
    <row r="3521" spans="1:4">
      <c r="A3521" s="2" t="s">
        <v>4691</v>
      </c>
      <c r="B3521" s="2" t="s">
        <v>36</v>
      </c>
      <c r="C3521" s="2" t="s">
        <v>39</v>
      </c>
      <c r="D3521" s="2">
        <v>207</v>
      </c>
    </row>
    <row r="3522" spans="1:4">
      <c r="A3522" s="2" t="s">
        <v>2629</v>
      </c>
      <c r="B3522" s="2" t="s">
        <v>36</v>
      </c>
      <c r="C3522" s="2" t="s">
        <v>39</v>
      </c>
      <c r="D3522" s="2">
        <v>207</v>
      </c>
    </row>
    <row r="3523" spans="1:4">
      <c r="A3523" s="2" t="s">
        <v>4290</v>
      </c>
      <c r="B3523" s="2" t="s">
        <v>36</v>
      </c>
      <c r="C3523" s="2" t="s">
        <v>39</v>
      </c>
      <c r="D3523" s="2">
        <v>206</v>
      </c>
    </row>
    <row r="3524" spans="1:4">
      <c r="A3524" s="2" t="s">
        <v>4317</v>
      </c>
      <c r="B3524" s="2" t="s">
        <v>36</v>
      </c>
      <c r="C3524" s="2" t="s">
        <v>39</v>
      </c>
      <c r="D3524" s="2">
        <v>205</v>
      </c>
    </row>
    <row r="3525" spans="1:4">
      <c r="A3525" s="2" t="s">
        <v>2000</v>
      </c>
      <c r="B3525" s="2" t="s">
        <v>36</v>
      </c>
      <c r="C3525" s="2" t="s">
        <v>39</v>
      </c>
      <c r="D3525" s="2">
        <v>205</v>
      </c>
    </row>
    <row r="3526" spans="1:4">
      <c r="A3526" s="2" t="s">
        <v>372</v>
      </c>
      <c r="B3526" s="2" t="s">
        <v>36</v>
      </c>
      <c r="C3526" s="2" t="s">
        <v>39</v>
      </c>
      <c r="D3526" s="2">
        <v>204</v>
      </c>
    </row>
    <row r="3527" spans="1:4">
      <c r="A3527" s="2" t="s">
        <v>55</v>
      </c>
      <c r="B3527" s="2" t="s">
        <v>36</v>
      </c>
      <c r="C3527" s="2" t="s">
        <v>39</v>
      </c>
      <c r="D3527" s="2">
        <v>203</v>
      </c>
    </row>
    <row r="3528" spans="1:4">
      <c r="A3528" s="2" t="s">
        <v>3097</v>
      </c>
      <c r="B3528" s="2" t="s">
        <v>36</v>
      </c>
      <c r="C3528" s="2" t="s">
        <v>39</v>
      </c>
      <c r="D3528" s="2">
        <v>202</v>
      </c>
    </row>
    <row r="3529" spans="1:4">
      <c r="A3529" s="2" t="s">
        <v>2068</v>
      </c>
      <c r="B3529" s="2" t="s">
        <v>36</v>
      </c>
      <c r="C3529" s="2" t="s">
        <v>39</v>
      </c>
      <c r="D3529" s="2">
        <v>201</v>
      </c>
    </row>
    <row r="3530" spans="1:4">
      <c r="A3530" s="2" t="s">
        <v>3586</v>
      </c>
      <c r="B3530" s="2" t="s">
        <v>36</v>
      </c>
      <c r="C3530" s="2" t="s">
        <v>39</v>
      </c>
      <c r="D3530" s="2">
        <v>201</v>
      </c>
    </row>
    <row r="3531" spans="1:4">
      <c r="A3531" s="2" t="s">
        <v>2572</v>
      </c>
      <c r="B3531" s="2" t="s">
        <v>36</v>
      </c>
      <c r="C3531" s="2" t="s">
        <v>39</v>
      </c>
      <c r="D3531" s="2">
        <v>200</v>
      </c>
    </row>
    <row r="3532" spans="1:4">
      <c r="A3532" s="2" t="s">
        <v>426</v>
      </c>
      <c r="B3532" s="2" t="s">
        <v>36</v>
      </c>
      <c r="C3532" s="2" t="s">
        <v>39</v>
      </c>
      <c r="D3532" s="2">
        <v>199</v>
      </c>
    </row>
    <row r="3533" spans="1:4">
      <c r="A3533" s="2" t="s">
        <v>2628</v>
      </c>
      <c r="B3533" s="2" t="s">
        <v>36</v>
      </c>
      <c r="C3533" s="2" t="s">
        <v>39</v>
      </c>
      <c r="D3533" s="2">
        <v>198</v>
      </c>
    </row>
    <row r="3534" spans="1:4">
      <c r="A3534" s="2" t="s">
        <v>2050</v>
      </c>
      <c r="B3534" s="2" t="s">
        <v>36</v>
      </c>
      <c r="C3534" s="2" t="s">
        <v>39</v>
      </c>
      <c r="D3534" s="2">
        <v>197</v>
      </c>
    </row>
    <row r="3535" spans="1:4">
      <c r="A3535" s="2" t="s">
        <v>4668</v>
      </c>
      <c r="B3535" s="2" t="s">
        <v>36</v>
      </c>
      <c r="C3535" s="2" t="s">
        <v>39</v>
      </c>
      <c r="D3535" s="2">
        <v>197</v>
      </c>
    </row>
    <row r="3536" spans="1:4">
      <c r="A3536" s="2" t="s">
        <v>3573</v>
      </c>
      <c r="B3536" s="2" t="s">
        <v>36</v>
      </c>
      <c r="C3536" s="2" t="s">
        <v>39</v>
      </c>
      <c r="D3536" s="2">
        <v>196</v>
      </c>
    </row>
    <row r="3537" spans="1:4">
      <c r="A3537" s="2" t="s">
        <v>2586</v>
      </c>
      <c r="B3537" s="2" t="s">
        <v>36</v>
      </c>
      <c r="C3537" s="2" t="s">
        <v>39</v>
      </c>
      <c r="D3537" s="2">
        <v>194</v>
      </c>
    </row>
    <row r="3538" spans="1:4">
      <c r="A3538" s="2" t="s">
        <v>1619</v>
      </c>
      <c r="B3538" s="2" t="s">
        <v>36</v>
      </c>
      <c r="C3538" s="2" t="s">
        <v>39</v>
      </c>
      <c r="D3538" s="2">
        <v>194</v>
      </c>
    </row>
    <row r="3539" spans="1:4">
      <c r="A3539" s="2" t="s">
        <v>294</v>
      </c>
      <c r="B3539" s="2" t="s">
        <v>36</v>
      </c>
      <c r="C3539" s="2" t="s">
        <v>39</v>
      </c>
      <c r="D3539" s="2">
        <v>192</v>
      </c>
    </row>
    <row r="3540" spans="1:4">
      <c r="A3540" s="2" t="s">
        <v>3035</v>
      </c>
      <c r="B3540" s="2" t="s">
        <v>36</v>
      </c>
      <c r="C3540" s="2" t="s">
        <v>39</v>
      </c>
      <c r="D3540" s="2">
        <v>191</v>
      </c>
    </row>
    <row r="3541" spans="1:4">
      <c r="A3541" s="2" t="s">
        <v>2608</v>
      </c>
      <c r="B3541" s="2" t="s">
        <v>36</v>
      </c>
      <c r="C3541" s="2" t="s">
        <v>39</v>
      </c>
      <c r="D3541" s="2">
        <v>191</v>
      </c>
    </row>
    <row r="3542" spans="1:4">
      <c r="A3542" s="2" t="s">
        <v>3092</v>
      </c>
      <c r="B3542" s="2" t="s">
        <v>36</v>
      </c>
      <c r="C3542" s="2" t="s">
        <v>39</v>
      </c>
      <c r="D3542" s="2">
        <v>190</v>
      </c>
    </row>
    <row r="3543" spans="1:4">
      <c r="A3543" s="2" t="s">
        <v>1212</v>
      </c>
      <c r="B3543" s="2" t="s">
        <v>36</v>
      </c>
      <c r="C3543" s="2" t="s">
        <v>39</v>
      </c>
      <c r="D3543" s="2">
        <v>190</v>
      </c>
    </row>
    <row r="3544" spans="1:4">
      <c r="A3544" s="2" t="s">
        <v>3109</v>
      </c>
      <c r="B3544" s="2" t="s">
        <v>36</v>
      </c>
      <c r="C3544" s="2" t="s">
        <v>39</v>
      </c>
      <c r="D3544" s="2">
        <v>190</v>
      </c>
    </row>
    <row r="3545" spans="1:4">
      <c r="A3545" s="2" t="s">
        <v>2085</v>
      </c>
      <c r="B3545" s="2" t="s">
        <v>36</v>
      </c>
      <c r="C3545" s="2" t="s">
        <v>39</v>
      </c>
      <c r="D3545" s="2">
        <v>189</v>
      </c>
    </row>
    <row r="3546" spans="1:4">
      <c r="A3546" s="2" t="s">
        <v>2027</v>
      </c>
      <c r="B3546" s="2" t="s">
        <v>36</v>
      </c>
      <c r="C3546" s="2" t="s">
        <v>39</v>
      </c>
      <c r="D3546" s="2">
        <v>189</v>
      </c>
    </row>
    <row r="3547" spans="1:4">
      <c r="A3547" s="2" t="s">
        <v>2004</v>
      </c>
      <c r="B3547" s="2" t="s">
        <v>36</v>
      </c>
      <c r="C3547" s="2" t="s">
        <v>39</v>
      </c>
      <c r="D3547" s="2">
        <v>188</v>
      </c>
    </row>
    <row r="3548" spans="1:4">
      <c r="A3548" s="2" t="s">
        <v>3994</v>
      </c>
      <c r="B3548" s="2" t="s">
        <v>36</v>
      </c>
      <c r="C3548" s="2" t="s">
        <v>39</v>
      </c>
      <c r="D3548" s="2">
        <v>187</v>
      </c>
    </row>
    <row r="3549" spans="1:4">
      <c r="A3549" s="2" t="s">
        <v>3999</v>
      </c>
      <c r="B3549" s="2" t="s">
        <v>36</v>
      </c>
      <c r="C3549" s="2" t="s">
        <v>39</v>
      </c>
      <c r="D3549" s="2">
        <v>187</v>
      </c>
    </row>
    <row r="3550" spans="1:4">
      <c r="A3550" s="2" t="s">
        <v>1207</v>
      </c>
      <c r="B3550" s="2" t="s">
        <v>36</v>
      </c>
      <c r="C3550" s="2" t="s">
        <v>39</v>
      </c>
      <c r="D3550" s="2">
        <v>186</v>
      </c>
    </row>
    <row r="3551" spans="1:4">
      <c r="A3551" s="2" t="s">
        <v>3584</v>
      </c>
      <c r="B3551" s="2" t="s">
        <v>36</v>
      </c>
      <c r="C3551" s="2" t="s">
        <v>39</v>
      </c>
      <c r="D3551" s="2">
        <v>185</v>
      </c>
    </row>
    <row r="3552" spans="1:4">
      <c r="A3552" s="2" t="s">
        <v>2600</v>
      </c>
      <c r="B3552" s="2" t="s">
        <v>36</v>
      </c>
      <c r="C3552" s="2" t="s">
        <v>39</v>
      </c>
      <c r="D3552" s="2">
        <v>184</v>
      </c>
    </row>
    <row r="3553" spans="1:4">
      <c r="A3553" s="2" t="s">
        <v>2044</v>
      </c>
      <c r="B3553" s="2" t="s">
        <v>36</v>
      </c>
      <c r="C3553" s="2" t="s">
        <v>39</v>
      </c>
      <c r="D3553" s="2">
        <v>183</v>
      </c>
    </row>
    <row r="3554" spans="1:4">
      <c r="A3554" s="2" t="s">
        <v>1210</v>
      </c>
      <c r="B3554" s="2" t="s">
        <v>36</v>
      </c>
      <c r="C3554" s="2" t="s">
        <v>39</v>
      </c>
      <c r="D3554" s="2">
        <v>180</v>
      </c>
    </row>
    <row r="3555" spans="1:4">
      <c r="A3555" s="2" t="s">
        <v>3932</v>
      </c>
      <c r="B3555" s="2" t="s">
        <v>36</v>
      </c>
      <c r="C3555" s="2" t="s">
        <v>39</v>
      </c>
      <c r="D3555" s="2">
        <v>178</v>
      </c>
    </row>
    <row r="3556" spans="1:4">
      <c r="A3556" s="2" t="s">
        <v>1680</v>
      </c>
      <c r="B3556" s="2" t="s">
        <v>36</v>
      </c>
      <c r="C3556" s="2" t="s">
        <v>39</v>
      </c>
      <c r="D3556" s="2">
        <v>178</v>
      </c>
    </row>
    <row r="3557" spans="1:4">
      <c r="A3557" s="2" t="s">
        <v>2039</v>
      </c>
      <c r="B3557" s="2" t="s">
        <v>36</v>
      </c>
      <c r="C3557" s="2" t="s">
        <v>39</v>
      </c>
      <c r="D3557" s="2">
        <v>177</v>
      </c>
    </row>
    <row r="3558" spans="1:4">
      <c r="A3558" s="2" t="s">
        <v>3062</v>
      </c>
      <c r="B3558" s="2" t="s">
        <v>36</v>
      </c>
      <c r="C3558" s="2" t="s">
        <v>39</v>
      </c>
      <c r="D3558" s="2">
        <v>176</v>
      </c>
    </row>
    <row r="3559" spans="1:4">
      <c r="A3559" s="2" t="s">
        <v>3099</v>
      </c>
      <c r="B3559" s="2" t="s">
        <v>36</v>
      </c>
      <c r="C3559" s="2" t="s">
        <v>39</v>
      </c>
      <c r="D3559" s="2">
        <v>176</v>
      </c>
    </row>
    <row r="3560" spans="1:4">
      <c r="A3560" s="2" t="s">
        <v>1192</v>
      </c>
      <c r="B3560" s="2" t="s">
        <v>36</v>
      </c>
      <c r="C3560" s="2" t="s">
        <v>39</v>
      </c>
      <c r="D3560" s="2">
        <v>176</v>
      </c>
    </row>
    <row r="3561" spans="1:4">
      <c r="A3561" s="2" t="s">
        <v>2606</v>
      </c>
      <c r="B3561" s="2" t="s">
        <v>36</v>
      </c>
      <c r="C3561" s="2" t="s">
        <v>39</v>
      </c>
      <c r="D3561" s="2">
        <v>176</v>
      </c>
    </row>
    <row r="3562" spans="1:4">
      <c r="A3562" s="2" t="s">
        <v>4338</v>
      </c>
      <c r="B3562" s="2" t="s">
        <v>36</v>
      </c>
      <c r="C3562" s="2" t="s">
        <v>39</v>
      </c>
      <c r="D3562" s="2">
        <v>176</v>
      </c>
    </row>
    <row r="3563" spans="1:4">
      <c r="A3563" s="2" t="s">
        <v>2083</v>
      </c>
      <c r="B3563" s="2" t="s">
        <v>36</v>
      </c>
      <c r="C3563" s="2" t="s">
        <v>39</v>
      </c>
      <c r="D3563" s="2">
        <v>171</v>
      </c>
    </row>
    <row r="3564" spans="1:4">
      <c r="A3564" s="2" t="s">
        <v>3500</v>
      </c>
      <c r="B3564" s="2" t="s">
        <v>36</v>
      </c>
      <c r="C3564" s="2" t="s">
        <v>39</v>
      </c>
      <c r="D3564" s="2">
        <v>171</v>
      </c>
    </row>
    <row r="3565" spans="1:4">
      <c r="A3565" s="2" t="s">
        <v>1663</v>
      </c>
      <c r="B3565" s="2" t="s">
        <v>36</v>
      </c>
      <c r="C3565" s="2" t="s">
        <v>39</v>
      </c>
      <c r="D3565" s="2">
        <v>170</v>
      </c>
    </row>
    <row r="3566" spans="1:4">
      <c r="A3566" s="2" t="s">
        <v>3942</v>
      </c>
      <c r="B3566" s="2" t="s">
        <v>36</v>
      </c>
      <c r="C3566" s="2" t="s">
        <v>39</v>
      </c>
      <c r="D3566" s="2">
        <v>170</v>
      </c>
    </row>
    <row r="3567" spans="1:4">
      <c r="A3567" s="2" t="s">
        <v>3098</v>
      </c>
      <c r="B3567" s="2" t="s">
        <v>36</v>
      </c>
      <c r="C3567" s="2" t="s">
        <v>39</v>
      </c>
      <c r="D3567" s="2">
        <v>169</v>
      </c>
    </row>
    <row r="3568" spans="1:4">
      <c r="A3568" s="2" t="s">
        <v>2626</v>
      </c>
      <c r="B3568" s="2" t="s">
        <v>36</v>
      </c>
      <c r="C3568" s="2" t="s">
        <v>39</v>
      </c>
      <c r="D3568" s="2">
        <v>169</v>
      </c>
    </row>
    <row r="3569" spans="1:4">
      <c r="A3569" s="2" t="s">
        <v>1189</v>
      </c>
      <c r="B3569" s="2" t="s">
        <v>36</v>
      </c>
      <c r="C3569" s="2" t="s">
        <v>39</v>
      </c>
      <c r="D3569" s="2">
        <v>168</v>
      </c>
    </row>
    <row r="3570" spans="1:4">
      <c r="A3570" s="2" t="s">
        <v>1176</v>
      </c>
      <c r="B3570" s="2" t="s">
        <v>36</v>
      </c>
      <c r="C3570" s="2" t="s">
        <v>39</v>
      </c>
      <c r="D3570" s="2">
        <v>167</v>
      </c>
    </row>
    <row r="3571" spans="1:4">
      <c r="A3571" s="2" t="s">
        <v>2024</v>
      </c>
      <c r="B3571" s="2" t="s">
        <v>36</v>
      </c>
      <c r="C3571" s="2" t="s">
        <v>39</v>
      </c>
      <c r="D3571" s="2">
        <v>167</v>
      </c>
    </row>
    <row r="3572" spans="1:4">
      <c r="A3572" s="2" t="s">
        <v>4326</v>
      </c>
      <c r="B3572" s="2" t="s">
        <v>36</v>
      </c>
      <c r="C3572" s="2" t="s">
        <v>39</v>
      </c>
      <c r="D3572" s="2">
        <v>166</v>
      </c>
    </row>
    <row r="3573" spans="1:4">
      <c r="A3573" s="2" t="s">
        <v>3073</v>
      </c>
      <c r="B3573" s="2" t="s">
        <v>36</v>
      </c>
      <c r="C3573" s="2" t="s">
        <v>39</v>
      </c>
      <c r="D3573" s="2">
        <v>165</v>
      </c>
    </row>
    <row r="3574" spans="1:4">
      <c r="A3574" s="2" t="s">
        <v>2648</v>
      </c>
      <c r="B3574" s="2" t="s">
        <v>36</v>
      </c>
      <c r="C3574" s="2" t="s">
        <v>39</v>
      </c>
      <c r="D3574" s="2">
        <v>165</v>
      </c>
    </row>
    <row r="3575" spans="1:4">
      <c r="A3575" s="2" t="s">
        <v>3948</v>
      </c>
      <c r="B3575" s="2" t="s">
        <v>36</v>
      </c>
      <c r="C3575" s="2" t="s">
        <v>39</v>
      </c>
      <c r="D3575" s="2">
        <v>165</v>
      </c>
    </row>
    <row r="3576" spans="1:4">
      <c r="A3576" s="2" t="s">
        <v>4297</v>
      </c>
      <c r="B3576" s="2" t="s">
        <v>36</v>
      </c>
      <c r="C3576" s="2" t="s">
        <v>39</v>
      </c>
      <c r="D3576" s="2">
        <v>164</v>
      </c>
    </row>
    <row r="3577" spans="1:4">
      <c r="A3577" s="2" t="s">
        <v>3494</v>
      </c>
      <c r="B3577" s="2" t="s">
        <v>36</v>
      </c>
      <c r="C3577" s="2" t="s">
        <v>39</v>
      </c>
      <c r="D3577" s="2">
        <v>164</v>
      </c>
    </row>
    <row r="3578" spans="1:4">
      <c r="A3578" s="2" t="s">
        <v>3049</v>
      </c>
      <c r="B3578" s="2" t="s">
        <v>36</v>
      </c>
      <c r="C3578" s="2" t="s">
        <v>39</v>
      </c>
      <c r="D3578" s="2">
        <v>163</v>
      </c>
    </row>
    <row r="3579" spans="1:4">
      <c r="A3579" s="2" t="s">
        <v>2622</v>
      </c>
      <c r="B3579" s="2" t="s">
        <v>36</v>
      </c>
      <c r="C3579" s="2" t="s">
        <v>39</v>
      </c>
      <c r="D3579" s="2">
        <v>162</v>
      </c>
    </row>
    <row r="3580" spans="1:4">
      <c r="A3580" s="2" t="s">
        <v>3555</v>
      </c>
      <c r="B3580" s="2" t="s">
        <v>36</v>
      </c>
      <c r="C3580" s="2" t="s">
        <v>39</v>
      </c>
      <c r="D3580" s="2">
        <v>161</v>
      </c>
    </row>
    <row r="3581" spans="1:4">
      <c r="A3581" s="2" t="s">
        <v>3505</v>
      </c>
      <c r="B3581" s="2" t="s">
        <v>36</v>
      </c>
      <c r="C3581" s="2" t="s">
        <v>39</v>
      </c>
      <c r="D3581" s="2">
        <v>160</v>
      </c>
    </row>
    <row r="3582" spans="1:4">
      <c r="A3582" s="2" t="s">
        <v>3493</v>
      </c>
      <c r="B3582" s="2" t="s">
        <v>36</v>
      </c>
      <c r="C3582" s="2" t="s">
        <v>39</v>
      </c>
      <c r="D3582" s="2">
        <v>160</v>
      </c>
    </row>
    <row r="3583" spans="1:4">
      <c r="A3583" s="2" t="s">
        <v>2055</v>
      </c>
      <c r="B3583" s="2" t="s">
        <v>36</v>
      </c>
      <c r="C3583" s="2" t="s">
        <v>39</v>
      </c>
      <c r="D3583" s="2">
        <v>160</v>
      </c>
    </row>
    <row r="3584" spans="1:4">
      <c r="A3584" s="2" t="s">
        <v>1196</v>
      </c>
      <c r="B3584" s="2" t="s">
        <v>36</v>
      </c>
      <c r="C3584" s="2" t="s">
        <v>39</v>
      </c>
      <c r="D3584" s="2">
        <v>160</v>
      </c>
    </row>
    <row r="3585" spans="1:4">
      <c r="A3585" s="2" t="s">
        <v>4335</v>
      </c>
      <c r="B3585" s="2" t="s">
        <v>36</v>
      </c>
      <c r="C3585" s="2" t="s">
        <v>39</v>
      </c>
      <c r="D3585" s="2">
        <v>159</v>
      </c>
    </row>
    <row r="3586" spans="1:4">
      <c r="A3586" s="2" t="s">
        <v>3031</v>
      </c>
      <c r="B3586" s="2" t="s">
        <v>36</v>
      </c>
      <c r="C3586" s="2" t="s">
        <v>39</v>
      </c>
      <c r="D3586" s="2">
        <v>158</v>
      </c>
    </row>
    <row r="3587" spans="1:4">
      <c r="A3587" s="2" t="s">
        <v>4341</v>
      </c>
      <c r="B3587" s="2" t="s">
        <v>36</v>
      </c>
      <c r="C3587" s="2" t="s">
        <v>39</v>
      </c>
      <c r="D3587" s="2">
        <v>156</v>
      </c>
    </row>
    <row r="3588" spans="1:4">
      <c r="A3588" s="2" t="s">
        <v>4330</v>
      </c>
      <c r="B3588" s="2" t="s">
        <v>36</v>
      </c>
      <c r="C3588" s="2" t="s">
        <v>39</v>
      </c>
      <c r="D3588" s="2">
        <v>155</v>
      </c>
    </row>
    <row r="3589" spans="1:4">
      <c r="A3589" s="2" t="s">
        <v>3562</v>
      </c>
      <c r="B3589" s="2" t="s">
        <v>36</v>
      </c>
      <c r="C3589" s="2" t="s">
        <v>39</v>
      </c>
      <c r="D3589" s="2">
        <v>155</v>
      </c>
    </row>
    <row r="3590" spans="1:4">
      <c r="A3590" s="2" t="s">
        <v>2613</v>
      </c>
      <c r="B3590" s="2" t="s">
        <v>36</v>
      </c>
      <c r="C3590" s="2" t="s">
        <v>39</v>
      </c>
      <c r="D3590" s="2">
        <v>154</v>
      </c>
    </row>
    <row r="3591" spans="1:4">
      <c r="A3591" s="2" t="s">
        <v>2624</v>
      </c>
      <c r="B3591" s="2" t="s">
        <v>36</v>
      </c>
      <c r="C3591" s="2" t="s">
        <v>39</v>
      </c>
      <c r="D3591" s="2">
        <v>154</v>
      </c>
    </row>
    <row r="3592" spans="1:4">
      <c r="A3592" s="2" t="s">
        <v>1664</v>
      </c>
      <c r="B3592" s="2" t="s">
        <v>36</v>
      </c>
      <c r="C3592" s="2" t="s">
        <v>39</v>
      </c>
      <c r="D3592" s="2">
        <v>153</v>
      </c>
    </row>
    <row r="3593" spans="1:4">
      <c r="A3593" s="2" t="s">
        <v>2021</v>
      </c>
      <c r="B3593" s="2" t="s">
        <v>36</v>
      </c>
      <c r="C3593" s="2" t="s">
        <v>39</v>
      </c>
      <c r="D3593" s="2">
        <v>152</v>
      </c>
    </row>
    <row r="3594" spans="1:4">
      <c r="A3594" s="2" t="s">
        <v>1217</v>
      </c>
      <c r="B3594" s="2" t="s">
        <v>36</v>
      </c>
      <c r="C3594" s="2" t="s">
        <v>39</v>
      </c>
      <c r="D3594" s="2">
        <v>151</v>
      </c>
    </row>
    <row r="3595" spans="1:4">
      <c r="A3595" s="2" t="s">
        <v>4703</v>
      </c>
      <c r="B3595" s="2" t="s">
        <v>36</v>
      </c>
      <c r="C3595" s="2" t="s">
        <v>39</v>
      </c>
      <c r="D3595" s="2">
        <v>149</v>
      </c>
    </row>
    <row r="3596" spans="1:4">
      <c r="A3596" s="2" t="s">
        <v>3055</v>
      </c>
      <c r="B3596" s="2" t="s">
        <v>36</v>
      </c>
      <c r="C3596" s="2" t="s">
        <v>39</v>
      </c>
      <c r="D3596" s="2">
        <v>149</v>
      </c>
    </row>
    <row r="3597" spans="1:4">
      <c r="A3597" s="2" t="s">
        <v>4334</v>
      </c>
      <c r="B3597" s="2" t="s">
        <v>36</v>
      </c>
      <c r="C3597" s="2" t="s">
        <v>39</v>
      </c>
      <c r="D3597" s="2">
        <v>147</v>
      </c>
    </row>
    <row r="3598" spans="1:4">
      <c r="A3598" s="2" t="s">
        <v>2592</v>
      </c>
      <c r="B3598" s="2" t="s">
        <v>36</v>
      </c>
      <c r="C3598" s="2" t="s">
        <v>39</v>
      </c>
      <c r="D3598" s="2">
        <v>146</v>
      </c>
    </row>
    <row r="3599" spans="1:4">
      <c r="A3599" s="2" t="s">
        <v>3089</v>
      </c>
      <c r="B3599" s="2" t="s">
        <v>36</v>
      </c>
      <c r="C3599" s="2" t="s">
        <v>39</v>
      </c>
      <c r="D3599" s="2">
        <v>145</v>
      </c>
    </row>
    <row r="3600" spans="1:4">
      <c r="A3600" s="2" t="s">
        <v>4336</v>
      </c>
      <c r="B3600" s="2" t="s">
        <v>36</v>
      </c>
      <c r="C3600" s="2" t="s">
        <v>39</v>
      </c>
      <c r="D3600" s="2">
        <v>145</v>
      </c>
    </row>
    <row r="3601" spans="1:4">
      <c r="A3601" s="2" t="s">
        <v>3582</v>
      </c>
      <c r="B3601" s="2" t="s">
        <v>36</v>
      </c>
      <c r="C3601" s="2" t="s">
        <v>39</v>
      </c>
      <c r="D3601" s="2">
        <v>145</v>
      </c>
    </row>
    <row r="3602" spans="1:4">
      <c r="A3602" s="2" t="s">
        <v>3508</v>
      </c>
      <c r="B3602" s="2" t="s">
        <v>36</v>
      </c>
      <c r="C3602" s="2" t="s">
        <v>39</v>
      </c>
      <c r="D3602" s="2">
        <v>144</v>
      </c>
    </row>
    <row r="3603" spans="1:4">
      <c r="A3603" s="2" t="s">
        <v>1672</v>
      </c>
      <c r="B3603" s="2" t="s">
        <v>36</v>
      </c>
      <c r="C3603" s="2" t="s">
        <v>39</v>
      </c>
      <c r="D3603" s="2">
        <v>144</v>
      </c>
    </row>
    <row r="3604" spans="1:4">
      <c r="A3604" s="2" t="s">
        <v>3980</v>
      </c>
      <c r="B3604" s="2" t="s">
        <v>36</v>
      </c>
      <c r="C3604" s="2" t="s">
        <v>39</v>
      </c>
      <c r="D3604" s="2">
        <v>144</v>
      </c>
    </row>
    <row r="3605" spans="1:4">
      <c r="A3605" s="2" t="s">
        <v>4618</v>
      </c>
      <c r="B3605" s="2" t="s">
        <v>36</v>
      </c>
      <c r="C3605" s="2" t="s">
        <v>39</v>
      </c>
      <c r="D3605" s="2">
        <v>143</v>
      </c>
    </row>
    <row r="3606" spans="1:4">
      <c r="A3606" s="2" t="s">
        <v>4344</v>
      </c>
      <c r="B3606" s="2" t="s">
        <v>36</v>
      </c>
      <c r="C3606" s="2" t="s">
        <v>39</v>
      </c>
      <c r="D3606" s="2">
        <v>143</v>
      </c>
    </row>
    <row r="3607" spans="1:4">
      <c r="A3607" s="2" t="s">
        <v>2614</v>
      </c>
      <c r="B3607" s="2" t="s">
        <v>36</v>
      </c>
      <c r="C3607" s="2" t="s">
        <v>39</v>
      </c>
      <c r="D3607" s="2">
        <v>142</v>
      </c>
    </row>
    <row r="3608" spans="1:4">
      <c r="A3608" s="2" t="s">
        <v>4000</v>
      </c>
      <c r="B3608" s="2" t="s">
        <v>36</v>
      </c>
      <c r="C3608" s="2" t="s">
        <v>39</v>
      </c>
      <c r="D3608" s="2">
        <v>142</v>
      </c>
    </row>
    <row r="3609" spans="1:4">
      <c r="A3609" s="2" t="s">
        <v>1624</v>
      </c>
      <c r="B3609" s="2" t="s">
        <v>36</v>
      </c>
      <c r="C3609" s="2" t="s">
        <v>39</v>
      </c>
      <c r="D3609" s="2">
        <v>141</v>
      </c>
    </row>
    <row r="3610" spans="1:4">
      <c r="A3610" s="2" t="s">
        <v>3052</v>
      </c>
      <c r="B3610" s="2" t="s">
        <v>36</v>
      </c>
      <c r="C3610" s="2" t="s">
        <v>39</v>
      </c>
      <c r="D3610" s="2">
        <v>141</v>
      </c>
    </row>
    <row r="3611" spans="1:4">
      <c r="A3611" s="2" t="s">
        <v>1198</v>
      </c>
      <c r="B3611" s="2" t="s">
        <v>36</v>
      </c>
      <c r="C3611" s="2" t="s">
        <v>39</v>
      </c>
      <c r="D3611" s="2">
        <v>139</v>
      </c>
    </row>
    <row r="3612" spans="1:4">
      <c r="A3612" s="2" t="s">
        <v>3086</v>
      </c>
      <c r="B3612" s="2" t="s">
        <v>36</v>
      </c>
      <c r="C3612" s="2" t="s">
        <v>39</v>
      </c>
      <c r="D3612" s="2">
        <v>139</v>
      </c>
    </row>
    <row r="3613" spans="1:4">
      <c r="A3613" s="2" t="s">
        <v>1203</v>
      </c>
      <c r="B3613" s="2" t="s">
        <v>36</v>
      </c>
      <c r="C3613" s="2" t="s">
        <v>39</v>
      </c>
      <c r="D3613" s="2">
        <v>139</v>
      </c>
    </row>
    <row r="3614" spans="1:4">
      <c r="A3614" s="2" t="s">
        <v>2081</v>
      </c>
      <c r="B3614" s="2" t="s">
        <v>36</v>
      </c>
      <c r="C3614" s="2" t="s">
        <v>39</v>
      </c>
      <c r="D3614" s="2">
        <v>139</v>
      </c>
    </row>
    <row r="3615" spans="1:4">
      <c r="A3615" s="2" t="s">
        <v>3124</v>
      </c>
      <c r="B3615" s="2" t="s">
        <v>36</v>
      </c>
      <c r="C3615" s="2" t="s">
        <v>39</v>
      </c>
      <c r="D3615" s="2">
        <v>138</v>
      </c>
    </row>
    <row r="3616" spans="1:4">
      <c r="A3616" s="2" t="s">
        <v>3993</v>
      </c>
      <c r="B3616" s="2" t="s">
        <v>36</v>
      </c>
      <c r="C3616" s="2" t="s">
        <v>39</v>
      </c>
      <c r="D3616" s="2">
        <v>137</v>
      </c>
    </row>
    <row r="3617" spans="1:4">
      <c r="A3617" s="2" t="s">
        <v>2601</v>
      </c>
      <c r="B3617" s="2" t="s">
        <v>36</v>
      </c>
      <c r="C3617" s="2" t="s">
        <v>39</v>
      </c>
      <c r="D3617" s="2">
        <v>137</v>
      </c>
    </row>
    <row r="3618" spans="1:4">
      <c r="A3618" s="2" t="s">
        <v>2554</v>
      </c>
      <c r="B3618" s="2" t="s">
        <v>36</v>
      </c>
      <c r="C3618" s="2" t="s">
        <v>39</v>
      </c>
      <c r="D3618" s="2">
        <v>135</v>
      </c>
    </row>
    <row r="3619" spans="1:4">
      <c r="A3619" s="2" t="s">
        <v>3087</v>
      </c>
      <c r="B3619" s="2" t="s">
        <v>36</v>
      </c>
      <c r="C3619" s="2" t="s">
        <v>39</v>
      </c>
      <c r="D3619" s="2">
        <v>132</v>
      </c>
    </row>
    <row r="3620" spans="1:4">
      <c r="A3620" s="2" t="s">
        <v>2637</v>
      </c>
      <c r="B3620" s="2" t="s">
        <v>36</v>
      </c>
      <c r="C3620" s="2" t="s">
        <v>39</v>
      </c>
      <c r="D3620" s="2">
        <v>132</v>
      </c>
    </row>
    <row r="3621" spans="1:4">
      <c r="A3621" s="2" t="s">
        <v>1163</v>
      </c>
      <c r="B3621" s="2" t="s">
        <v>36</v>
      </c>
      <c r="C3621" s="2" t="s">
        <v>39</v>
      </c>
      <c r="D3621" s="2">
        <v>131</v>
      </c>
    </row>
    <row r="3622" spans="1:4">
      <c r="A3622" s="2" t="s">
        <v>3043</v>
      </c>
      <c r="B3622" s="2" t="s">
        <v>36</v>
      </c>
      <c r="C3622" s="2" t="s">
        <v>39</v>
      </c>
      <c r="D3622" s="2">
        <v>131</v>
      </c>
    </row>
    <row r="3623" spans="1:4">
      <c r="A3623" s="2" t="s">
        <v>1202</v>
      </c>
      <c r="B3623" s="2" t="s">
        <v>36</v>
      </c>
      <c r="C3623" s="2" t="s">
        <v>39</v>
      </c>
      <c r="D3623" s="2">
        <v>129</v>
      </c>
    </row>
    <row r="3624" spans="1:4">
      <c r="A3624" s="2" t="s">
        <v>3065</v>
      </c>
      <c r="B3624" s="2" t="s">
        <v>36</v>
      </c>
      <c r="C3624" s="2" t="s">
        <v>39</v>
      </c>
      <c r="D3624" s="2">
        <v>127</v>
      </c>
    </row>
    <row r="3625" spans="1:4">
      <c r="A3625" s="2" t="s">
        <v>4286</v>
      </c>
      <c r="B3625" s="2" t="s">
        <v>36</v>
      </c>
      <c r="C3625" s="2" t="s">
        <v>39</v>
      </c>
      <c r="D3625" s="2">
        <v>127</v>
      </c>
    </row>
    <row r="3626" spans="1:4">
      <c r="A3626" s="2" t="s">
        <v>4288</v>
      </c>
      <c r="B3626" s="2" t="s">
        <v>36</v>
      </c>
      <c r="C3626" s="2" t="s">
        <v>39</v>
      </c>
      <c r="D3626" s="2">
        <v>126</v>
      </c>
    </row>
    <row r="3627" spans="1:4">
      <c r="A3627" s="2" t="s">
        <v>3499</v>
      </c>
      <c r="B3627" s="2" t="s">
        <v>36</v>
      </c>
      <c r="C3627" s="2" t="s">
        <v>39</v>
      </c>
      <c r="D3627" s="2">
        <v>126</v>
      </c>
    </row>
    <row r="3628" spans="1:4">
      <c r="A3628" s="2" t="s">
        <v>1638</v>
      </c>
      <c r="B3628" s="2" t="s">
        <v>36</v>
      </c>
      <c r="C3628" s="2" t="s">
        <v>39</v>
      </c>
      <c r="D3628" s="2">
        <v>126</v>
      </c>
    </row>
    <row r="3629" spans="1:4">
      <c r="A3629" s="2" t="s">
        <v>303</v>
      </c>
      <c r="B3629" s="2" t="s">
        <v>36</v>
      </c>
      <c r="C3629" s="2" t="s">
        <v>39</v>
      </c>
      <c r="D3629" s="2">
        <v>126</v>
      </c>
    </row>
    <row r="3630" spans="1:4">
      <c r="A3630" s="2" t="s">
        <v>4607</v>
      </c>
      <c r="B3630" s="2" t="s">
        <v>36</v>
      </c>
      <c r="C3630" s="2" t="s">
        <v>39</v>
      </c>
      <c r="D3630" s="2">
        <v>125</v>
      </c>
    </row>
    <row r="3631" spans="1:4">
      <c r="A3631" s="2" t="s">
        <v>1182</v>
      </c>
      <c r="B3631" s="2" t="s">
        <v>36</v>
      </c>
      <c r="C3631" s="2" t="s">
        <v>39</v>
      </c>
      <c r="D3631" s="2">
        <v>124</v>
      </c>
    </row>
    <row r="3632" spans="1:4">
      <c r="A3632" s="2" t="s">
        <v>4673</v>
      </c>
      <c r="B3632" s="2" t="s">
        <v>36</v>
      </c>
      <c r="C3632" s="2" t="s">
        <v>39</v>
      </c>
      <c r="D3632" s="2">
        <v>124</v>
      </c>
    </row>
    <row r="3633" spans="1:4">
      <c r="A3633" s="2" t="s">
        <v>1654</v>
      </c>
      <c r="B3633" s="2" t="s">
        <v>36</v>
      </c>
      <c r="C3633" s="2" t="s">
        <v>39</v>
      </c>
      <c r="D3633" s="2">
        <v>124</v>
      </c>
    </row>
    <row r="3634" spans="1:4">
      <c r="A3634" s="2" t="s">
        <v>3531</v>
      </c>
      <c r="B3634" s="2" t="s">
        <v>36</v>
      </c>
      <c r="C3634" s="2" t="s">
        <v>39</v>
      </c>
      <c r="D3634" s="2">
        <v>124</v>
      </c>
    </row>
    <row r="3635" spans="1:4">
      <c r="A3635" s="2" t="s">
        <v>3127</v>
      </c>
      <c r="B3635" s="2" t="s">
        <v>36</v>
      </c>
      <c r="C3635" s="2" t="s">
        <v>39</v>
      </c>
      <c r="D3635" s="2">
        <v>123</v>
      </c>
    </row>
    <row r="3636" spans="1:4">
      <c r="A3636" s="2" t="s">
        <v>1677</v>
      </c>
      <c r="B3636" s="2" t="s">
        <v>36</v>
      </c>
      <c r="C3636" s="2" t="s">
        <v>39</v>
      </c>
      <c r="D3636" s="2">
        <v>123</v>
      </c>
    </row>
    <row r="3637" spans="1:4">
      <c r="A3637" s="2" t="s">
        <v>3064</v>
      </c>
      <c r="B3637" s="2" t="s">
        <v>36</v>
      </c>
      <c r="C3637" s="2" t="s">
        <v>39</v>
      </c>
      <c r="D3637" s="2">
        <v>121</v>
      </c>
    </row>
    <row r="3638" spans="1:4">
      <c r="A3638" s="2" t="s">
        <v>3960</v>
      </c>
      <c r="B3638" s="2" t="s">
        <v>36</v>
      </c>
      <c r="C3638" s="2" t="s">
        <v>39</v>
      </c>
      <c r="D3638" s="2">
        <v>121</v>
      </c>
    </row>
    <row r="3639" spans="1:4">
      <c r="A3639" s="2" t="s">
        <v>3552</v>
      </c>
      <c r="B3639" s="2" t="s">
        <v>36</v>
      </c>
      <c r="C3639" s="2" t="s">
        <v>39</v>
      </c>
      <c r="D3639" s="2">
        <v>120</v>
      </c>
    </row>
    <row r="3640" spans="1:4">
      <c r="A3640" s="2" t="s">
        <v>1647</v>
      </c>
      <c r="B3640" s="2" t="s">
        <v>36</v>
      </c>
      <c r="C3640" s="2" t="s">
        <v>39</v>
      </c>
      <c r="D3640" s="2">
        <v>119</v>
      </c>
    </row>
    <row r="3641" spans="1:4">
      <c r="A3641" s="2" t="s">
        <v>4653</v>
      </c>
      <c r="B3641" s="2" t="s">
        <v>36</v>
      </c>
      <c r="C3641" s="2" t="s">
        <v>39</v>
      </c>
      <c r="D3641" s="2">
        <v>118</v>
      </c>
    </row>
    <row r="3642" spans="1:4">
      <c r="A3642" s="2" t="s">
        <v>2518</v>
      </c>
      <c r="B3642" s="2" t="s">
        <v>36</v>
      </c>
      <c r="C3642" s="2" t="s">
        <v>39</v>
      </c>
      <c r="D3642" s="2">
        <v>117</v>
      </c>
    </row>
    <row r="3643" spans="1:4">
      <c r="A3643" s="2" t="s">
        <v>4331</v>
      </c>
      <c r="B3643" s="2" t="s">
        <v>36</v>
      </c>
      <c r="C3643" s="2" t="s">
        <v>39</v>
      </c>
      <c r="D3643" s="2">
        <v>117</v>
      </c>
    </row>
    <row r="3644" spans="1:4">
      <c r="A3644" s="2" t="s">
        <v>4324</v>
      </c>
      <c r="B3644" s="2" t="s">
        <v>36</v>
      </c>
      <c r="C3644" s="2" t="s">
        <v>39</v>
      </c>
      <c r="D3644" s="2">
        <v>116</v>
      </c>
    </row>
    <row r="3645" spans="1:4">
      <c r="A3645" s="2" t="s">
        <v>1147</v>
      </c>
      <c r="B3645" s="2" t="s">
        <v>36</v>
      </c>
      <c r="C3645" s="2" t="s">
        <v>39</v>
      </c>
      <c r="D3645" s="2">
        <v>116</v>
      </c>
    </row>
    <row r="3646" spans="1:4">
      <c r="A3646" s="2" t="s">
        <v>3968</v>
      </c>
      <c r="B3646" s="2" t="s">
        <v>36</v>
      </c>
      <c r="C3646" s="2" t="s">
        <v>39</v>
      </c>
      <c r="D3646" s="2">
        <v>115</v>
      </c>
    </row>
    <row r="3647" spans="1:4">
      <c r="A3647" s="2" t="s">
        <v>4708</v>
      </c>
      <c r="B3647" s="2" t="s">
        <v>36</v>
      </c>
      <c r="C3647" s="2" t="s">
        <v>39</v>
      </c>
      <c r="D3647" s="2">
        <v>115</v>
      </c>
    </row>
    <row r="3648" spans="1:4">
      <c r="A3648" s="2" t="s">
        <v>1678</v>
      </c>
      <c r="B3648" s="2" t="s">
        <v>36</v>
      </c>
      <c r="C3648" s="2" t="s">
        <v>39</v>
      </c>
      <c r="D3648" s="2">
        <v>112</v>
      </c>
    </row>
    <row r="3649" spans="1:4">
      <c r="A3649" s="2" t="s">
        <v>333</v>
      </c>
      <c r="B3649" s="2" t="s">
        <v>36</v>
      </c>
      <c r="C3649" s="2" t="s">
        <v>39</v>
      </c>
      <c r="D3649" s="2">
        <v>112</v>
      </c>
    </row>
    <row r="3650" spans="1:4">
      <c r="A3650" s="2" t="s">
        <v>3119</v>
      </c>
      <c r="B3650" s="2" t="s">
        <v>36</v>
      </c>
      <c r="C3650" s="2" t="s">
        <v>39</v>
      </c>
      <c r="D3650" s="2">
        <v>112</v>
      </c>
    </row>
    <row r="3651" spans="1:4">
      <c r="A3651" s="2" t="s">
        <v>4329</v>
      </c>
      <c r="B3651" s="2" t="s">
        <v>36</v>
      </c>
      <c r="C3651" s="2" t="s">
        <v>39</v>
      </c>
      <c r="D3651" s="2">
        <v>111</v>
      </c>
    </row>
    <row r="3652" spans="1:4">
      <c r="A3652" s="2" t="s">
        <v>2617</v>
      </c>
      <c r="B3652" s="2" t="s">
        <v>36</v>
      </c>
      <c r="C3652" s="2" t="s">
        <v>39</v>
      </c>
      <c r="D3652" s="2">
        <v>111</v>
      </c>
    </row>
    <row r="3653" spans="1:4">
      <c r="A3653" s="2" t="s">
        <v>3114</v>
      </c>
      <c r="B3653" s="2" t="s">
        <v>36</v>
      </c>
      <c r="C3653" s="2" t="s">
        <v>39</v>
      </c>
      <c r="D3653" s="2">
        <v>111</v>
      </c>
    </row>
    <row r="3654" spans="1:4">
      <c r="A3654" s="2" t="s">
        <v>2641</v>
      </c>
      <c r="B3654" s="2" t="s">
        <v>36</v>
      </c>
      <c r="C3654" s="2" t="s">
        <v>39</v>
      </c>
      <c r="D3654" s="2">
        <v>109</v>
      </c>
    </row>
    <row r="3655" spans="1:4">
      <c r="A3655" s="2" t="s">
        <v>3061</v>
      </c>
      <c r="B3655" s="2" t="s">
        <v>36</v>
      </c>
      <c r="C3655" s="2" t="s">
        <v>39</v>
      </c>
      <c r="D3655" s="2">
        <v>108</v>
      </c>
    </row>
    <row r="3656" spans="1:4">
      <c r="A3656" s="2" t="s">
        <v>1679</v>
      </c>
      <c r="B3656" s="2" t="s">
        <v>36</v>
      </c>
      <c r="C3656" s="2" t="s">
        <v>39</v>
      </c>
      <c r="D3656" s="2">
        <v>108</v>
      </c>
    </row>
    <row r="3657" spans="1:4">
      <c r="A3657" s="2" t="s">
        <v>1646</v>
      </c>
      <c r="B3657" s="2" t="s">
        <v>36</v>
      </c>
      <c r="C3657" s="2" t="s">
        <v>39</v>
      </c>
      <c r="D3657" s="2">
        <v>106</v>
      </c>
    </row>
    <row r="3658" spans="1:4">
      <c r="A3658" s="2" t="s">
        <v>4300</v>
      </c>
      <c r="B3658" s="2" t="s">
        <v>36</v>
      </c>
      <c r="C3658" s="2" t="s">
        <v>39</v>
      </c>
      <c r="D3658" s="2">
        <v>106</v>
      </c>
    </row>
    <row r="3659" spans="1:4">
      <c r="A3659" s="2" t="s">
        <v>1622</v>
      </c>
      <c r="B3659" s="2" t="s">
        <v>36</v>
      </c>
      <c r="C3659" s="2" t="s">
        <v>39</v>
      </c>
      <c r="D3659" s="2">
        <v>106</v>
      </c>
    </row>
    <row r="3660" spans="1:4">
      <c r="A3660" s="2" t="s">
        <v>3071</v>
      </c>
      <c r="B3660" s="2" t="s">
        <v>36</v>
      </c>
      <c r="C3660" s="2" t="s">
        <v>39</v>
      </c>
      <c r="D3660" s="2">
        <v>106</v>
      </c>
    </row>
    <row r="3661" spans="1:4">
      <c r="A3661" s="2" t="s">
        <v>3077</v>
      </c>
      <c r="B3661" s="2" t="s">
        <v>36</v>
      </c>
      <c r="C3661" s="2" t="s">
        <v>39</v>
      </c>
      <c r="D3661" s="2">
        <v>106</v>
      </c>
    </row>
    <row r="3662" spans="1:4">
      <c r="A3662" s="2" t="s">
        <v>4343</v>
      </c>
      <c r="B3662" s="2" t="s">
        <v>36</v>
      </c>
      <c r="C3662" s="2" t="s">
        <v>39</v>
      </c>
      <c r="D3662" s="2">
        <v>106</v>
      </c>
    </row>
    <row r="3663" spans="1:4">
      <c r="A3663" s="2" t="s">
        <v>3094</v>
      </c>
      <c r="B3663" s="2" t="s">
        <v>36</v>
      </c>
      <c r="C3663" s="2" t="s">
        <v>39</v>
      </c>
      <c r="D3663" s="2">
        <v>105</v>
      </c>
    </row>
    <row r="3664" spans="1:4">
      <c r="A3664" s="2" t="s">
        <v>4651</v>
      </c>
      <c r="B3664" s="2" t="s">
        <v>36</v>
      </c>
      <c r="C3664" s="2" t="s">
        <v>39</v>
      </c>
      <c r="D3664" s="2">
        <v>104</v>
      </c>
    </row>
    <row r="3665" spans="1:4">
      <c r="A3665" s="2" t="s">
        <v>3547</v>
      </c>
      <c r="B3665" s="2" t="s">
        <v>36</v>
      </c>
      <c r="C3665" s="2" t="s">
        <v>39</v>
      </c>
      <c r="D3665" s="2">
        <v>104</v>
      </c>
    </row>
    <row r="3666" spans="1:4">
      <c r="A3666" s="2" t="s">
        <v>1206</v>
      </c>
      <c r="B3666" s="2" t="s">
        <v>36</v>
      </c>
      <c r="C3666" s="2" t="s">
        <v>39</v>
      </c>
      <c r="D3666" s="2">
        <v>104</v>
      </c>
    </row>
    <row r="3667" spans="1:4">
      <c r="A3667" s="2" t="s">
        <v>320</v>
      </c>
      <c r="B3667" s="2" t="s">
        <v>36</v>
      </c>
      <c r="C3667" s="2" t="s">
        <v>39</v>
      </c>
      <c r="D3667" s="2">
        <v>103</v>
      </c>
    </row>
    <row r="3668" spans="1:4">
      <c r="A3668" s="2" t="s">
        <v>2014</v>
      </c>
      <c r="B3668" s="2" t="s">
        <v>36</v>
      </c>
      <c r="C3668" s="2" t="s">
        <v>39</v>
      </c>
      <c r="D3668" s="2">
        <v>103</v>
      </c>
    </row>
    <row r="3669" spans="1:4">
      <c r="A3669" s="2" t="s">
        <v>3513</v>
      </c>
      <c r="B3669" s="2" t="s">
        <v>36</v>
      </c>
      <c r="C3669" s="2" t="s">
        <v>39</v>
      </c>
      <c r="D3669" s="2">
        <v>103</v>
      </c>
    </row>
    <row r="3670" spans="1:4">
      <c r="A3670" s="2" t="s">
        <v>4661</v>
      </c>
      <c r="B3670" s="2" t="s">
        <v>36</v>
      </c>
      <c r="C3670" s="2" t="s">
        <v>39</v>
      </c>
      <c r="D3670" s="2">
        <v>102</v>
      </c>
    </row>
    <row r="3671" spans="1:4">
      <c r="A3671" s="2" t="s">
        <v>3545</v>
      </c>
      <c r="B3671" s="2" t="s">
        <v>36</v>
      </c>
      <c r="C3671" s="2" t="s">
        <v>39</v>
      </c>
      <c r="D3671" s="2">
        <v>102</v>
      </c>
    </row>
    <row r="3672" spans="1:4">
      <c r="A3672" s="2" t="s">
        <v>2051</v>
      </c>
      <c r="B3672" s="2" t="s">
        <v>36</v>
      </c>
      <c r="C3672" s="2" t="s">
        <v>39</v>
      </c>
      <c r="D3672" s="2">
        <v>102</v>
      </c>
    </row>
    <row r="3673" spans="1:4">
      <c r="A3673" s="2" t="s">
        <v>3923</v>
      </c>
      <c r="B3673" s="2" t="s">
        <v>36</v>
      </c>
      <c r="C3673" s="2" t="s">
        <v>39</v>
      </c>
      <c r="D3673" s="2">
        <v>102</v>
      </c>
    </row>
    <row r="3674" spans="1:4">
      <c r="A3674" s="2" t="s">
        <v>1215</v>
      </c>
      <c r="B3674" s="2" t="s">
        <v>36</v>
      </c>
      <c r="C3674" s="2" t="s">
        <v>39</v>
      </c>
      <c r="D3674" s="2">
        <v>101</v>
      </c>
    </row>
    <row r="3675" spans="1:4">
      <c r="A3675" s="2" t="s">
        <v>1645</v>
      </c>
      <c r="B3675" s="2" t="s">
        <v>36</v>
      </c>
      <c r="C3675" s="2" t="s">
        <v>39</v>
      </c>
      <c r="D3675" s="2">
        <v>100</v>
      </c>
    </row>
    <row r="3676" spans="1:4">
      <c r="A3676" s="2" t="s">
        <v>326</v>
      </c>
      <c r="B3676" s="2" t="s">
        <v>36</v>
      </c>
      <c r="C3676" s="2" t="s">
        <v>39</v>
      </c>
      <c r="D3676" s="2">
        <v>100</v>
      </c>
    </row>
    <row r="3677" spans="1:4">
      <c r="A3677" s="2" t="s">
        <v>1149</v>
      </c>
      <c r="B3677" s="2" t="s">
        <v>36</v>
      </c>
      <c r="C3677" s="2" t="s">
        <v>39</v>
      </c>
      <c r="D3677" s="2">
        <v>100</v>
      </c>
    </row>
    <row r="3678" spans="1:4">
      <c r="A3678" s="2" t="s">
        <v>3996</v>
      </c>
      <c r="B3678" s="2" t="s">
        <v>36</v>
      </c>
      <c r="C3678" s="2" t="s">
        <v>39</v>
      </c>
      <c r="D3678" s="2">
        <v>100</v>
      </c>
    </row>
    <row r="3679" spans="1:4">
      <c r="A3679" s="2" t="s">
        <v>3896</v>
      </c>
      <c r="B3679" s="2" t="s">
        <v>36</v>
      </c>
      <c r="C3679" s="2" t="s">
        <v>39</v>
      </c>
      <c r="D3679" s="2">
        <v>98</v>
      </c>
    </row>
    <row r="3680" spans="1:4">
      <c r="A3680" s="2" t="s">
        <v>1111</v>
      </c>
      <c r="B3680" s="2" t="s">
        <v>36</v>
      </c>
      <c r="C3680" s="2" t="s">
        <v>39</v>
      </c>
      <c r="D3680" s="2">
        <v>98</v>
      </c>
    </row>
    <row r="3681" spans="1:4">
      <c r="A3681" s="2" t="s">
        <v>4695</v>
      </c>
      <c r="B3681" s="2" t="s">
        <v>36</v>
      </c>
      <c r="C3681" s="2" t="s">
        <v>39</v>
      </c>
      <c r="D3681" s="2">
        <v>98</v>
      </c>
    </row>
    <row r="3682" spans="1:4">
      <c r="A3682" s="2" t="s">
        <v>1979</v>
      </c>
      <c r="B3682" s="2" t="s">
        <v>36</v>
      </c>
      <c r="C3682" s="2" t="s">
        <v>39</v>
      </c>
      <c r="D3682" s="2">
        <v>98</v>
      </c>
    </row>
    <row r="3683" spans="1:4">
      <c r="A3683" s="2" t="s">
        <v>4604</v>
      </c>
      <c r="B3683" s="2" t="s">
        <v>36</v>
      </c>
      <c r="C3683" s="2" t="s">
        <v>39</v>
      </c>
      <c r="D3683" s="2">
        <v>98</v>
      </c>
    </row>
    <row r="3684" spans="1:4">
      <c r="A3684" s="2" t="s">
        <v>3533</v>
      </c>
      <c r="B3684" s="2" t="s">
        <v>36</v>
      </c>
      <c r="C3684" s="2" t="s">
        <v>39</v>
      </c>
      <c r="D3684" s="2">
        <v>98</v>
      </c>
    </row>
    <row r="3685" spans="1:4">
      <c r="A3685" s="2" t="s">
        <v>2006</v>
      </c>
      <c r="B3685" s="2" t="s">
        <v>36</v>
      </c>
      <c r="C3685" s="2" t="s">
        <v>39</v>
      </c>
      <c r="D3685" s="2">
        <v>97</v>
      </c>
    </row>
    <row r="3686" spans="1:4">
      <c r="A3686" s="2" t="s">
        <v>3520</v>
      </c>
      <c r="B3686" s="2" t="s">
        <v>36</v>
      </c>
      <c r="C3686" s="2" t="s">
        <v>39</v>
      </c>
      <c r="D3686" s="2">
        <v>97</v>
      </c>
    </row>
    <row r="3687" spans="1:4">
      <c r="A3687" s="2" t="s">
        <v>3495</v>
      </c>
      <c r="B3687" s="2" t="s">
        <v>36</v>
      </c>
      <c r="C3687" s="2" t="s">
        <v>39</v>
      </c>
      <c r="D3687" s="2">
        <v>97</v>
      </c>
    </row>
    <row r="3688" spans="1:4">
      <c r="A3688" s="2" t="s">
        <v>4345</v>
      </c>
      <c r="B3688" s="2" t="s">
        <v>36</v>
      </c>
      <c r="C3688" s="2" t="s">
        <v>39</v>
      </c>
      <c r="D3688" s="2">
        <v>97</v>
      </c>
    </row>
    <row r="3689" spans="1:4">
      <c r="A3689" s="2" t="s">
        <v>3560</v>
      </c>
      <c r="B3689" s="2" t="s">
        <v>36</v>
      </c>
      <c r="C3689" s="2" t="s">
        <v>39</v>
      </c>
      <c r="D3689" s="2">
        <v>96</v>
      </c>
    </row>
    <row r="3690" spans="1:4">
      <c r="A3690" s="2" t="s">
        <v>3103</v>
      </c>
      <c r="B3690" s="2" t="s">
        <v>36</v>
      </c>
      <c r="C3690" s="2" t="s">
        <v>39</v>
      </c>
      <c r="D3690" s="2">
        <v>95</v>
      </c>
    </row>
    <row r="3691" spans="1:4">
      <c r="A3691" s="2" t="s">
        <v>1138</v>
      </c>
      <c r="B3691" s="2" t="s">
        <v>36</v>
      </c>
      <c r="C3691" s="2" t="s">
        <v>39</v>
      </c>
      <c r="D3691" s="2">
        <v>94</v>
      </c>
    </row>
    <row r="3692" spans="1:4">
      <c r="A3692" s="2" t="s">
        <v>2019</v>
      </c>
      <c r="B3692" s="2" t="s">
        <v>36</v>
      </c>
      <c r="C3692" s="2" t="s">
        <v>39</v>
      </c>
      <c r="D3692" s="2">
        <v>94</v>
      </c>
    </row>
    <row r="3693" spans="1:4">
      <c r="A3693" s="2" t="s">
        <v>2520</v>
      </c>
      <c r="B3693" s="2" t="s">
        <v>36</v>
      </c>
      <c r="C3693" s="2" t="s">
        <v>39</v>
      </c>
      <c r="D3693" s="2">
        <v>93</v>
      </c>
    </row>
    <row r="3694" spans="1:4">
      <c r="A3694" s="2" t="s">
        <v>4323</v>
      </c>
      <c r="B3694" s="2" t="s">
        <v>36</v>
      </c>
      <c r="C3694" s="2" t="s">
        <v>39</v>
      </c>
      <c r="D3694" s="2">
        <v>93</v>
      </c>
    </row>
    <row r="3695" spans="1:4">
      <c r="A3695" s="2" t="s">
        <v>3514</v>
      </c>
      <c r="B3695" s="2" t="s">
        <v>36</v>
      </c>
      <c r="C3695" s="2" t="s">
        <v>39</v>
      </c>
      <c r="D3695" s="2">
        <v>93</v>
      </c>
    </row>
    <row r="3696" spans="1:4">
      <c r="A3696" s="2" t="s">
        <v>4346</v>
      </c>
      <c r="B3696" s="2" t="s">
        <v>36</v>
      </c>
      <c r="C3696" s="2" t="s">
        <v>39</v>
      </c>
      <c r="D3696" s="2">
        <v>92</v>
      </c>
    </row>
    <row r="3697" spans="1:4">
      <c r="A3697" s="2" t="s">
        <v>1194</v>
      </c>
      <c r="B3697" s="2" t="s">
        <v>36</v>
      </c>
      <c r="C3697" s="2" t="s">
        <v>39</v>
      </c>
      <c r="D3697" s="2">
        <v>91</v>
      </c>
    </row>
    <row r="3698" spans="1:4">
      <c r="A3698" s="2" t="s">
        <v>3057</v>
      </c>
      <c r="B3698" s="2" t="s">
        <v>36</v>
      </c>
      <c r="C3698" s="2" t="s">
        <v>39</v>
      </c>
      <c r="D3698" s="2">
        <v>90</v>
      </c>
    </row>
    <row r="3699" spans="1:4">
      <c r="A3699" s="2" t="s">
        <v>3551</v>
      </c>
      <c r="B3699" s="2" t="s">
        <v>36</v>
      </c>
      <c r="C3699" s="2" t="s">
        <v>39</v>
      </c>
      <c r="D3699" s="2">
        <v>90</v>
      </c>
    </row>
    <row r="3700" spans="1:4">
      <c r="A3700" s="2" t="s">
        <v>4304</v>
      </c>
      <c r="B3700" s="2" t="s">
        <v>36</v>
      </c>
      <c r="C3700" s="2" t="s">
        <v>39</v>
      </c>
      <c r="D3700" s="2">
        <v>90</v>
      </c>
    </row>
    <row r="3701" spans="1:4">
      <c r="A3701" s="2" t="s">
        <v>3521</v>
      </c>
      <c r="B3701" s="2" t="s">
        <v>36</v>
      </c>
      <c r="C3701" s="2" t="s">
        <v>39</v>
      </c>
      <c r="D3701" s="2">
        <v>90</v>
      </c>
    </row>
    <row r="3702" spans="1:4">
      <c r="A3702" s="2" t="s">
        <v>1683</v>
      </c>
      <c r="B3702" s="2" t="s">
        <v>36</v>
      </c>
      <c r="C3702" s="2" t="s">
        <v>39</v>
      </c>
      <c r="D3702" s="2">
        <v>90</v>
      </c>
    </row>
    <row r="3703" spans="1:4">
      <c r="A3703" s="2" t="s">
        <v>2052</v>
      </c>
      <c r="B3703" s="2" t="s">
        <v>36</v>
      </c>
      <c r="C3703" s="2" t="s">
        <v>39</v>
      </c>
      <c r="D3703" s="2">
        <v>88</v>
      </c>
    </row>
    <row r="3704" spans="1:4">
      <c r="A3704" s="2" t="s">
        <v>395</v>
      </c>
      <c r="B3704" s="2" t="s">
        <v>36</v>
      </c>
      <c r="C3704" s="2" t="s">
        <v>39</v>
      </c>
      <c r="D3704" s="2">
        <v>88</v>
      </c>
    </row>
    <row r="3705" spans="1:4">
      <c r="A3705" s="2" t="s">
        <v>3550</v>
      </c>
      <c r="B3705" s="2" t="s">
        <v>36</v>
      </c>
      <c r="C3705" s="2" t="s">
        <v>39</v>
      </c>
      <c r="D3705" s="2">
        <v>87</v>
      </c>
    </row>
    <row r="3706" spans="1:4">
      <c r="A3706" s="2" t="s">
        <v>1139</v>
      </c>
      <c r="B3706" s="2" t="s">
        <v>36</v>
      </c>
      <c r="C3706" s="2" t="s">
        <v>39</v>
      </c>
      <c r="D3706" s="2">
        <v>87</v>
      </c>
    </row>
    <row r="3707" spans="1:4">
      <c r="A3707" s="2" t="s">
        <v>2086</v>
      </c>
      <c r="B3707" s="2" t="s">
        <v>36</v>
      </c>
      <c r="C3707" s="2" t="s">
        <v>39</v>
      </c>
      <c r="D3707" s="2">
        <v>87</v>
      </c>
    </row>
    <row r="3708" spans="1:4">
      <c r="A3708" s="2" t="s">
        <v>2053</v>
      </c>
      <c r="B3708" s="2" t="s">
        <v>36</v>
      </c>
      <c r="C3708" s="2" t="s">
        <v>39</v>
      </c>
      <c r="D3708" s="2">
        <v>86</v>
      </c>
    </row>
    <row r="3709" spans="1:4">
      <c r="A3709" s="2" t="s">
        <v>2636</v>
      </c>
      <c r="B3709" s="2" t="s">
        <v>36</v>
      </c>
      <c r="C3709" s="2" t="s">
        <v>39</v>
      </c>
      <c r="D3709" s="2">
        <v>84</v>
      </c>
    </row>
    <row r="3710" spans="1:4">
      <c r="A3710" s="2" t="s">
        <v>1626</v>
      </c>
      <c r="B3710" s="2" t="s">
        <v>36</v>
      </c>
      <c r="C3710" s="2" t="s">
        <v>39</v>
      </c>
      <c r="D3710" s="2">
        <v>84</v>
      </c>
    </row>
    <row r="3711" spans="1:4">
      <c r="A3711" s="2" t="s">
        <v>1170</v>
      </c>
      <c r="B3711" s="2" t="s">
        <v>36</v>
      </c>
      <c r="C3711" s="2" t="s">
        <v>39</v>
      </c>
      <c r="D3711" s="2">
        <v>84</v>
      </c>
    </row>
    <row r="3712" spans="1:4">
      <c r="A3712" s="2" t="s">
        <v>3978</v>
      </c>
      <c r="B3712" s="2" t="s">
        <v>36</v>
      </c>
      <c r="C3712" s="2" t="s">
        <v>39</v>
      </c>
      <c r="D3712" s="2">
        <v>83</v>
      </c>
    </row>
    <row r="3713" spans="1:4">
      <c r="A3713" s="2" t="s">
        <v>4682</v>
      </c>
      <c r="B3713" s="2" t="s">
        <v>36</v>
      </c>
      <c r="C3713" s="2" t="s">
        <v>39</v>
      </c>
      <c r="D3713" s="2">
        <v>82</v>
      </c>
    </row>
    <row r="3714" spans="1:4">
      <c r="A3714" s="2" t="s">
        <v>4319</v>
      </c>
      <c r="B3714" s="2" t="s">
        <v>36</v>
      </c>
      <c r="C3714" s="2" t="s">
        <v>39</v>
      </c>
      <c r="D3714" s="2">
        <v>82</v>
      </c>
    </row>
    <row r="3715" spans="1:4">
      <c r="A3715" s="2" t="s">
        <v>2056</v>
      </c>
      <c r="B3715" s="2" t="s">
        <v>36</v>
      </c>
      <c r="C3715" s="2" t="s">
        <v>39</v>
      </c>
      <c r="D3715" s="2">
        <v>82</v>
      </c>
    </row>
    <row r="3716" spans="1:4">
      <c r="A3716" s="2" t="s">
        <v>3048</v>
      </c>
      <c r="B3716" s="2" t="s">
        <v>36</v>
      </c>
      <c r="C3716" s="2" t="s">
        <v>39</v>
      </c>
      <c r="D3716" s="2">
        <v>81</v>
      </c>
    </row>
    <row r="3717" spans="1:4">
      <c r="A3717" s="2" t="s">
        <v>3991</v>
      </c>
      <c r="B3717" s="2" t="s">
        <v>36</v>
      </c>
      <c r="C3717" s="2" t="s">
        <v>39</v>
      </c>
      <c r="D3717" s="2">
        <v>81</v>
      </c>
    </row>
    <row r="3718" spans="1:4">
      <c r="A3718" s="2" t="s">
        <v>3128</v>
      </c>
      <c r="B3718" s="2" t="s">
        <v>36</v>
      </c>
      <c r="C3718" s="2" t="s">
        <v>39</v>
      </c>
      <c r="D3718" s="2">
        <v>80</v>
      </c>
    </row>
    <row r="3719" spans="1:4">
      <c r="A3719" s="2" t="s">
        <v>2619</v>
      </c>
      <c r="B3719" s="2" t="s">
        <v>36</v>
      </c>
      <c r="C3719" s="2" t="s">
        <v>39</v>
      </c>
      <c r="D3719" s="2">
        <v>79</v>
      </c>
    </row>
    <row r="3720" spans="1:4">
      <c r="A3720" s="2" t="s">
        <v>312</v>
      </c>
      <c r="B3720" s="2" t="s">
        <v>36</v>
      </c>
      <c r="C3720" s="2" t="s">
        <v>39</v>
      </c>
      <c r="D3720" s="2">
        <v>79</v>
      </c>
    </row>
    <row r="3721" spans="1:4">
      <c r="A3721" s="2" t="s">
        <v>2054</v>
      </c>
      <c r="B3721" s="2" t="s">
        <v>36</v>
      </c>
      <c r="C3721" s="2" t="s">
        <v>39</v>
      </c>
      <c r="D3721" s="2">
        <v>79</v>
      </c>
    </row>
    <row r="3722" spans="1:4">
      <c r="A3722" s="2" t="s">
        <v>2064</v>
      </c>
      <c r="B3722" s="2" t="s">
        <v>36</v>
      </c>
      <c r="C3722" s="2" t="s">
        <v>39</v>
      </c>
      <c r="D3722" s="2">
        <v>79</v>
      </c>
    </row>
    <row r="3723" spans="1:4">
      <c r="A3723" s="2" t="s">
        <v>4322</v>
      </c>
      <c r="B3723" s="2" t="s">
        <v>36</v>
      </c>
      <c r="C3723" s="2" t="s">
        <v>39</v>
      </c>
      <c r="D3723" s="2">
        <v>78</v>
      </c>
    </row>
    <row r="3724" spans="1:4">
      <c r="A3724" s="2" t="s">
        <v>3532</v>
      </c>
      <c r="B3724" s="2" t="s">
        <v>36</v>
      </c>
      <c r="C3724" s="2" t="s">
        <v>39</v>
      </c>
      <c r="D3724" s="2">
        <v>78</v>
      </c>
    </row>
    <row r="3725" spans="1:4">
      <c r="A3725" s="2" t="s">
        <v>3894</v>
      </c>
      <c r="B3725" s="2" t="s">
        <v>36</v>
      </c>
      <c r="C3725" s="2" t="s">
        <v>39</v>
      </c>
      <c r="D3725" s="2">
        <v>78</v>
      </c>
    </row>
    <row r="3726" spans="1:4">
      <c r="A3726" s="2" t="s">
        <v>376</v>
      </c>
      <c r="B3726" s="2" t="s">
        <v>36</v>
      </c>
      <c r="C3726" s="2" t="s">
        <v>39</v>
      </c>
      <c r="D3726" s="2">
        <v>78</v>
      </c>
    </row>
    <row r="3727" spans="1:4">
      <c r="A3727" s="2" t="s">
        <v>4681</v>
      </c>
      <c r="B3727" s="2" t="s">
        <v>36</v>
      </c>
      <c r="C3727" s="2" t="s">
        <v>39</v>
      </c>
      <c r="D3727" s="2">
        <v>78</v>
      </c>
    </row>
    <row r="3728" spans="1:4">
      <c r="A3728" s="2" t="s">
        <v>1977</v>
      </c>
      <c r="B3728" s="2" t="s">
        <v>36</v>
      </c>
      <c r="C3728" s="2" t="s">
        <v>39</v>
      </c>
      <c r="D3728" s="2">
        <v>77</v>
      </c>
    </row>
    <row r="3729" spans="1:4">
      <c r="A3729" s="2" t="s">
        <v>3090</v>
      </c>
      <c r="B3729" s="2" t="s">
        <v>36</v>
      </c>
      <c r="C3729" s="2" t="s">
        <v>39</v>
      </c>
      <c r="D3729" s="2">
        <v>77</v>
      </c>
    </row>
    <row r="3730" spans="1:4">
      <c r="A3730" s="2" t="s">
        <v>3554</v>
      </c>
      <c r="B3730" s="2" t="s">
        <v>36</v>
      </c>
      <c r="C3730" s="2" t="s">
        <v>39</v>
      </c>
      <c r="D3730" s="2">
        <v>77</v>
      </c>
    </row>
    <row r="3731" spans="1:4">
      <c r="A3731" s="2" t="s">
        <v>3970</v>
      </c>
      <c r="B3731" s="2" t="s">
        <v>36</v>
      </c>
      <c r="C3731" s="2" t="s">
        <v>39</v>
      </c>
      <c r="D3731" s="2">
        <v>77</v>
      </c>
    </row>
    <row r="3732" spans="1:4">
      <c r="A3732" s="2" t="s">
        <v>3962</v>
      </c>
      <c r="B3732" s="2" t="s">
        <v>36</v>
      </c>
      <c r="C3732" s="2" t="s">
        <v>39</v>
      </c>
      <c r="D3732" s="2">
        <v>77</v>
      </c>
    </row>
    <row r="3733" spans="1:4">
      <c r="A3733" s="2" t="s">
        <v>3519</v>
      </c>
      <c r="B3733" s="2" t="s">
        <v>36</v>
      </c>
      <c r="C3733" s="2" t="s">
        <v>39</v>
      </c>
      <c r="D3733" s="2">
        <v>76</v>
      </c>
    </row>
    <row r="3734" spans="1:4">
      <c r="A3734" s="2" t="s">
        <v>410</v>
      </c>
      <c r="B3734" s="2" t="s">
        <v>36</v>
      </c>
      <c r="C3734" s="2" t="s">
        <v>39</v>
      </c>
      <c r="D3734" s="2">
        <v>76</v>
      </c>
    </row>
    <row r="3735" spans="1:4">
      <c r="A3735" s="2" t="s">
        <v>3510</v>
      </c>
      <c r="B3735" s="2" t="s">
        <v>36</v>
      </c>
      <c r="C3735" s="2" t="s">
        <v>39</v>
      </c>
      <c r="D3735" s="2">
        <v>76</v>
      </c>
    </row>
    <row r="3736" spans="1:4">
      <c r="A3736" s="2" t="s">
        <v>3556</v>
      </c>
      <c r="B3736" s="2" t="s">
        <v>36</v>
      </c>
      <c r="C3736" s="2" t="s">
        <v>39</v>
      </c>
      <c r="D3736" s="2">
        <v>75</v>
      </c>
    </row>
    <row r="3737" spans="1:4">
      <c r="A3737" s="2" t="s">
        <v>3526</v>
      </c>
      <c r="B3737" s="2" t="s">
        <v>36</v>
      </c>
      <c r="C3737" s="2" t="s">
        <v>39</v>
      </c>
      <c r="D3737" s="2">
        <v>75</v>
      </c>
    </row>
    <row r="3738" spans="1:4">
      <c r="A3738" s="2" t="s">
        <v>4699</v>
      </c>
      <c r="B3738" s="2" t="s">
        <v>36</v>
      </c>
      <c r="C3738" s="2" t="s">
        <v>39</v>
      </c>
      <c r="D3738" s="2">
        <v>75</v>
      </c>
    </row>
    <row r="3739" spans="1:4">
      <c r="A3739" s="2" t="s">
        <v>4639</v>
      </c>
      <c r="B3739" s="2" t="s">
        <v>36</v>
      </c>
      <c r="C3739" s="2" t="s">
        <v>39</v>
      </c>
      <c r="D3739" s="2">
        <v>74</v>
      </c>
    </row>
    <row r="3740" spans="1:4">
      <c r="A3740" s="2" t="s">
        <v>4339</v>
      </c>
      <c r="B3740" s="2" t="s">
        <v>36</v>
      </c>
      <c r="C3740" s="2" t="s">
        <v>39</v>
      </c>
      <c r="D3740" s="2">
        <v>74</v>
      </c>
    </row>
    <row r="3741" spans="1:4">
      <c r="A3741" s="2" t="s">
        <v>3902</v>
      </c>
      <c r="B3741" s="2" t="s">
        <v>36</v>
      </c>
      <c r="C3741" s="2" t="s">
        <v>39</v>
      </c>
      <c r="D3741" s="2">
        <v>74</v>
      </c>
    </row>
    <row r="3742" spans="1:4">
      <c r="A3742" s="2" t="s">
        <v>2588</v>
      </c>
      <c r="B3742" s="2" t="s">
        <v>36</v>
      </c>
      <c r="C3742" s="2" t="s">
        <v>39</v>
      </c>
      <c r="D3742" s="2">
        <v>73</v>
      </c>
    </row>
    <row r="3743" spans="1:4">
      <c r="A3743" s="2" t="s">
        <v>4320</v>
      </c>
      <c r="B3743" s="2" t="s">
        <v>36</v>
      </c>
      <c r="C3743" s="2" t="s">
        <v>39</v>
      </c>
      <c r="D3743" s="2">
        <v>73</v>
      </c>
    </row>
    <row r="3744" spans="1:4">
      <c r="A3744" s="2" t="s">
        <v>1630</v>
      </c>
      <c r="B3744" s="2" t="s">
        <v>36</v>
      </c>
      <c r="C3744" s="2" t="s">
        <v>39</v>
      </c>
      <c r="D3744" s="2">
        <v>73</v>
      </c>
    </row>
    <row r="3745" spans="1:4">
      <c r="A3745" s="2" t="s">
        <v>3081</v>
      </c>
      <c r="B3745" s="2" t="s">
        <v>36</v>
      </c>
      <c r="C3745" s="2" t="s">
        <v>39</v>
      </c>
      <c r="D3745" s="2">
        <v>73</v>
      </c>
    </row>
    <row r="3746" spans="1:4">
      <c r="A3746" s="2" t="s">
        <v>4646</v>
      </c>
      <c r="B3746" s="2" t="s">
        <v>36</v>
      </c>
      <c r="C3746" s="2" t="s">
        <v>39</v>
      </c>
      <c r="D3746" s="2">
        <v>72</v>
      </c>
    </row>
    <row r="3747" spans="1:4">
      <c r="A3747" s="2" t="s">
        <v>1993</v>
      </c>
      <c r="B3747" s="2" t="s">
        <v>36</v>
      </c>
      <c r="C3747" s="2" t="s">
        <v>39</v>
      </c>
      <c r="D3747" s="2">
        <v>72</v>
      </c>
    </row>
    <row r="3748" spans="1:4">
      <c r="A3748" s="2" t="s">
        <v>3118</v>
      </c>
      <c r="B3748" s="2" t="s">
        <v>36</v>
      </c>
      <c r="C3748" s="2" t="s">
        <v>39</v>
      </c>
      <c r="D3748" s="2">
        <v>72</v>
      </c>
    </row>
    <row r="3749" spans="1:4">
      <c r="A3749" s="2" t="s">
        <v>4679</v>
      </c>
      <c r="B3749" s="2" t="s">
        <v>36</v>
      </c>
      <c r="C3749" s="2" t="s">
        <v>39</v>
      </c>
      <c r="D3749" s="2">
        <v>71</v>
      </c>
    </row>
    <row r="3750" spans="1:4">
      <c r="A3750" s="2" t="s">
        <v>2526</v>
      </c>
      <c r="B3750" s="2" t="s">
        <v>36</v>
      </c>
      <c r="C3750" s="2" t="s">
        <v>39</v>
      </c>
      <c r="D3750" s="2">
        <v>71</v>
      </c>
    </row>
    <row r="3751" spans="1:4">
      <c r="A3751" s="2" t="s">
        <v>2634</v>
      </c>
      <c r="B3751" s="2" t="s">
        <v>36</v>
      </c>
      <c r="C3751" s="2" t="s">
        <v>39</v>
      </c>
      <c r="D3751" s="2">
        <v>70</v>
      </c>
    </row>
    <row r="3752" spans="1:4">
      <c r="A3752" s="2" t="s">
        <v>4325</v>
      </c>
      <c r="B3752" s="2" t="s">
        <v>36</v>
      </c>
      <c r="C3752" s="2" t="s">
        <v>39</v>
      </c>
      <c r="D3752" s="2">
        <v>70</v>
      </c>
    </row>
    <row r="3753" spans="1:4">
      <c r="A3753" s="2" t="s">
        <v>1682</v>
      </c>
      <c r="B3753" s="2" t="s">
        <v>36</v>
      </c>
      <c r="C3753" s="2" t="s">
        <v>39</v>
      </c>
      <c r="D3753" s="2">
        <v>70</v>
      </c>
    </row>
    <row r="3754" spans="1:4">
      <c r="A3754" s="2" t="s">
        <v>4677</v>
      </c>
      <c r="B3754" s="2" t="s">
        <v>36</v>
      </c>
      <c r="C3754" s="2" t="s">
        <v>39</v>
      </c>
      <c r="D3754" s="2">
        <v>68</v>
      </c>
    </row>
    <row r="3755" spans="1:4">
      <c r="A3755" s="2" t="s">
        <v>3079</v>
      </c>
      <c r="B3755" s="2" t="s">
        <v>36</v>
      </c>
      <c r="C3755" s="2" t="s">
        <v>39</v>
      </c>
      <c r="D3755" s="2">
        <v>68</v>
      </c>
    </row>
    <row r="3756" spans="1:4">
      <c r="A3756" s="2" t="s">
        <v>4311</v>
      </c>
      <c r="B3756" s="2" t="s">
        <v>36</v>
      </c>
      <c r="C3756" s="2" t="s">
        <v>39</v>
      </c>
      <c r="D3756" s="2">
        <v>67</v>
      </c>
    </row>
    <row r="3757" spans="1:4">
      <c r="A3757" s="2" t="s">
        <v>4632</v>
      </c>
      <c r="B3757" s="2" t="s">
        <v>36</v>
      </c>
      <c r="C3757" s="2" t="s">
        <v>39</v>
      </c>
      <c r="D3757" s="2">
        <v>67</v>
      </c>
    </row>
    <row r="3758" spans="1:4">
      <c r="A3758" s="2" t="s">
        <v>4644</v>
      </c>
      <c r="B3758" s="2" t="s">
        <v>36</v>
      </c>
      <c r="C3758" s="2" t="s">
        <v>39</v>
      </c>
      <c r="D3758" s="2">
        <v>67</v>
      </c>
    </row>
    <row r="3759" spans="1:4">
      <c r="A3759" s="2" t="s">
        <v>4004</v>
      </c>
      <c r="B3759" s="2" t="s">
        <v>36</v>
      </c>
      <c r="C3759" s="2" t="s">
        <v>39</v>
      </c>
      <c r="D3759" s="2">
        <v>67</v>
      </c>
    </row>
    <row r="3760" spans="1:4">
      <c r="A3760" s="2" t="s">
        <v>4314</v>
      </c>
      <c r="B3760" s="2" t="s">
        <v>36</v>
      </c>
      <c r="C3760" s="2" t="s">
        <v>39</v>
      </c>
      <c r="D3760" s="2">
        <v>66</v>
      </c>
    </row>
    <row r="3761" spans="1:4">
      <c r="A3761" s="2" t="s">
        <v>3940</v>
      </c>
      <c r="B3761" s="2" t="s">
        <v>36</v>
      </c>
      <c r="C3761" s="2" t="s">
        <v>39</v>
      </c>
      <c r="D3761" s="2">
        <v>66</v>
      </c>
    </row>
    <row r="3762" spans="1:4">
      <c r="A3762" s="2" t="s">
        <v>4705</v>
      </c>
      <c r="B3762" s="2" t="s">
        <v>36</v>
      </c>
      <c r="C3762" s="2" t="s">
        <v>39</v>
      </c>
      <c r="D3762" s="2">
        <v>66</v>
      </c>
    </row>
    <row r="3763" spans="1:4">
      <c r="A3763" s="2" t="s">
        <v>3524</v>
      </c>
      <c r="B3763" s="2" t="s">
        <v>36</v>
      </c>
      <c r="C3763" s="2" t="s">
        <v>39</v>
      </c>
      <c r="D3763" s="2">
        <v>66</v>
      </c>
    </row>
    <row r="3764" spans="1:4">
      <c r="A3764" s="2" t="s">
        <v>1216</v>
      </c>
      <c r="B3764" s="2" t="s">
        <v>36</v>
      </c>
      <c r="C3764" s="2" t="s">
        <v>39</v>
      </c>
      <c r="D3764" s="2">
        <v>66</v>
      </c>
    </row>
    <row r="3765" spans="1:4">
      <c r="A3765" s="2" t="s">
        <v>3537</v>
      </c>
      <c r="B3765" s="2" t="s">
        <v>36</v>
      </c>
      <c r="C3765" s="2" t="s">
        <v>39</v>
      </c>
      <c r="D3765" s="2">
        <v>66</v>
      </c>
    </row>
    <row r="3766" spans="1:4">
      <c r="A3766" s="2" t="s">
        <v>4693</v>
      </c>
      <c r="B3766" s="2" t="s">
        <v>36</v>
      </c>
      <c r="C3766" s="2" t="s">
        <v>39</v>
      </c>
      <c r="D3766" s="2">
        <v>65</v>
      </c>
    </row>
    <row r="3767" spans="1:4">
      <c r="A3767" s="2" t="s">
        <v>4640</v>
      </c>
      <c r="B3767" s="2" t="s">
        <v>36</v>
      </c>
      <c r="C3767" s="2" t="s">
        <v>39</v>
      </c>
      <c r="D3767" s="2">
        <v>65</v>
      </c>
    </row>
    <row r="3768" spans="1:4">
      <c r="A3768" s="2" t="s">
        <v>1175</v>
      </c>
      <c r="B3768" s="2" t="s">
        <v>36</v>
      </c>
      <c r="C3768" s="2" t="s">
        <v>39</v>
      </c>
      <c r="D3768" s="2">
        <v>64</v>
      </c>
    </row>
    <row r="3769" spans="1:4">
      <c r="A3769" s="2" t="s">
        <v>1165</v>
      </c>
      <c r="B3769" s="2" t="s">
        <v>36</v>
      </c>
      <c r="C3769" s="2" t="s">
        <v>39</v>
      </c>
      <c r="D3769" s="2">
        <v>63</v>
      </c>
    </row>
    <row r="3770" spans="1:4">
      <c r="A3770" s="2" t="s">
        <v>1115</v>
      </c>
      <c r="B3770" s="2" t="s">
        <v>36</v>
      </c>
      <c r="C3770" s="2" t="s">
        <v>39</v>
      </c>
      <c r="D3770" s="2">
        <v>63</v>
      </c>
    </row>
    <row r="3771" spans="1:4">
      <c r="A3771" s="2" t="s">
        <v>3504</v>
      </c>
      <c r="B3771" s="2" t="s">
        <v>36</v>
      </c>
      <c r="C3771" s="2" t="s">
        <v>39</v>
      </c>
      <c r="D3771" s="2">
        <v>63</v>
      </c>
    </row>
    <row r="3772" spans="1:4">
      <c r="A3772" s="2" t="s">
        <v>1689</v>
      </c>
      <c r="B3772" s="2" t="s">
        <v>36</v>
      </c>
      <c r="C3772" s="2" t="s">
        <v>39</v>
      </c>
      <c r="D3772" s="2">
        <v>63</v>
      </c>
    </row>
    <row r="3773" spans="1:4">
      <c r="A3773" s="2" t="s">
        <v>4685</v>
      </c>
      <c r="B3773" s="2" t="s">
        <v>36</v>
      </c>
      <c r="C3773" s="2" t="s">
        <v>39</v>
      </c>
      <c r="D3773" s="2">
        <v>62</v>
      </c>
    </row>
    <row r="3774" spans="1:4">
      <c r="A3774" s="2" t="s">
        <v>3566</v>
      </c>
      <c r="B3774" s="2" t="s">
        <v>36</v>
      </c>
      <c r="C3774" s="2" t="s">
        <v>39</v>
      </c>
      <c r="D3774" s="2">
        <v>62</v>
      </c>
    </row>
    <row r="3775" spans="1:4">
      <c r="A3775" s="2" t="s">
        <v>3536</v>
      </c>
      <c r="B3775" s="2" t="s">
        <v>36</v>
      </c>
      <c r="C3775" s="2" t="s">
        <v>39</v>
      </c>
      <c r="D3775" s="2">
        <v>62</v>
      </c>
    </row>
    <row r="3776" spans="1:4">
      <c r="A3776" s="2" t="s">
        <v>1113</v>
      </c>
      <c r="B3776" s="2" t="s">
        <v>36</v>
      </c>
      <c r="C3776" s="2" t="s">
        <v>39</v>
      </c>
      <c r="D3776" s="2">
        <v>61</v>
      </c>
    </row>
    <row r="3777" spans="1:4">
      <c r="A3777" s="2" t="s">
        <v>1628</v>
      </c>
      <c r="B3777" s="2" t="s">
        <v>36</v>
      </c>
      <c r="C3777" s="2" t="s">
        <v>39</v>
      </c>
      <c r="D3777" s="2">
        <v>61</v>
      </c>
    </row>
    <row r="3778" spans="1:4">
      <c r="A3778" s="2" t="s">
        <v>3898</v>
      </c>
      <c r="B3778" s="2" t="s">
        <v>36</v>
      </c>
      <c r="C3778" s="2" t="s">
        <v>39</v>
      </c>
      <c r="D3778" s="2">
        <v>61</v>
      </c>
    </row>
    <row r="3779" spans="1:4">
      <c r="A3779" s="2" t="s">
        <v>1123</v>
      </c>
      <c r="B3779" s="2" t="s">
        <v>36</v>
      </c>
      <c r="C3779" s="2" t="s">
        <v>39</v>
      </c>
      <c r="D3779" s="2">
        <v>60</v>
      </c>
    </row>
    <row r="3780" spans="1:4">
      <c r="A3780" s="2" t="s">
        <v>3046</v>
      </c>
      <c r="B3780" s="2" t="s">
        <v>36</v>
      </c>
      <c r="C3780" s="2" t="s">
        <v>39</v>
      </c>
      <c r="D3780" s="2">
        <v>59</v>
      </c>
    </row>
    <row r="3781" spans="1:4">
      <c r="A3781" s="2" t="s">
        <v>2594</v>
      </c>
      <c r="B3781" s="2" t="s">
        <v>36</v>
      </c>
      <c r="C3781" s="2" t="s">
        <v>39</v>
      </c>
      <c r="D3781" s="2">
        <v>59</v>
      </c>
    </row>
    <row r="3782" spans="1:4">
      <c r="A3782" s="2" t="s">
        <v>1635</v>
      </c>
      <c r="B3782" s="2" t="s">
        <v>36</v>
      </c>
      <c r="C3782" s="2" t="s">
        <v>39</v>
      </c>
      <c r="D3782" s="2">
        <v>59</v>
      </c>
    </row>
    <row r="3783" spans="1:4">
      <c r="A3783" s="2" t="s">
        <v>4327</v>
      </c>
      <c r="B3783" s="2" t="s">
        <v>36</v>
      </c>
      <c r="C3783" s="2" t="s">
        <v>39</v>
      </c>
      <c r="D3783" s="2">
        <v>58</v>
      </c>
    </row>
    <row r="3784" spans="1:4">
      <c r="A3784" s="2" t="s">
        <v>3535</v>
      </c>
      <c r="B3784" s="2" t="s">
        <v>36</v>
      </c>
      <c r="C3784" s="2" t="s">
        <v>39</v>
      </c>
      <c r="D3784" s="2">
        <v>58</v>
      </c>
    </row>
    <row r="3785" spans="1:4">
      <c r="A3785" s="2" t="s">
        <v>2642</v>
      </c>
      <c r="B3785" s="2" t="s">
        <v>36</v>
      </c>
      <c r="C3785" s="2" t="s">
        <v>39</v>
      </c>
      <c r="D3785" s="2">
        <v>58</v>
      </c>
    </row>
    <row r="3786" spans="1:4">
      <c r="A3786" s="2" t="s">
        <v>3988</v>
      </c>
      <c r="B3786" s="2" t="s">
        <v>36</v>
      </c>
      <c r="C3786" s="2" t="s">
        <v>39</v>
      </c>
      <c r="D3786" s="2">
        <v>58</v>
      </c>
    </row>
    <row r="3787" spans="1:4">
      <c r="A3787" s="2" t="s">
        <v>354</v>
      </c>
      <c r="B3787" s="2" t="s">
        <v>36</v>
      </c>
      <c r="C3787" s="2" t="s">
        <v>39</v>
      </c>
      <c r="D3787" s="2">
        <v>57</v>
      </c>
    </row>
    <row r="3788" spans="1:4">
      <c r="A3788" s="2" t="s">
        <v>1669</v>
      </c>
      <c r="B3788" s="2" t="s">
        <v>36</v>
      </c>
      <c r="C3788" s="2" t="s">
        <v>39</v>
      </c>
      <c r="D3788" s="2">
        <v>57</v>
      </c>
    </row>
    <row r="3789" spans="1:4">
      <c r="A3789" s="2" t="s">
        <v>2632</v>
      </c>
      <c r="B3789" s="2" t="s">
        <v>36</v>
      </c>
      <c r="C3789" s="2" t="s">
        <v>39</v>
      </c>
      <c r="D3789" s="2">
        <v>57</v>
      </c>
    </row>
    <row r="3790" spans="1:4">
      <c r="A3790" s="2" t="s">
        <v>1634</v>
      </c>
      <c r="B3790" s="2" t="s">
        <v>36</v>
      </c>
      <c r="C3790" s="2" t="s">
        <v>39</v>
      </c>
      <c r="D3790" s="2">
        <v>56</v>
      </c>
    </row>
    <row r="3791" spans="1:4">
      <c r="A3791" s="2" t="s">
        <v>2016</v>
      </c>
      <c r="B3791" s="2" t="s">
        <v>36</v>
      </c>
      <c r="C3791" s="2" t="s">
        <v>39</v>
      </c>
      <c r="D3791" s="2">
        <v>56</v>
      </c>
    </row>
    <row r="3792" spans="1:4">
      <c r="A3792" s="2" t="s">
        <v>4702</v>
      </c>
      <c r="B3792" s="2" t="s">
        <v>36</v>
      </c>
      <c r="C3792" s="2" t="s">
        <v>39</v>
      </c>
      <c r="D3792" s="2">
        <v>55</v>
      </c>
    </row>
    <row r="3793" spans="1:4">
      <c r="A3793" s="2" t="s">
        <v>3063</v>
      </c>
      <c r="B3793" s="2" t="s">
        <v>36</v>
      </c>
      <c r="C3793" s="2" t="s">
        <v>39</v>
      </c>
      <c r="D3793" s="2">
        <v>55</v>
      </c>
    </row>
    <row r="3794" spans="1:4">
      <c r="A3794" s="2" t="s">
        <v>3525</v>
      </c>
      <c r="B3794" s="2" t="s">
        <v>36</v>
      </c>
      <c r="C3794" s="2" t="s">
        <v>39</v>
      </c>
      <c r="D3794" s="2">
        <v>55</v>
      </c>
    </row>
    <row r="3795" spans="1:4">
      <c r="A3795" s="2" t="s">
        <v>3924</v>
      </c>
      <c r="B3795" s="2" t="s">
        <v>36</v>
      </c>
      <c r="C3795" s="2" t="s">
        <v>39</v>
      </c>
      <c r="D3795" s="2">
        <v>54</v>
      </c>
    </row>
    <row r="3796" spans="1:4">
      <c r="A3796" s="2" t="s">
        <v>3912</v>
      </c>
      <c r="B3796" s="2" t="s">
        <v>36</v>
      </c>
      <c r="C3796" s="2" t="s">
        <v>39</v>
      </c>
      <c r="D3796" s="2">
        <v>53</v>
      </c>
    </row>
    <row r="3797" spans="1:4">
      <c r="A3797" s="2" t="s">
        <v>2076</v>
      </c>
      <c r="B3797" s="2" t="s">
        <v>36</v>
      </c>
      <c r="C3797" s="2" t="s">
        <v>39</v>
      </c>
      <c r="D3797" s="2">
        <v>53</v>
      </c>
    </row>
    <row r="3798" spans="1:4">
      <c r="A3798" s="2" t="s">
        <v>343</v>
      </c>
      <c r="B3798" s="2" t="s">
        <v>36</v>
      </c>
      <c r="C3798" s="2" t="s">
        <v>39</v>
      </c>
      <c r="D3798" s="2">
        <v>53</v>
      </c>
    </row>
    <row r="3799" spans="1:4">
      <c r="A3799" s="2" t="s">
        <v>1975</v>
      </c>
      <c r="B3799" s="2" t="s">
        <v>36</v>
      </c>
      <c r="C3799" s="2" t="s">
        <v>39</v>
      </c>
      <c r="D3799" s="2">
        <v>53</v>
      </c>
    </row>
    <row r="3800" spans="1:4">
      <c r="A3800" s="2" t="s">
        <v>3516</v>
      </c>
      <c r="B3800" s="2" t="s">
        <v>36</v>
      </c>
      <c r="C3800" s="2" t="s">
        <v>39</v>
      </c>
      <c r="D3800" s="2">
        <v>52</v>
      </c>
    </row>
    <row r="3801" spans="1:4">
      <c r="A3801" s="2" t="s">
        <v>422</v>
      </c>
      <c r="B3801" s="2" t="s">
        <v>36</v>
      </c>
      <c r="C3801" s="2" t="s">
        <v>39</v>
      </c>
      <c r="D3801" s="2">
        <v>52</v>
      </c>
    </row>
    <row r="3802" spans="1:4">
      <c r="A3802" s="2" t="s">
        <v>3575</v>
      </c>
      <c r="B3802" s="2" t="s">
        <v>36</v>
      </c>
      <c r="C3802" s="2" t="s">
        <v>39</v>
      </c>
      <c r="D3802" s="2">
        <v>51</v>
      </c>
    </row>
    <row r="3803" spans="1:4">
      <c r="A3803" s="2" t="s">
        <v>4704</v>
      </c>
      <c r="B3803" s="2" t="s">
        <v>36</v>
      </c>
      <c r="C3803" s="2" t="s">
        <v>39</v>
      </c>
      <c r="D3803" s="2">
        <v>50</v>
      </c>
    </row>
    <row r="3804" spans="1:4">
      <c r="A3804" s="2" t="s">
        <v>1636</v>
      </c>
      <c r="B3804" s="2" t="s">
        <v>36</v>
      </c>
      <c r="C3804" s="2" t="s">
        <v>39</v>
      </c>
      <c r="D3804" s="2">
        <v>49</v>
      </c>
    </row>
    <row r="3805" spans="1:4">
      <c r="A3805" s="2" t="s">
        <v>360</v>
      </c>
      <c r="B3805" s="2" t="s">
        <v>36</v>
      </c>
      <c r="C3805" s="2" t="s">
        <v>39</v>
      </c>
      <c r="D3805" s="2">
        <v>49</v>
      </c>
    </row>
    <row r="3806" spans="1:4">
      <c r="A3806" s="2" t="s">
        <v>2042</v>
      </c>
      <c r="B3806" s="2" t="s">
        <v>36</v>
      </c>
      <c r="C3806" s="2" t="s">
        <v>39</v>
      </c>
      <c r="D3806" s="2">
        <v>49</v>
      </c>
    </row>
    <row r="3807" spans="1:4">
      <c r="A3807" s="2" t="s">
        <v>3070</v>
      </c>
      <c r="B3807" s="2" t="s">
        <v>36</v>
      </c>
      <c r="C3807" s="2" t="s">
        <v>39</v>
      </c>
      <c r="D3807" s="2">
        <v>49</v>
      </c>
    </row>
    <row r="3808" spans="1:4">
      <c r="A3808" s="2" t="s">
        <v>3580</v>
      </c>
      <c r="B3808" s="2" t="s">
        <v>36</v>
      </c>
      <c r="C3808" s="2" t="s">
        <v>39</v>
      </c>
      <c r="D3808" s="2">
        <v>49</v>
      </c>
    </row>
    <row r="3809" spans="1:4">
      <c r="A3809" s="2" t="s">
        <v>4637</v>
      </c>
      <c r="B3809" s="2" t="s">
        <v>36</v>
      </c>
      <c r="C3809" s="2" t="s">
        <v>39</v>
      </c>
      <c r="D3809" s="2">
        <v>48</v>
      </c>
    </row>
    <row r="3810" spans="1:4">
      <c r="A3810" s="2" t="s">
        <v>1658</v>
      </c>
      <c r="B3810" s="2" t="s">
        <v>36</v>
      </c>
      <c r="C3810" s="2" t="s">
        <v>39</v>
      </c>
      <c r="D3810" s="2">
        <v>48</v>
      </c>
    </row>
    <row r="3811" spans="1:4">
      <c r="A3811" s="2" t="s">
        <v>1657</v>
      </c>
      <c r="B3811" s="2" t="s">
        <v>36</v>
      </c>
      <c r="C3811" s="2" t="s">
        <v>39</v>
      </c>
      <c r="D3811" s="2">
        <v>47</v>
      </c>
    </row>
    <row r="3812" spans="1:4">
      <c r="A3812" s="2" t="s">
        <v>341</v>
      </c>
      <c r="B3812" s="2" t="s">
        <v>36</v>
      </c>
      <c r="C3812" s="2" t="s">
        <v>39</v>
      </c>
      <c r="D3812" s="2">
        <v>47</v>
      </c>
    </row>
    <row r="3813" spans="1:4">
      <c r="A3813" s="2" t="s">
        <v>2522</v>
      </c>
      <c r="B3813" s="2" t="s">
        <v>36</v>
      </c>
      <c r="C3813" s="2" t="s">
        <v>39</v>
      </c>
      <c r="D3813" s="2">
        <v>47</v>
      </c>
    </row>
    <row r="3814" spans="1:4">
      <c r="A3814" s="2" t="s">
        <v>3511</v>
      </c>
      <c r="B3814" s="2" t="s">
        <v>36</v>
      </c>
      <c r="C3814" s="2" t="s">
        <v>39</v>
      </c>
      <c r="D3814" s="2">
        <v>47</v>
      </c>
    </row>
    <row r="3815" spans="1:4">
      <c r="A3815" s="2" t="s">
        <v>4271</v>
      </c>
      <c r="B3815" s="2" t="s">
        <v>36</v>
      </c>
      <c r="C3815" s="2" t="s">
        <v>39</v>
      </c>
      <c r="D3815" s="2">
        <v>47</v>
      </c>
    </row>
    <row r="3816" spans="1:4">
      <c r="A3816" s="2" t="s">
        <v>3918</v>
      </c>
      <c r="B3816" s="2" t="s">
        <v>36</v>
      </c>
      <c r="C3816" s="2" t="s">
        <v>39</v>
      </c>
      <c r="D3816" s="2">
        <v>45</v>
      </c>
    </row>
    <row r="3817" spans="1:4">
      <c r="A3817" s="2" t="s">
        <v>368</v>
      </c>
      <c r="B3817" s="2" t="s">
        <v>36</v>
      </c>
      <c r="C3817" s="2" t="s">
        <v>39</v>
      </c>
      <c r="D3817" s="2">
        <v>45</v>
      </c>
    </row>
    <row r="3818" spans="1:4">
      <c r="A3818" s="2" t="s">
        <v>1997</v>
      </c>
      <c r="B3818" s="2" t="s">
        <v>36</v>
      </c>
      <c r="C3818" s="2" t="s">
        <v>39</v>
      </c>
      <c r="D3818" s="2">
        <v>45</v>
      </c>
    </row>
    <row r="3819" spans="1:4">
      <c r="A3819" s="2" t="s">
        <v>3021</v>
      </c>
      <c r="B3819" s="2" t="s">
        <v>36</v>
      </c>
      <c r="C3819" s="2" t="s">
        <v>39</v>
      </c>
      <c r="D3819" s="2">
        <v>45</v>
      </c>
    </row>
    <row r="3820" spans="1:4">
      <c r="A3820" s="2" t="s">
        <v>3572</v>
      </c>
      <c r="B3820" s="2" t="s">
        <v>36</v>
      </c>
      <c r="C3820" s="2" t="s">
        <v>39</v>
      </c>
      <c r="D3820" s="2">
        <v>45</v>
      </c>
    </row>
    <row r="3821" spans="1:4">
      <c r="A3821" s="2" t="s">
        <v>4670</v>
      </c>
      <c r="B3821" s="2" t="s">
        <v>36</v>
      </c>
      <c r="C3821" s="2" t="s">
        <v>39</v>
      </c>
      <c r="D3821" s="2">
        <v>44</v>
      </c>
    </row>
    <row r="3822" spans="1:4">
      <c r="A3822" s="2" t="s">
        <v>4616</v>
      </c>
      <c r="B3822" s="2" t="s">
        <v>36</v>
      </c>
      <c r="C3822" s="2" t="s">
        <v>39</v>
      </c>
      <c r="D3822" s="2">
        <v>44</v>
      </c>
    </row>
    <row r="3823" spans="1:4">
      <c r="A3823" s="2" t="s">
        <v>3084</v>
      </c>
      <c r="B3823" s="2" t="s">
        <v>36</v>
      </c>
      <c r="C3823" s="2" t="s">
        <v>39</v>
      </c>
      <c r="D3823" s="2">
        <v>43</v>
      </c>
    </row>
    <row r="3824" spans="1:4">
      <c r="A3824" s="2" t="s">
        <v>4583</v>
      </c>
      <c r="B3824" s="2" t="s">
        <v>36</v>
      </c>
      <c r="C3824" s="2" t="s">
        <v>39</v>
      </c>
      <c r="D3824" s="2">
        <v>43</v>
      </c>
    </row>
    <row r="3825" spans="1:4">
      <c r="A3825" s="2" t="s">
        <v>3023</v>
      </c>
      <c r="B3825" s="2" t="s">
        <v>36</v>
      </c>
      <c r="C3825" s="2" t="s">
        <v>39</v>
      </c>
      <c r="D3825" s="2">
        <v>43</v>
      </c>
    </row>
    <row r="3826" spans="1:4">
      <c r="A3826" s="2" t="s">
        <v>4636</v>
      </c>
      <c r="B3826" s="2" t="s">
        <v>36</v>
      </c>
      <c r="C3826" s="2" t="s">
        <v>39</v>
      </c>
      <c r="D3826" s="2">
        <v>43</v>
      </c>
    </row>
    <row r="3827" spans="1:4">
      <c r="A3827" s="2" t="s">
        <v>3997</v>
      </c>
      <c r="B3827" s="2" t="s">
        <v>36</v>
      </c>
      <c r="C3827" s="2" t="s">
        <v>39</v>
      </c>
      <c r="D3827" s="2">
        <v>43</v>
      </c>
    </row>
    <row r="3828" spans="1:4">
      <c r="A3828" s="2" t="s">
        <v>1200</v>
      </c>
      <c r="B3828" s="2" t="s">
        <v>36</v>
      </c>
      <c r="C3828" s="2" t="s">
        <v>39</v>
      </c>
      <c r="D3828" s="2">
        <v>42</v>
      </c>
    </row>
    <row r="3829" spans="1:4">
      <c r="A3829" s="2" t="s">
        <v>1167</v>
      </c>
      <c r="B3829" s="2" t="s">
        <v>36</v>
      </c>
      <c r="C3829" s="2" t="s">
        <v>39</v>
      </c>
      <c r="D3829" s="2">
        <v>42</v>
      </c>
    </row>
    <row r="3830" spans="1:4">
      <c r="A3830" s="2" t="s">
        <v>2069</v>
      </c>
      <c r="B3830" s="2" t="s">
        <v>36</v>
      </c>
      <c r="C3830" s="2" t="s">
        <v>39</v>
      </c>
      <c r="D3830" s="2">
        <v>42</v>
      </c>
    </row>
    <row r="3831" spans="1:4">
      <c r="A3831" s="2" t="s">
        <v>1999</v>
      </c>
      <c r="B3831" s="2" t="s">
        <v>36</v>
      </c>
      <c r="C3831" s="2" t="s">
        <v>39</v>
      </c>
      <c r="D3831" s="2">
        <v>41</v>
      </c>
    </row>
    <row r="3832" spans="1:4">
      <c r="A3832" s="2" t="s">
        <v>3543</v>
      </c>
      <c r="B3832" s="2" t="s">
        <v>36</v>
      </c>
      <c r="C3832" s="2" t="s">
        <v>39</v>
      </c>
      <c r="D3832" s="2">
        <v>40</v>
      </c>
    </row>
    <row r="3833" spans="1:4">
      <c r="A3833" s="2" t="s">
        <v>4623</v>
      </c>
      <c r="B3833" s="2" t="s">
        <v>36</v>
      </c>
      <c r="C3833" s="2" t="s">
        <v>39</v>
      </c>
      <c r="D3833" s="2">
        <v>40</v>
      </c>
    </row>
    <row r="3834" spans="1:4">
      <c r="A3834" s="2" t="s">
        <v>2002</v>
      </c>
      <c r="B3834" s="2" t="s">
        <v>36</v>
      </c>
      <c r="C3834" s="2" t="s">
        <v>39</v>
      </c>
      <c r="D3834" s="2">
        <v>40</v>
      </c>
    </row>
    <row r="3835" spans="1:4">
      <c r="A3835" s="2" t="s">
        <v>4649</v>
      </c>
      <c r="B3835" s="2" t="s">
        <v>36</v>
      </c>
      <c r="C3835" s="2" t="s">
        <v>39</v>
      </c>
      <c r="D3835" s="2">
        <v>39</v>
      </c>
    </row>
    <row r="3836" spans="1:4">
      <c r="A3836" s="2" t="s">
        <v>3964</v>
      </c>
      <c r="B3836" s="2" t="s">
        <v>36</v>
      </c>
      <c r="C3836" s="2" t="s">
        <v>39</v>
      </c>
      <c r="D3836" s="2">
        <v>39</v>
      </c>
    </row>
    <row r="3837" spans="1:4">
      <c r="A3837" s="2" t="s">
        <v>2643</v>
      </c>
      <c r="B3837" s="2" t="s">
        <v>36</v>
      </c>
      <c r="C3837" s="2" t="s">
        <v>39</v>
      </c>
      <c r="D3837" s="2">
        <v>39</v>
      </c>
    </row>
    <row r="3838" spans="1:4">
      <c r="A3838" s="2" t="s">
        <v>4634</v>
      </c>
      <c r="B3838" s="2" t="s">
        <v>36</v>
      </c>
      <c r="C3838" s="2" t="s">
        <v>39</v>
      </c>
      <c r="D3838" s="2">
        <v>39</v>
      </c>
    </row>
    <row r="3839" spans="1:4">
      <c r="A3839" s="2" t="s">
        <v>3538</v>
      </c>
      <c r="B3839" s="2" t="s">
        <v>36</v>
      </c>
      <c r="C3839" s="2" t="s">
        <v>39</v>
      </c>
      <c r="D3839" s="2">
        <v>38</v>
      </c>
    </row>
    <row r="3840" spans="1:4">
      <c r="A3840" s="2" t="s">
        <v>2013</v>
      </c>
      <c r="B3840" s="2" t="s">
        <v>36</v>
      </c>
      <c r="C3840" s="2" t="s">
        <v>39</v>
      </c>
      <c r="D3840" s="2">
        <v>38</v>
      </c>
    </row>
    <row r="3841" spans="1:4">
      <c r="A3841" s="2" t="s">
        <v>2030</v>
      </c>
      <c r="B3841" s="2" t="s">
        <v>36</v>
      </c>
      <c r="C3841" s="2" t="s">
        <v>39</v>
      </c>
      <c r="D3841" s="2">
        <v>38</v>
      </c>
    </row>
    <row r="3842" spans="1:4">
      <c r="A3842" s="2" t="s">
        <v>3530</v>
      </c>
      <c r="B3842" s="2" t="s">
        <v>36</v>
      </c>
      <c r="C3842" s="2" t="s">
        <v>39</v>
      </c>
      <c r="D3842" s="2">
        <v>38</v>
      </c>
    </row>
    <row r="3843" spans="1:4">
      <c r="A3843" s="2" t="s">
        <v>3563</v>
      </c>
      <c r="B3843" s="2" t="s">
        <v>36</v>
      </c>
      <c r="C3843" s="2" t="s">
        <v>39</v>
      </c>
      <c r="D3843" s="2">
        <v>37</v>
      </c>
    </row>
    <row r="3844" spans="1:4">
      <c r="A3844" s="2" t="s">
        <v>3529</v>
      </c>
      <c r="B3844" s="2" t="s">
        <v>36</v>
      </c>
      <c r="C3844" s="2" t="s">
        <v>39</v>
      </c>
      <c r="D3844" s="2">
        <v>37</v>
      </c>
    </row>
    <row r="3845" spans="1:4">
      <c r="A3845" s="2" t="s">
        <v>4701</v>
      </c>
      <c r="B3845" s="2" t="s">
        <v>36</v>
      </c>
      <c r="C3845" s="2" t="s">
        <v>39</v>
      </c>
      <c r="D3845" s="2">
        <v>37</v>
      </c>
    </row>
    <row r="3846" spans="1:4">
      <c r="A3846" s="2" t="s">
        <v>3900</v>
      </c>
      <c r="B3846" s="2" t="s">
        <v>36</v>
      </c>
      <c r="C3846" s="2" t="s">
        <v>39</v>
      </c>
      <c r="D3846" s="2">
        <v>37</v>
      </c>
    </row>
    <row r="3847" spans="1:4">
      <c r="A3847" s="2" t="s">
        <v>2009</v>
      </c>
      <c r="B3847" s="2" t="s">
        <v>36</v>
      </c>
      <c r="C3847" s="2" t="s">
        <v>39</v>
      </c>
      <c r="D3847" s="2">
        <v>37</v>
      </c>
    </row>
    <row r="3848" spans="1:4">
      <c r="A3848" s="2" t="s">
        <v>4274</v>
      </c>
      <c r="B3848" s="2" t="s">
        <v>36</v>
      </c>
      <c r="C3848" s="2" t="s">
        <v>39</v>
      </c>
      <c r="D3848" s="2">
        <v>37</v>
      </c>
    </row>
    <row r="3849" spans="1:4">
      <c r="A3849" s="2" t="s">
        <v>1171</v>
      </c>
      <c r="B3849" s="2" t="s">
        <v>36</v>
      </c>
      <c r="C3849" s="2" t="s">
        <v>39</v>
      </c>
      <c r="D3849" s="2">
        <v>36</v>
      </c>
    </row>
    <row r="3850" spans="1:4">
      <c r="A3850" s="2" t="s">
        <v>4293</v>
      </c>
      <c r="B3850" s="2" t="s">
        <v>36</v>
      </c>
      <c r="C3850" s="2" t="s">
        <v>39</v>
      </c>
      <c r="D3850" s="2">
        <v>36</v>
      </c>
    </row>
    <row r="3851" spans="1:4">
      <c r="A3851" s="2" t="s">
        <v>3966</v>
      </c>
      <c r="B3851" s="2" t="s">
        <v>36</v>
      </c>
      <c r="C3851" s="2" t="s">
        <v>39</v>
      </c>
      <c r="D3851" s="2">
        <v>36</v>
      </c>
    </row>
    <row r="3852" spans="1:4">
      <c r="A3852" s="2" t="s">
        <v>1208</v>
      </c>
      <c r="B3852" s="2" t="s">
        <v>36</v>
      </c>
      <c r="C3852" s="2" t="s">
        <v>39</v>
      </c>
      <c r="D3852" s="2">
        <v>36</v>
      </c>
    </row>
    <row r="3853" spans="1:4">
      <c r="A3853" s="2" t="s">
        <v>3018</v>
      </c>
      <c r="B3853" s="2" t="s">
        <v>36</v>
      </c>
      <c r="C3853" s="2" t="s">
        <v>39</v>
      </c>
      <c r="D3853" s="2">
        <v>36</v>
      </c>
    </row>
    <row r="3854" spans="1:4">
      <c r="A3854" s="2" t="s">
        <v>4296</v>
      </c>
      <c r="B3854" s="2" t="s">
        <v>36</v>
      </c>
      <c r="C3854" s="2" t="s">
        <v>39</v>
      </c>
      <c r="D3854" s="2">
        <v>35</v>
      </c>
    </row>
    <row r="3855" spans="1:4">
      <c r="A3855" s="2" t="s">
        <v>1988</v>
      </c>
      <c r="B3855" s="2" t="s">
        <v>36</v>
      </c>
      <c r="C3855" s="2" t="s">
        <v>39</v>
      </c>
      <c r="D3855" s="2">
        <v>35</v>
      </c>
    </row>
    <row r="3856" spans="1:4">
      <c r="A3856" s="2" t="s">
        <v>4654</v>
      </c>
      <c r="B3856" s="2" t="s">
        <v>36</v>
      </c>
      <c r="C3856" s="2" t="s">
        <v>39</v>
      </c>
      <c r="D3856" s="2">
        <v>35</v>
      </c>
    </row>
    <row r="3857" spans="1:4">
      <c r="A3857" s="2" t="s">
        <v>3488</v>
      </c>
      <c r="B3857" s="2" t="s">
        <v>36</v>
      </c>
      <c r="C3857" s="2" t="s">
        <v>39</v>
      </c>
      <c r="D3857" s="2">
        <v>35</v>
      </c>
    </row>
    <row r="3858" spans="1:4">
      <c r="A3858" s="2" t="s">
        <v>3583</v>
      </c>
      <c r="B3858" s="2" t="s">
        <v>36</v>
      </c>
      <c r="C3858" s="2" t="s">
        <v>39</v>
      </c>
      <c r="D3858" s="2">
        <v>35</v>
      </c>
    </row>
    <row r="3859" spans="1:4">
      <c r="A3859" s="2" t="s">
        <v>4313</v>
      </c>
      <c r="B3859" s="2" t="s">
        <v>36</v>
      </c>
      <c r="C3859" s="2" t="s">
        <v>39</v>
      </c>
      <c r="D3859" s="2">
        <v>34</v>
      </c>
    </row>
    <row r="3860" spans="1:4">
      <c r="A3860" s="2" t="s">
        <v>2060</v>
      </c>
      <c r="B3860" s="2" t="s">
        <v>36</v>
      </c>
      <c r="C3860" s="2" t="s">
        <v>39</v>
      </c>
      <c r="D3860" s="2">
        <v>34</v>
      </c>
    </row>
    <row r="3861" spans="1:4">
      <c r="A3861" s="2" t="s">
        <v>2524</v>
      </c>
      <c r="B3861" s="2" t="s">
        <v>36</v>
      </c>
      <c r="C3861" s="2" t="s">
        <v>39</v>
      </c>
      <c r="D3861" s="2">
        <v>34</v>
      </c>
    </row>
    <row r="3862" spans="1:4">
      <c r="A3862" s="2" t="s">
        <v>2090</v>
      </c>
      <c r="B3862" s="2" t="s">
        <v>36</v>
      </c>
      <c r="C3862" s="2" t="s">
        <v>39</v>
      </c>
      <c r="D3862" s="2">
        <v>34</v>
      </c>
    </row>
    <row r="3863" spans="1:4">
      <c r="A3863" s="2" t="s">
        <v>1632</v>
      </c>
      <c r="B3863" s="2" t="s">
        <v>36</v>
      </c>
      <c r="C3863" s="2" t="s">
        <v>39</v>
      </c>
      <c r="D3863" s="2">
        <v>33</v>
      </c>
    </row>
    <row r="3864" spans="1:4">
      <c r="A3864" s="2" t="s">
        <v>1152</v>
      </c>
      <c r="B3864" s="2" t="s">
        <v>36</v>
      </c>
      <c r="C3864" s="2" t="s">
        <v>39</v>
      </c>
      <c r="D3864" s="2">
        <v>33</v>
      </c>
    </row>
    <row r="3865" spans="1:4">
      <c r="A3865" s="2" t="s">
        <v>1643</v>
      </c>
      <c r="B3865" s="2" t="s">
        <v>36</v>
      </c>
      <c r="C3865" s="2" t="s">
        <v>39</v>
      </c>
      <c r="D3865" s="2">
        <v>33</v>
      </c>
    </row>
    <row r="3866" spans="1:4">
      <c r="A3866" s="2" t="s">
        <v>1637</v>
      </c>
      <c r="B3866" s="2" t="s">
        <v>36</v>
      </c>
      <c r="C3866" s="2" t="s">
        <v>39</v>
      </c>
      <c r="D3866" s="2">
        <v>33</v>
      </c>
    </row>
    <row r="3867" spans="1:4">
      <c r="A3867" s="2" t="s">
        <v>4659</v>
      </c>
      <c r="B3867" s="2" t="s">
        <v>36</v>
      </c>
      <c r="C3867" s="2" t="s">
        <v>39</v>
      </c>
      <c r="D3867" s="2">
        <v>33</v>
      </c>
    </row>
    <row r="3868" spans="1:4">
      <c r="A3868" s="2" t="s">
        <v>1640</v>
      </c>
      <c r="B3868" s="2" t="s">
        <v>36</v>
      </c>
      <c r="C3868" s="2" t="s">
        <v>39</v>
      </c>
      <c r="D3868" s="2">
        <v>33</v>
      </c>
    </row>
    <row r="3869" spans="1:4">
      <c r="A3869" s="2" t="s">
        <v>2548</v>
      </c>
      <c r="B3869" s="2" t="s">
        <v>36</v>
      </c>
      <c r="C3869" s="2" t="s">
        <v>39</v>
      </c>
      <c r="D3869" s="2">
        <v>32</v>
      </c>
    </row>
    <row r="3870" spans="1:4">
      <c r="A3870" s="2" t="s">
        <v>2040</v>
      </c>
      <c r="B3870" s="2" t="s">
        <v>36</v>
      </c>
      <c r="C3870" s="2" t="s">
        <v>39</v>
      </c>
      <c r="D3870" s="2">
        <v>32</v>
      </c>
    </row>
    <row r="3871" spans="1:4">
      <c r="A3871" s="2" t="s">
        <v>4342</v>
      </c>
      <c r="B3871" s="2" t="s">
        <v>36</v>
      </c>
      <c r="C3871" s="2" t="s">
        <v>39</v>
      </c>
      <c r="D3871" s="2">
        <v>32</v>
      </c>
    </row>
    <row r="3872" spans="1:4">
      <c r="A3872" s="2" t="s">
        <v>355</v>
      </c>
      <c r="B3872" s="2" t="s">
        <v>36</v>
      </c>
      <c r="C3872" s="2" t="s">
        <v>39</v>
      </c>
      <c r="D3872" s="2">
        <v>31</v>
      </c>
    </row>
    <row r="3873" spans="1:4">
      <c r="A3873" s="2" t="s">
        <v>2574</v>
      </c>
      <c r="B3873" s="2" t="s">
        <v>36</v>
      </c>
      <c r="C3873" s="2" t="s">
        <v>39</v>
      </c>
      <c r="D3873" s="2">
        <v>31</v>
      </c>
    </row>
    <row r="3874" spans="1:4">
      <c r="A3874" s="2" t="s">
        <v>2599</v>
      </c>
      <c r="B3874" s="2" t="s">
        <v>36</v>
      </c>
      <c r="C3874" s="2" t="s">
        <v>39</v>
      </c>
      <c r="D3874" s="2">
        <v>31</v>
      </c>
    </row>
    <row r="3875" spans="1:4">
      <c r="A3875" s="2" t="s">
        <v>1653</v>
      </c>
      <c r="B3875" s="2" t="s">
        <v>36</v>
      </c>
      <c r="C3875" s="2" t="s">
        <v>39</v>
      </c>
      <c r="D3875" s="2">
        <v>31</v>
      </c>
    </row>
    <row r="3876" spans="1:4">
      <c r="A3876" s="2" t="s">
        <v>2059</v>
      </c>
      <c r="B3876" s="2" t="s">
        <v>36</v>
      </c>
      <c r="C3876" s="2" t="s">
        <v>39</v>
      </c>
      <c r="D3876" s="2">
        <v>31</v>
      </c>
    </row>
    <row r="3877" spans="1:4">
      <c r="A3877" s="2" t="s">
        <v>339</v>
      </c>
      <c r="B3877" s="2" t="s">
        <v>36</v>
      </c>
      <c r="C3877" s="2" t="s">
        <v>39</v>
      </c>
      <c r="D3877" s="2">
        <v>31</v>
      </c>
    </row>
    <row r="3878" spans="1:4">
      <c r="A3878" s="2" t="s">
        <v>3123</v>
      </c>
      <c r="B3878" s="2" t="s">
        <v>36</v>
      </c>
      <c r="C3878" s="2" t="s">
        <v>39</v>
      </c>
      <c r="D3878" s="2">
        <v>30</v>
      </c>
    </row>
    <row r="3879" spans="1:4">
      <c r="A3879" s="2" t="s">
        <v>2528</v>
      </c>
      <c r="B3879" s="2" t="s">
        <v>36</v>
      </c>
      <c r="C3879" s="2" t="s">
        <v>39</v>
      </c>
      <c r="D3879" s="2">
        <v>30</v>
      </c>
    </row>
    <row r="3880" spans="1:4">
      <c r="A3880" s="2" t="s">
        <v>1991</v>
      </c>
      <c r="B3880" s="2" t="s">
        <v>36</v>
      </c>
      <c r="C3880" s="2" t="s">
        <v>39</v>
      </c>
      <c r="D3880" s="2">
        <v>30</v>
      </c>
    </row>
    <row r="3881" spans="1:4">
      <c r="A3881" s="2" t="s">
        <v>1119</v>
      </c>
      <c r="B3881" s="2" t="s">
        <v>36</v>
      </c>
      <c r="C3881" s="2" t="s">
        <v>39</v>
      </c>
      <c r="D3881" s="2">
        <v>30</v>
      </c>
    </row>
    <row r="3882" spans="1:4">
      <c r="A3882" s="2" t="s">
        <v>1985</v>
      </c>
      <c r="B3882" s="2" t="s">
        <v>36</v>
      </c>
      <c r="C3882" s="2" t="s">
        <v>39</v>
      </c>
      <c r="D3882" s="2">
        <v>30</v>
      </c>
    </row>
    <row r="3883" spans="1:4">
      <c r="A3883" s="2" t="s">
        <v>3570</v>
      </c>
      <c r="B3883" s="2" t="s">
        <v>36</v>
      </c>
      <c r="C3883" s="2" t="s">
        <v>39</v>
      </c>
      <c r="D3883" s="2">
        <v>30</v>
      </c>
    </row>
    <row r="3884" spans="1:4">
      <c r="A3884" s="2" t="s">
        <v>375</v>
      </c>
      <c r="B3884" s="2" t="s">
        <v>36</v>
      </c>
      <c r="C3884" s="2" t="s">
        <v>39</v>
      </c>
      <c r="D3884" s="2">
        <v>29</v>
      </c>
    </row>
    <row r="3885" spans="1:4">
      <c r="A3885" s="2" t="s">
        <v>1127</v>
      </c>
      <c r="B3885" s="2" t="s">
        <v>36</v>
      </c>
      <c r="C3885" s="2" t="s">
        <v>39</v>
      </c>
      <c r="D3885" s="2">
        <v>29</v>
      </c>
    </row>
    <row r="3886" spans="1:4">
      <c r="A3886" s="2" t="s">
        <v>3959</v>
      </c>
      <c r="B3886" s="2" t="s">
        <v>36</v>
      </c>
      <c r="C3886" s="2" t="s">
        <v>39</v>
      </c>
      <c r="D3886" s="2">
        <v>29</v>
      </c>
    </row>
    <row r="3887" spans="1:4">
      <c r="A3887" s="2" t="s">
        <v>2022</v>
      </c>
      <c r="B3887" s="2" t="s">
        <v>36</v>
      </c>
      <c r="C3887" s="2" t="s">
        <v>39</v>
      </c>
      <c r="D3887" s="2">
        <v>29</v>
      </c>
    </row>
    <row r="3888" spans="1:4">
      <c r="A3888" s="2" t="s">
        <v>3501</v>
      </c>
      <c r="B3888" s="2" t="s">
        <v>36</v>
      </c>
      <c r="C3888" s="2" t="s">
        <v>39</v>
      </c>
      <c r="D3888" s="2">
        <v>29</v>
      </c>
    </row>
    <row r="3889" spans="1:4">
      <c r="A3889" s="2" t="s">
        <v>4686</v>
      </c>
      <c r="B3889" s="2" t="s">
        <v>36</v>
      </c>
      <c r="C3889" s="2" t="s">
        <v>39</v>
      </c>
      <c r="D3889" s="2">
        <v>29</v>
      </c>
    </row>
    <row r="3890" spans="1:4">
      <c r="A3890" s="2" t="s">
        <v>4652</v>
      </c>
      <c r="B3890" s="2" t="s">
        <v>36</v>
      </c>
      <c r="C3890" s="2" t="s">
        <v>39</v>
      </c>
      <c r="D3890" s="2">
        <v>29</v>
      </c>
    </row>
    <row r="3891" spans="1:4">
      <c r="A3891" s="2" t="s">
        <v>3581</v>
      </c>
      <c r="B3891" s="2" t="s">
        <v>36</v>
      </c>
      <c r="C3891" s="2" t="s">
        <v>39</v>
      </c>
      <c r="D3891" s="2">
        <v>29</v>
      </c>
    </row>
    <row r="3892" spans="1:4">
      <c r="A3892" s="2" t="s">
        <v>337</v>
      </c>
      <c r="B3892" s="2" t="s">
        <v>36</v>
      </c>
      <c r="C3892" s="2" t="s">
        <v>39</v>
      </c>
      <c r="D3892" s="2">
        <v>28</v>
      </c>
    </row>
    <row r="3893" spans="1:4">
      <c r="A3893" s="2" t="s">
        <v>1158</v>
      </c>
      <c r="B3893" s="2" t="s">
        <v>36</v>
      </c>
      <c r="C3893" s="2" t="s">
        <v>39</v>
      </c>
      <c r="D3893" s="2">
        <v>28</v>
      </c>
    </row>
    <row r="3894" spans="1:4">
      <c r="A3894" s="2" t="s">
        <v>1981</v>
      </c>
      <c r="B3894" s="2" t="s">
        <v>36</v>
      </c>
      <c r="C3894" s="2" t="s">
        <v>39</v>
      </c>
      <c r="D3894" s="2">
        <v>28</v>
      </c>
    </row>
    <row r="3895" spans="1:4">
      <c r="A3895" s="2" t="s">
        <v>4648</v>
      </c>
      <c r="B3895" s="2" t="s">
        <v>36</v>
      </c>
      <c r="C3895" s="2" t="s">
        <v>39</v>
      </c>
      <c r="D3895" s="2">
        <v>28</v>
      </c>
    </row>
    <row r="3896" spans="1:4">
      <c r="A3896" s="2" t="s">
        <v>3979</v>
      </c>
      <c r="B3896" s="2" t="s">
        <v>36</v>
      </c>
      <c r="C3896" s="2" t="s">
        <v>39</v>
      </c>
      <c r="D3896" s="2">
        <v>28</v>
      </c>
    </row>
    <row r="3897" spans="1:4">
      <c r="A3897" s="2" t="s">
        <v>4657</v>
      </c>
      <c r="B3897" s="2" t="s">
        <v>36</v>
      </c>
      <c r="C3897" s="2" t="s">
        <v>39</v>
      </c>
      <c r="D3897" s="2">
        <v>27</v>
      </c>
    </row>
    <row r="3898" spans="1:4">
      <c r="A3898" s="2" t="s">
        <v>4680</v>
      </c>
      <c r="B3898" s="2" t="s">
        <v>36</v>
      </c>
      <c r="C3898" s="2" t="s">
        <v>39</v>
      </c>
      <c r="D3898" s="2">
        <v>27</v>
      </c>
    </row>
    <row r="3899" spans="1:4">
      <c r="A3899" s="2" t="s">
        <v>3571</v>
      </c>
      <c r="B3899" s="2" t="s">
        <v>36</v>
      </c>
      <c r="C3899" s="2" t="s">
        <v>39</v>
      </c>
      <c r="D3899" s="2">
        <v>27</v>
      </c>
    </row>
    <row r="3900" spans="1:4">
      <c r="A3900" s="2" t="s">
        <v>2071</v>
      </c>
      <c r="B3900" s="2" t="s">
        <v>36</v>
      </c>
      <c r="C3900" s="2" t="s">
        <v>39</v>
      </c>
      <c r="D3900" s="2">
        <v>27</v>
      </c>
    </row>
    <row r="3901" spans="1:4">
      <c r="A3901" s="2" t="s">
        <v>2539</v>
      </c>
      <c r="B3901" s="2" t="s">
        <v>36</v>
      </c>
      <c r="C3901" s="2" t="s">
        <v>39</v>
      </c>
      <c r="D3901" s="2">
        <v>26</v>
      </c>
    </row>
    <row r="3902" spans="1:4">
      <c r="A3902" s="2" t="s">
        <v>2008</v>
      </c>
      <c r="B3902" s="2" t="s">
        <v>36</v>
      </c>
      <c r="C3902" s="2" t="s">
        <v>39</v>
      </c>
      <c r="D3902" s="2">
        <v>26</v>
      </c>
    </row>
    <row r="3903" spans="1:4">
      <c r="A3903" s="2" t="s">
        <v>3037</v>
      </c>
      <c r="B3903" s="2" t="s">
        <v>36</v>
      </c>
      <c r="C3903" s="2" t="s">
        <v>39</v>
      </c>
      <c r="D3903" s="2">
        <v>26</v>
      </c>
    </row>
    <row r="3904" spans="1:4">
      <c r="A3904" s="2" t="s">
        <v>1639</v>
      </c>
      <c r="B3904" s="2" t="s">
        <v>36</v>
      </c>
      <c r="C3904" s="2" t="s">
        <v>39</v>
      </c>
      <c r="D3904" s="2">
        <v>26</v>
      </c>
    </row>
    <row r="3905" spans="1:4">
      <c r="A3905" s="2" t="s">
        <v>1641</v>
      </c>
      <c r="B3905" s="2" t="s">
        <v>36</v>
      </c>
      <c r="C3905" s="2" t="s">
        <v>39</v>
      </c>
      <c r="D3905" s="2">
        <v>26</v>
      </c>
    </row>
    <row r="3906" spans="1:4">
      <c r="A3906" s="2" t="s">
        <v>3078</v>
      </c>
      <c r="B3906" s="2" t="s">
        <v>36</v>
      </c>
      <c r="C3906" s="2" t="s">
        <v>39</v>
      </c>
      <c r="D3906" s="2">
        <v>26</v>
      </c>
    </row>
    <row r="3907" spans="1:4">
      <c r="A3907" s="2" t="s">
        <v>3936</v>
      </c>
      <c r="B3907" s="2" t="s">
        <v>36</v>
      </c>
      <c r="C3907" s="2" t="s">
        <v>39</v>
      </c>
      <c r="D3907" s="2">
        <v>25</v>
      </c>
    </row>
    <row r="3908" spans="1:4">
      <c r="A3908" s="2" t="s">
        <v>2036</v>
      </c>
      <c r="B3908" s="2" t="s">
        <v>36</v>
      </c>
      <c r="C3908" s="2" t="s">
        <v>39</v>
      </c>
      <c r="D3908" s="2">
        <v>25</v>
      </c>
    </row>
    <row r="3909" spans="1:4">
      <c r="A3909" s="2" t="s">
        <v>1660</v>
      </c>
      <c r="B3909" s="2" t="s">
        <v>36</v>
      </c>
      <c r="C3909" s="2" t="s">
        <v>39</v>
      </c>
      <c r="D3909" s="2">
        <v>25</v>
      </c>
    </row>
    <row r="3910" spans="1:4">
      <c r="A3910" s="2" t="s">
        <v>3485</v>
      </c>
      <c r="B3910" s="2" t="s">
        <v>36</v>
      </c>
      <c r="C3910" s="2" t="s">
        <v>39</v>
      </c>
      <c r="D3910" s="2">
        <v>25</v>
      </c>
    </row>
    <row r="3911" spans="1:4">
      <c r="A3911" s="2" t="s">
        <v>2066</v>
      </c>
      <c r="B3911" s="2" t="s">
        <v>36</v>
      </c>
      <c r="C3911" s="2" t="s">
        <v>39</v>
      </c>
      <c r="D3911" s="2">
        <v>24</v>
      </c>
    </row>
    <row r="3912" spans="1:4">
      <c r="A3912" s="2" t="s">
        <v>3036</v>
      </c>
      <c r="B3912" s="2" t="s">
        <v>36</v>
      </c>
      <c r="C3912" s="2" t="s">
        <v>39</v>
      </c>
      <c r="D3912" s="2">
        <v>24</v>
      </c>
    </row>
    <row r="3913" spans="1:4">
      <c r="A3913" s="2" t="s">
        <v>4611</v>
      </c>
      <c r="B3913" s="2" t="s">
        <v>36</v>
      </c>
      <c r="C3913" s="2" t="s">
        <v>39</v>
      </c>
      <c r="D3913" s="2">
        <v>24</v>
      </c>
    </row>
    <row r="3914" spans="1:4">
      <c r="A3914" s="2" t="s">
        <v>4675</v>
      </c>
      <c r="B3914" s="2" t="s">
        <v>36</v>
      </c>
      <c r="C3914" s="2" t="s">
        <v>39</v>
      </c>
      <c r="D3914" s="2">
        <v>24</v>
      </c>
    </row>
    <row r="3915" spans="1:4">
      <c r="A3915" s="2" t="s">
        <v>3928</v>
      </c>
      <c r="B3915" s="2" t="s">
        <v>36</v>
      </c>
      <c r="C3915" s="2" t="s">
        <v>39</v>
      </c>
      <c r="D3915" s="2">
        <v>24</v>
      </c>
    </row>
    <row r="3916" spans="1:4">
      <c r="A3916" s="2" t="s">
        <v>3503</v>
      </c>
      <c r="B3916" s="2" t="s">
        <v>36</v>
      </c>
      <c r="C3916" s="2" t="s">
        <v>39</v>
      </c>
      <c r="D3916" s="2">
        <v>24</v>
      </c>
    </row>
    <row r="3917" spans="1:4">
      <c r="A3917" s="2" t="s">
        <v>3578</v>
      </c>
      <c r="B3917" s="2" t="s">
        <v>36</v>
      </c>
      <c r="C3917" s="2" t="s">
        <v>39</v>
      </c>
      <c r="D3917" s="2">
        <v>24</v>
      </c>
    </row>
    <row r="3918" spans="1:4">
      <c r="A3918" s="2" t="s">
        <v>3909</v>
      </c>
      <c r="B3918" s="2" t="s">
        <v>36</v>
      </c>
      <c r="C3918" s="2" t="s">
        <v>39</v>
      </c>
      <c r="D3918" s="2">
        <v>24</v>
      </c>
    </row>
    <row r="3919" spans="1:4">
      <c r="A3919" s="2" t="s">
        <v>3497</v>
      </c>
      <c r="B3919" s="2" t="s">
        <v>36</v>
      </c>
      <c r="C3919" s="2" t="s">
        <v>39</v>
      </c>
      <c r="D3919" s="2">
        <v>24</v>
      </c>
    </row>
    <row r="3920" spans="1:4">
      <c r="A3920" s="2" t="s">
        <v>3515</v>
      </c>
      <c r="B3920" s="2" t="s">
        <v>36</v>
      </c>
      <c r="C3920" s="2" t="s">
        <v>39</v>
      </c>
      <c r="D3920" s="2">
        <v>23</v>
      </c>
    </row>
    <row r="3921" spans="1:4">
      <c r="A3921" s="2" t="s">
        <v>415</v>
      </c>
      <c r="B3921" s="2" t="s">
        <v>36</v>
      </c>
      <c r="C3921" s="2" t="s">
        <v>39</v>
      </c>
      <c r="D3921" s="2">
        <v>23</v>
      </c>
    </row>
    <row r="3922" spans="1:4">
      <c r="A3922" s="2" t="s">
        <v>4332</v>
      </c>
      <c r="B3922" s="2" t="s">
        <v>36</v>
      </c>
      <c r="C3922" s="2" t="s">
        <v>39</v>
      </c>
      <c r="D3922" s="2">
        <v>23</v>
      </c>
    </row>
    <row r="3923" spans="1:4">
      <c r="A3923" s="2" t="s">
        <v>1674</v>
      </c>
      <c r="B3923" s="2" t="s">
        <v>36</v>
      </c>
      <c r="C3923" s="2" t="s">
        <v>39</v>
      </c>
      <c r="D3923" s="2">
        <v>23</v>
      </c>
    </row>
    <row r="3924" spans="1:4">
      <c r="A3924" s="2" t="s">
        <v>4627</v>
      </c>
      <c r="B3924" s="2" t="s">
        <v>36</v>
      </c>
      <c r="C3924" s="2" t="s">
        <v>39</v>
      </c>
      <c r="D3924" s="2">
        <v>23</v>
      </c>
    </row>
    <row r="3925" spans="1:4">
      <c r="A3925" s="2" t="s">
        <v>4597</v>
      </c>
      <c r="B3925" s="2" t="s">
        <v>36</v>
      </c>
      <c r="C3925" s="2" t="s">
        <v>39</v>
      </c>
      <c r="D3925" s="2">
        <v>23</v>
      </c>
    </row>
    <row r="3926" spans="1:4">
      <c r="A3926" s="2" t="s">
        <v>4599</v>
      </c>
      <c r="B3926" s="2" t="s">
        <v>36</v>
      </c>
      <c r="C3926" s="2" t="s">
        <v>39</v>
      </c>
      <c r="D3926" s="2">
        <v>23</v>
      </c>
    </row>
    <row r="3927" spans="1:4">
      <c r="A3927" s="2" t="s">
        <v>3029</v>
      </c>
      <c r="B3927" s="2" t="s">
        <v>36</v>
      </c>
      <c r="C3927" s="2" t="s">
        <v>39</v>
      </c>
      <c r="D3927" s="2">
        <v>23</v>
      </c>
    </row>
    <row r="3928" spans="1:4">
      <c r="A3928" s="2" t="s">
        <v>2082</v>
      </c>
      <c r="B3928" s="2" t="s">
        <v>36</v>
      </c>
      <c r="C3928" s="2" t="s">
        <v>39</v>
      </c>
      <c r="D3928" s="2">
        <v>23</v>
      </c>
    </row>
    <row r="3929" spans="1:4">
      <c r="A3929" s="2" t="s">
        <v>3541</v>
      </c>
      <c r="B3929" s="2" t="s">
        <v>36</v>
      </c>
      <c r="C3929" s="2" t="s">
        <v>39</v>
      </c>
      <c r="D3929" s="2">
        <v>22</v>
      </c>
    </row>
    <row r="3930" spans="1:4">
      <c r="A3930" s="2" t="s">
        <v>1183</v>
      </c>
      <c r="B3930" s="2" t="s">
        <v>36</v>
      </c>
      <c r="C3930" s="2" t="s">
        <v>39</v>
      </c>
      <c r="D3930" s="2">
        <v>22</v>
      </c>
    </row>
    <row r="3931" spans="1:4">
      <c r="A3931" s="2" t="s">
        <v>2544</v>
      </c>
      <c r="B3931" s="2" t="s">
        <v>36</v>
      </c>
      <c r="C3931" s="2" t="s">
        <v>39</v>
      </c>
      <c r="D3931" s="2">
        <v>22</v>
      </c>
    </row>
    <row r="3932" spans="1:4">
      <c r="A3932" s="2" t="s">
        <v>1166</v>
      </c>
      <c r="B3932" s="2" t="s">
        <v>36</v>
      </c>
      <c r="C3932" s="2" t="s">
        <v>39</v>
      </c>
      <c r="D3932" s="2">
        <v>22</v>
      </c>
    </row>
    <row r="3933" spans="1:4">
      <c r="A3933" s="2" t="s">
        <v>1966</v>
      </c>
      <c r="B3933" s="2" t="s">
        <v>36</v>
      </c>
      <c r="C3933" s="2" t="s">
        <v>39</v>
      </c>
      <c r="D3933" s="2">
        <v>22</v>
      </c>
    </row>
    <row r="3934" spans="1:4">
      <c r="A3934" s="2" t="s">
        <v>305</v>
      </c>
      <c r="B3934" s="2" t="s">
        <v>36</v>
      </c>
      <c r="C3934" s="2" t="s">
        <v>39</v>
      </c>
      <c r="D3934" s="2">
        <v>21</v>
      </c>
    </row>
    <row r="3935" spans="1:4">
      <c r="A3935" s="2" t="s">
        <v>4656</v>
      </c>
      <c r="B3935" s="2" t="s">
        <v>36</v>
      </c>
      <c r="C3935" s="2" t="s">
        <v>39</v>
      </c>
      <c r="D3935" s="2">
        <v>21</v>
      </c>
    </row>
    <row r="3936" spans="1:4">
      <c r="A3936" s="2" t="s">
        <v>3044</v>
      </c>
      <c r="B3936" s="2" t="s">
        <v>36</v>
      </c>
      <c r="C3936" s="2" t="s">
        <v>39</v>
      </c>
      <c r="D3936" s="2">
        <v>20</v>
      </c>
    </row>
    <row r="3937" spans="1:4">
      <c r="A3937" s="2" t="s">
        <v>2583</v>
      </c>
      <c r="B3937" s="2" t="s">
        <v>36</v>
      </c>
      <c r="C3937" s="2" t="s">
        <v>39</v>
      </c>
      <c r="D3937" s="2">
        <v>20</v>
      </c>
    </row>
    <row r="3938" spans="1:4">
      <c r="A3938" s="2" t="s">
        <v>2025</v>
      </c>
      <c r="B3938" s="2" t="s">
        <v>36</v>
      </c>
      <c r="C3938" s="2" t="s">
        <v>39</v>
      </c>
      <c r="D3938" s="2">
        <v>20</v>
      </c>
    </row>
    <row r="3939" spans="1:4">
      <c r="A3939" s="2" t="s">
        <v>3914</v>
      </c>
      <c r="B3939" s="2" t="s">
        <v>36</v>
      </c>
      <c r="C3939" s="2" t="s">
        <v>39</v>
      </c>
      <c r="D3939" s="2">
        <v>20</v>
      </c>
    </row>
    <row r="3940" spans="1:4">
      <c r="A3940" s="2" t="s">
        <v>1659</v>
      </c>
      <c r="B3940" s="2" t="s">
        <v>36</v>
      </c>
      <c r="C3940" s="2" t="s">
        <v>39</v>
      </c>
      <c r="D3940" s="2">
        <v>20</v>
      </c>
    </row>
    <row r="3941" spans="1:4">
      <c r="A3941" s="2" t="s">
        <v>2562</v>
      </c>
      <c r="B3941" s="2" t="s">
        <v>36</v>
      </c>
      <c r="C3941" s="2" t="s">
        <v>39</v>
      </c>
      <c r="D3941" s="2">
        <v>20</v>
      </c>
    </row>
    <row r="3942" spans="1:4">
      <c r="A3942" s="2" t="s">
        <v>4577</v>
      </c>
      <c r="B3942" s="2" t="s">
        <v>36</v>
      </c>
      <c r="C3942" s="2" t="s">
        <v>39</v>
      </c>
      <c r="D3942" s="2">
        <v>20</v>
      </c>
    </row>
    <row r="3943" spans="1:4">
      <c r="A3943" s="2" t="s">
        <v>4684</v>
      </c>
      <c r="B3943" s="2" t="s">
        <v>36</v>
      </c>
      <c r="C3943" s="2" t="s">
        <v>39</v>
      </c>
      <c r="D3943" s="2">
        <v>19</v>
      </c>
    </row>
    <row r="3944" spans="1:4">
      <c r="A3944" s="2" t="s">
        <v>4298</v>
      </c>
      <c r="B3944" s="2" t="s">
        <v>36</v>
      </c>
      <c r="C3944" s="2" t="s">
        <v>39</v>
      </c>
      <c r="D3944" s="2">
        <v>19</v>
      </c>
    </row>
    <row r="3945" spans="1:4">
      <c r="A3945" s="2" t="s">
        <v>3481</v>
      </c>
      <c r="B3945" s="2" t="s">
        <v>36</v>
      </c>
      <c r="C3945" s="2" t="s">
        <v>39</v>
      </c>
      <c r="D3945" s="2">
        <v>19</v>
      </c>
    </row>
    <row r="3946" spans="1:4">
      <c r="A3946" s="2" t="s">
        <v>2070</v>
      </c>
      <c r="B3946" s="2" t="s">
        <v>36</v>
      </c>
      <c r="C3946" s="2" t="s">
        <v>39</v>
      </c>
      <c r="D3946" s="2">
        <v>19</v>
      </c>
    </row>
    <row r="3947" spans="1:4">
      <c r="A3947" s="2" t="s">
        <v>3025</v>
      </c>
      <c r="B3947" s="2" t="s">
        <v>36</v>
      </c>
      <c r="C3947" s="2" t="s">
        <v>39</v>
      </c>
      <c r="D3947" s="2">
        <v>19</v>
      </c>
    </row>
    <row r="3948" spans="1:4">
      <c r="A3948" s="2" t="s">
        <v>4660</v>
      </c>
      <c r="B3948" s="2" t="s">
        <v>36</v>
      </c>
      <c r="C3948" s="2" t="s">
        <v>39</v>
      </c>
      <c r="D3948" s="2">
        <v>19</v>
      </c>
    </row>
    <row r="3949" spans="1:4">
      <c r="A3949" s="2" t="s">
        <v>4340</v>
      </c>
      <c r="B3949" s="2" t="s">
        <v>36</v>
      </c>
      <c r="C3949" s="2" t="s">
        <v>39</v>
      </c>
      <c r="D3949" s="2">
        <v>19</v>
      </c>
    </row>
    <row r="3950" spans="1:4">
      <c r="A3950" s="2" t="s">
        <v>4283</v>
      </c>
      <c r="B3950" s="2" t="s">
        <v>36</v>
      </c>
      <c r="C3950" s="2" t="s">
        <v>39</v>
      </c>
      <c r="D3950" s="2">
        <v>18</v>
      </c>
    </row>
    <row r="3951" spans="1:4">
      <c r="A3951" s="2" t="s">
        <v>1633</v>
      </c>
      <c r="B3951" s="2" t="s">
        <v>36</v>
      </c>
      <c r="C3951" s="2" t="s">
        <v>39</v>
      </c>
      <c r="D3951" s="2">
        <v>18</v>
      </c>
    </row>
    <row r="3952" spans="1:4">
      <c r="A3952" s="2" t="s">
        <v>4689</v>
      </c>
      <c r="B3952" s="2" t="s">
        <v>36</v>
      </c>
      <c r="C3952" s="2" t="s">
        <v>39</v>
      </c>
      <c r="D3952" s="2">
        <v>18</v>
      </c>
    </row>
    <row r="3953" spans="1:4">
      <c r="A3953" s="2" t="s">
        <v>4333</v>
      </c>
      <c r="B3953" s="2" t="s">
        <v>36</v>
      </c>
      <c r="C3953" s="2" t="s">
        <v>39</v>
      </c>
      <c r="D3953" s="2">
        <v>18</v>
      </c>
    </row>
    <row r="3954" spans="1:4">
      <c r="A3954" s="2" t="s">
        <v>3916</v>
      </c>
      <c r="B3954" s="2" t="s">
        <v>36</v>
      </c>
      <c r="C3954" s="2" t="s">
        <v>39</v>
      </c>
      <c r="D3954" s="2">
        <v>18</v>
      </c>
    </row>
    <row r="3955" spans="1:4">
      <c r="A3955" s="2" t="s">
        <v>3564</v>
      </c>
      <c r="B3955" s="2" t="s">
        <v>36</v>
      </c>
      <c r="C3955" s="2" t="s">
        <v>39</v>
      </c>
      <c r="D3955" s="2">
        <v>18</v>
      </c>
    </row>
    <row r="3956" spans="1:4">
      <c r="A3956" s="2" t="s">
        <v>2530</v>
      </c>
      <c r="B3956" s="2" t="s">
        <v>36</v>
      </c>
      <c r="C3956" s="2" t="s">
        <v>39</v>
      </c>
      <c r="D3956" s="2">
        <v>18</v>
      </c>
    </row>
    <row r="3957" spans="1:4">
      <c r="A3957" s="2" t="s">
        <v>2032</v>
      </c>
      <c r="B3957" s="2" t="s">
        <v>36</v>
      </c>
      <c r="C3957" s="2" t="s">
        <v>39</v>
      </c>
      <c r="D3957" s="2">
        <v>18</v>
      </c>
    </row>
    <row r="3958" spans="1:4">
      <c r="A3958" s="2" t="s">
        <v>331</v>
      </c>
      <c r="B3958" s="2" t="s">
        <v>36</v>
      </c>
      <c r="C3958" s="2" t="s">
        <v>39</v>
      </c>
      <c r="D3958" s="2">
        <v>18</v>
      </c>
    </row>
    <row r="3959" spans="1:4">
      <c r="A3959" s="2" t="s">
        <v>389</v>
      </c>
      <c r="B3959" s="2" t="s">
        <v>36</v>
      </c>
      <c r="C3959" s="2" t="s">
        <v>39</v>
      </c>
      <c r="D3959" s="2">
        <v>17</v>
      </c>
    </row>
    <row r="3960" spans="1:4">
      <c r="A3960" s="2" t="s">
        <v>2532</v>
      </c>
      <c r="B3960" s="2" t="s">
        <v>36</v>
      </c>
      <c r="C3960" s="2" t="s">
        <v>39</v>
      </c>
      <c r="D3960" s="2">
        <v>17</v>
      </c>
    </row>
    <row r="3961" spans="1:4">
      <c r="A3961" s="2" t="s">
        <v>4625</v>
      </c>
      <c r="B3961" s="2" t="s">
        <v>36</v>
      </c>
      <c r="C3961" s="2" t="s">
        <v>39</v>
      </c>
      <c r="D3961" s="2">
        <v>17</v>
      </c>
    </row>
    <row r="3962" spans="1:4">
      <c r="A3962" s="2" t="s">
        <v>3126</v>
      </c>
      <c r="B3962" s="2" t="s">
        <v>36</v>
      </c>
      <c r="C3962" s="2" t="s">
        <v>39</v>
      </c>
      <c r="D3962" s="2">
        <v>17</v>
      </c>
    </row>
    <row r="3963" spans="1:4">
      <c r="A3963" s="2" t="s">
        <v>3033</v>
      </c>
      <c r="B3963" s="2" t="s">
        <v>36</v>
      </c>
      <c r="C3963" s="2" t="s">
        <v>39</v>
      </c>
      <c r="D3963" s="2">
        <v>17</v>
      </c>
    </row>
    <row r="3964" spans="1:4">
      <c r="A3964" s="2" t="s">
        <v>2017</v>
      </c>
      <c r="B3964" s="2" t="s">
        <v>36</v>
      </c>
      <c r="C3964" s="2" t="s">
        <v>39</v>
      </c>
      <c r="D3964" s="2">
        <v>17</v>
      </c>
    </row>
    <row r="3965" spans="1:4">
      <c r="A3965" s="2" t="s">
        <v>1644</v>
      </c>
      <c r="B3965" s="2" t="s">
        <v>36</v>
      </c>
      <c r="C3965" s="2" t="s">
        <v>39</v>
      </c>
      <c r="D3965" s="2">
        <v>17</v>
      </c>
    </row>
    <row r="3966" spans="1:4">
      <c r="A3966" s="2" t="s">
        <v>4629</v>
      </c>
      <c r="B3966" s="2" t="s">
        <v>36</v>
      </c>
      <c r="C3966" s="2" t="s">
        <v>39</v>
      </c>
      <c r="D3966" s="2">
        <v>17</v>
      </c>
    </row>
    <row r="3967" spans="1:4">
      <c r="A3967" s="2" t="s">
        <v>1197</v>
      </c>
      <c r="B3967" s="2" t="s">
        <v>36</v>
      </c>
      <c r="C3967" s="2" t="s">
        <v>39</v>
      </c>
      <c r="D3967" s="2">
        <v>17</v>
      </c>
    </row>
    <row r="3968" spans="1:4">
      <c r="A3968" s="2" t="s">
        <v>4312</v>
      </c>
      <c r="B3968" s="2" t="s">
        <v>36</v>
      </c>
      <c r="C3968" s="2" t="s">
        <v>39</v>
      </c>
      <c r="D3968" s="2">
        <v>16</v>
      </c>
    </row>
    <row r="3969" spans="1:4">
      <c r="A3969" s="2" t="s">
        <v>2067</v>
      </c>
      <c r="B3969" s="2" t="s">
        <v>36</v>
      </c>
      <c r="C3969" s="2" t="s">
        <v>39</v>
      </c>
      <c r="D3969" s="2">
        <v>16</v>
      </c>
    </row>
    <row r="3970" spans="1:4">
      <c r="A3970" s="2" t="s">
        <v>2565</v>
      </c>
      <c r="B3970" s="2" t="s">
        <v>36</v>
      </c>
      <c r="C3970" s="2" t="s">
        <v>39</v>
      </c>
      <c r="D3970" s="2">
        <v>16</v>
      </c>
    </row>
    <row r="3971" spans="1:4">
      <c r="A3971" s="2" t="s">
        <v>1204</v>
      </c>
      <c r="B3971" s="2" t="s">
        <v>36</v>
      </c>
      <c r="C3971" s="2" t="s">
        <v>39</v>
      </c>
      <c r="D3971" s="2">
        <v>16</v>
      </c>
    </row>
    <row r="3972" spans="1:4">
      <c r="A3972" s="2" t="s">
        <v>1661</v>
      </c>
      <c r="B3972" s="2" t="s">
        <v>36</v>
      </c>
      <c r="C3972" s="2" t="s">
        <v>39</v>
      </c>
      <c r="D3972" s="2">
        <v>16</v>
      </c>
    </row>
    <row r="3973" spans="1:4">
      <c r="A3973" s="2" t="s">
        <v>4579</v>
      </c>
      <c r="B3973" s="2" t="s">
        <v>36</v>
      </c>
      <c r="C3973" s="2" t="s">
        <v>39</v>
      </c>
      <c r="D3973" s="2">
        <v>16</v>
      </c>
    </row>
    <row r="3974" spans="1:4">
      <c r="A3974" s="2" t="s">
        <v>1179</v>
      </c>
      <c r="B3974" s="2" t="s">
        <v>36</v>
      </c>
      <c r="C3974" s="2" t="s">
        <v>39</v>
      </c>
      <c r="D3974" s="2">
        <v>16</v>
      </c>
    </row>
    <row r="3975" spans="1:4">
      <c r="A3975" s="2" t="s">
        <v>322</v>
      </c>
      <c r="B3975" s="2" t="s">
        <v>36</v>
      </c>
      <c r="C3975" s="2" t="s">
        <v>39</v>
      </c>
      <c r="D3975" s="2">
        <v>16</v>
      </c>
    </row>
    <row r="3976" spans="1:4">
      <c r="A3976" s="2" t="s">
        <v>3920</v>
      </c>
      <c r="B3976" s="2" t="s">
        <v>36</v>
      </c>
      <c r="C3976" s="2" t="s">
        <v>39</v>
      </c>
      <c r="D3976" s="2">
        <v>16</v>
      </c>
    </row>
    <row r="3977" spans="1:4">
      <c r="A3977" s="2" t="s">
        <v>2089</v>
      </c>
      <c r="B3977" s="2" t="s">
        <v>36</v>
      </c>
      <c r="C3977" s="2" t="s">
        <v>39</v>
      </c>
      <c r="D3977" s="2">
        <v>16</v>
      </c>
    </row>
    <row r="3978" spans="1:4">
      <c r="A3978" s="2" t="s">
        <v>4315</v>
      </c>
      <c r="B3978" s="2" t="s">
        <v>36</v>
      </c>
      <c r="C3978" s="2" t="s">
        <v>39</v>
      </c>
      <c r="D3978" s="2">
        <v>15</v>
      </c>
    </row>
    <row r="3979" spans="1:4">
      <c r="A3979" s="2" t="s">
        <v>2075</v>
      </c>
      <c r="B3979" s="2" t="s">
        <v>36</v>
      </c>
      <c r="C3979" s="2" t="s">
        <v>39</v>
      </c>
      <c r="D3979" s="2">
        <v>15</v>
      </c>
    </row>
    <row r="3980" spans="1:4">
      <c r="A3980" s="2" t="s">
        <v>2597</v>
      </c>
      <c r="B3980" s="2" t="s">
        <v>36</v>
      </c>
      <c r="C3980" s="2" t="s">
        <v>39</v>
      </c>
      <c r="D3980" s="2">
        <v>15</v>
      </c>
    </row>
    <row r="3981" spans="1:4">
      <c r="A3981" s="2" t="s">
        <v>317</v>
      </c>
      <c r="B3981" s="2" t="s">
        <v>36</v>
      </c>
      <c r="C3981" s="2" t="s">
        <v>39</v>
      </c>
      <c r="D3981" s="2">
        <v>15</v>
      </c>
    </row>
    <row r="3982" spans="1:4">
      <c r="A3982" s="2" t="s">
        <v>2541</v>
      </c>
      <c r="B3982" s="2" t="s">
        <v>36</v>
      </c>
      <c r="C3982" s="2" t="s">
        <v>39</v>
      </c>
      <c r="D3982" s="2">
        <v>15</v>
      </c>
    </row>
    <row r="3983" spans="1:4">
      <c r="A3983" s="2" t="s">
        <v>1177</v>
      </c>
      <c r="B3983" s="2" t="s">
        <v>36</v>
      </c>
      <c r="C3983" s="2" t="s">
        <v>39</v>
      </c>
      <c r="D3983" s="2">
        <v>15</v>
      </c>
    </row>
    <row r="3984" spans="1:4">
      <c r="A3984" s="2" t="s">
        <v>2041</v>
      </c>
      <c r="B3984" s="2" t="s">
        <v>36</v>
      </c>
      <c r="C3984" s="2" t="s">
        <v>39</v>
      </c>
      <c r="D3984" s="2">
        <v>15</v>
      </c>
    </row>
    <row r="3985" spans="1:4">
      <c r="A3985" s="2" t="s">
        <v>4581</v>
      </c>
      <c r="B3985" s="2" t="s">
        <v>36</v>
      </c>
      <c r="C3985" s="2" t="s">
        <v>39</v>
      </c>
      <c r="D3985" s="2">
        <v>15</v>
      </c>
    </row>
    <row r="3986" spans="1:4">
      <c r="A3986" s="2" t="s">
        <v>3045</v>
      </c>
      <c r="B3986" s="2" t="s">
        <v>36</v>
      </c>
      <c r="C3986" s="2" t="s">
        <v>39</v>
      </c>
      <c r="D3986" s="2">
        <v>14</v>
      </c>
    </row>
    <row r="3987" spans="1:4">
      <c r="A3987" s="2" t="s">
        <v>4662</v>
      </c>
      <c r="B3987" s="2" t="s">
        <v>36</v>
      </c>
      <c r="C3987" s="2" t="s">
        <v>39</v>
      </c>
      <c r="D3987" s="2">
        <v>14</v>
      </c>
    </row>
    <row r="3988" spans="1:4">
      <c r="A3988" s="2" t="s">
        <v>4674</v>
      </c>
      <c r="B3988" s="2" t="s">
        <v>36</v>
      </c>
      <c r="C3988" s="2" t="s">
        <v>39</v>
      </c>
      <c r="D3988" s="2">
        <v>14</v>
      </c>
    </row>
    <row r="3989" spans="1:4">
      <c r="A3989" s="2" t="s">
        <v>1125</v>
      </c>
      <c r="B3989" s="2" t="s">
        <v>36</v>
      </c>
      <c r="C3989" s="2" t="s">
        <v>39</v>
      </c>
      <c r="D3989" s="2">
        <v>14</v>
      </c>
    </row>
    <row r="3990" spans="1:4">
      <c r="A3990" s="2" t="s">
        <v>4595</v>
      </c>
      <c r="B3990" s="2" t="s">
        <v>36</v>
      </c>
      <c r="C3990" s="2" t="s">
        <v>39</v>
      </c>
      <c r="D3990" s="2">
        <v>14</v>
      </c>
    </row>
    <row r="3991" spans="1:4">
      <c r="A3991" s="2" t="s">
        <v>4587</v>
      </c>
      <c r="B3991" s="2" t="s">
        <v>36</v>
      </c>
      <c r="C3991" s="2" t="s">
        <v>39</v>
      </c>
      <c r="D3991" s="2">
        <v>14</v>
      </c>
    </row>
    <row r="3992" spans="1:4">
      <c r="A3992" s="2" t="s">
        <v>3477</v>
      </c>
      <c r="B3992" s="2" t="s">
        <v>36</v>
      </c>
      <c r="C3992" s="2" t="s">
        <v>39</v>
      </c>
      <c r="D3992" s="2">
        <v>14</v>
      </c>
    </row>
    <row r="3993" spans="1:4">
      <c r="A3993" s="2" t="s">
        <v>3905</v>
      </c>
      <c r="B3993" s="2" t="s">
        <v>36</v>
      </c>
      <c r="C3993" s="2" t="s">
        <v>39</v>
      </c>
      <c r="D3993" s="2">
        <v>14</v>
      </c>
    </row>
    <row r="3994" spans="1:4">
      <c r="A3994" s="2" t="s">
        <v>2065</v>
      </c>
      <c r="B3994" s="2" t="s">
        <v>36</v>
      </c>
      <c r="C3994" s="2" t="s">
        <v>39</v>
      </c>
      <c r="D3994" s="2">
        <v>14</v>
      </c>
    </row>
    <row r="3995" spans="1:4">
      <c r="A3995" s="2" t="s">
        <v>2072</v>
      </c>
      <c r="B3995" s="2" t="s">
        <v>36</v>
      </c>
      <c r="C3995" s="2" t="s">
        <v>39</v>
      </c>
      <c r="D3995" s="2">
        <v>14</v>
      </c>
    </row>
    <row r="3996" spans="1:4">
      <c r="A3996" s="2" t="s">
        <v>2073</v>
      </c>
      <c r="B3996" s="2" t="s">
        <v>36</v>
      </c>
      <c r="C3996" s="2" t="s">
        <v>39</v>
      </c>
      <c r="D3996" s="2">
        <v>13</v>
      </c>
    </row>
    <row r="3997" spans="1:4">
      <c r="A3997" s="2" t="s">
        <v>3937</v>
      </c>
      <c r="B3997" s="2" t="s">
        <v>36</v>
      </c>
      <c r="C3997" s="2" t="s">
        <v>39</v>
      </c>
      <c r="D3997" s="2">
        <v>13</v>
      </c>
    </row>
    <row r="3998" spans="1:4">
      <c r="A3998" s="2" t="s">
        <v>3939</v>
      </c>
      <c r="B3998" s="2" t="s">
        <v>36</v>
      </c>
      <c r="C3998" s="2" t="s">
        <v>39</v>
      </c>
      <c r="D3998" s="2">
        <v>13</v>
      </c>
    </row>
    <row r="3999" spans="1:4">
      <c r="A3999" s="2" t="s">
        <v>4643</v>
      </c>
      <c r="B3999" s="2" t="s">
        <v>36</v>
      </c>
      <c r="C3999" s="2" t="s">
        <v>39</v>
      </c>
      <c r="D3999" s="2">
        <v>13</v>
      </c>
    </row>
    <row r="4000" spans="1:4">
      <c r="A4000" s="2" t="s">
        <v>3542</v>
      </c>
      <c r="B4000" s="2" t="s">
        <v>36</v>
      </c>
      <c r="C4000" s="2" t="s">
        <v>39</v>
      </c>
      <c r="D4000" s="2">
        <v>12</v>
      </c>
    </row>
    <row r="4001" spans="1:4">
      <c r="A4001" s="2" t="s">
        <v>3935</v>
      </c>
      <c r="B4001" s="2" t="s">
        <v>36</v>
      </c>
      <c r="C4001" s="2" t="s">
        <v>39</v>
      </c>
      <c r="D4001" s="2">
        <v>12</v>
      </c>
    </row>
    <row r="4002" spans="1:4">
      <c r="A4002" s="2" t="s">
        <v>1121</v>
      </c>
      <c r="B4002" s="2" t="s">
        <v>36</v>
      </c>
      <c r="C4002" s="2" t="s">
        <v>39</v>
      </c>
      <c r="D4002" s="2">
        <v>12</v>
      </c>
    </row>
    <row r="4003" spans="1:4">
      <c r="A4003" s="2" t="s">
        <v>3101</v>
      </c>
      <c r="B4003" s="2" t="s">
        <v>36</v>
      </c>
      <c r="C4003" s="2" t="s">
        <v>39</v>
      </c>
      <c r="D4003" s="2">
        <v>12</v>
      </c>
    </row>
    <row r="4004" spans="1:4">
      <c r="A4004" s="2" t="s">
        <v>2028</v>
      </c>
      <c r="B4004" s="2" t="s">
        <v>36</v>
      </c>
      <c r="C4004" s="2" t="s">
        <v>39</v>
      </c>
      <c r="D4004" s="2">
        <v>12</v>
      </c>
    </row>
    <row r="4005" spans="1:4">
      <c r="A4005" s="2" t="s">
        <v>2026</v>
      </c>
      <c r="B4005" s="2" t="s">
        <v>36</v>
      </c>
      <c r="C4005" s="2" t="s">
        <v>39</v>
      </c>
      <c r="D4005" s="2">
        <v>12</v>
      </c>
    </row>
    <row r="4006" spans="1:4">
      <c r="A4006" s="2" t="s">
        <v>4593</v>
      </c>
      <c r="B4006" s="2" t="s">
        <v>36</v>
      </c>
      <c r="C4006" s="2" t="s">
        <v>39</v>
      </c>
      <c r="D4006" s="2">
        <v>12</v>
      </c>
    </row>
    <row r="4007" spans="1:4">
      <c r="A4007" s="2" t="s">
        <v>4665</v>
      </c>
      <c r="B4007" s="2" t="s">
        <v>36</v>
      </c>
      <c r="C4007" s="2" t="s">
        <v>39</v>
      </c>
      <c r="D4007" s="2">
        <v>12</v>
      </c>
    </row>
    <row r="4008" spans="1:4">
      <c r="A4008" s="2" t="s">
        <v>3491</v>
      </c>
      <c r="B4008" s="2" t="s">
        <v>36</v>
      </c>
      <c r="C4008" s="2" t="s">
        <v>39</v>
      </c>
      <c r="D4008" s="2">
        <v>12</v>
      </c>
    </row>
    <row r="4009" spans="1:4">
      <c r="A4009" s="2" t="s">
        <v>2607</v>
      </c>
      <c r="B4009" s="2" t="s">
        <v>36</v>
      </c>
      <c r="C4009" s="2" t="s">
        <v>39</v>
      </c>
      <c r="D4009" s="2">
        <v>12</v>
      </c>
    </row>
    <row r="4010" spans="1:4">
      <c r="A4010" s="2" t="s">
        <v>3129</v>
      </c>
      <c r="B4010" s="2" t="s">
        <v>36</v>
      </c>
      <c r="C4010" s="2" t="s">
        <v>39</v>
      </c>
      <c r="D4010" s="2">
        <v>12</v>
      </c>
    </row>
    <row r="4011" spans="1:4">
      <c r="A4011" s="2" t="s">
        <v>3041</v>
      </c>
      <c r="B4011" s="2" t="s">
        <v>36</v>
      </c>
      <c r="C4011" s="2" t="s">
        <v>39</v>
      </c>
      <c r="D4011" s="2">
        <v>11</v>
      </c>
    </row>
    <row r="4012" spans="1:4">
      <c r="A4012" s="2" t="s">
        <v>1142</v>
      </c>
      <c r="B4012" s="2" t="s">
        <v>36</v>
      </c>
      <c r="C4012" s="2" t="s">
        <v>39</v>
      </c>
      <c r="D4012" s="2">
        <v>11</v>
      </c>
    </row>
    <row r="4013" spans="1:4">
      <c r="A4013" s="2" t="s">
        <v>3095</v>
      </c>
      <c r="B4013" s="2" t="s">
        <v>36</v>
      </c>
      <c r="C4013" s="2" t="s">
        <v>39</v>
      </c>
      <c r="D4013" s="2">
        <v>11</v>
      </c>
    </row>
    <row r="4014" spans="1:4">
      <c r="A4014" s="2" t="s">
        <v>385</v>
      </c>
      <c r="B4014" s="2" t="s">
        <v>36</v>
      </c>
      <c r="C4014" s="2" t="s">
        <v>39</v>
      </c>
      <c r="D4014" s="2">
        <v>11</v>
      </c>
    </row>
    <row r="4015" spans="1:4">
      <c r="A4015" s="2" t="s">
        <v>2605</v>
      </c>
      <c r="B4015" s="2" t="s">
        <v>36</v>
      </c>
      <c r="C4015" s="2" t="s">
        <v>39</v>
      </c>
      <c r="D4015" s="2">
        <v>11</v>
      </c>
    </row>
    <row r="4016" spans="1:4">
      <c r="A4016" s="2" t="s">
        <v>2058</v>
      </c>
      <c r="B4016" s="2" t="s">
        <v>36</v>
      </c>
      <c r="C4016" s="2" t="s">
        <v>39</v>
      </c>
      <c r="D4016" s="2">
        <v>11</v>
      </c>
    </row>
    <row r="4017" spans="1:4">
      <c r="A4017" s="2" t="s">
        <v>4005</v>
      </c>
      <c r="B4017" s="2" t="s">
        <v>36</v>
      </c>
      <c r="C4017" s="2" t="s">
        <v>39</v>
      </c>
      <c r="D4017" s="2">
        <v>11</v>
      </c>
    </row>
    <row r="4018" spans="1:4">
      <c r="A4018" s="2" t="s">
        <v>3926</v>
      </c>
      <c r="B4018" s="2" t="s">
        <v>36</v>
      </c>
      <c r="C4018" s="2" t="s">
        <v>39</v>
      </c>
      <c r="D4018" s="2">
        <v>11</v>
      </c>
    </row>
    <row r="4019" spans="1:4">
      <c r="A4019" s="2" t="s">
        <v>3985</v>
      </c>
      <c r="B4019" s="2" t="s">
        <v>36</v>
      </c>
      <c r="C4019" s="2" t="s">
        <v>39</v>
      </c>
      <c r="D4019" s="2">
        <v>11</v>
      </c>
    </row>
    <row r="4020" spans="1:4">
      <c r="A4020" s="2" t="s">
        <v>3944</v>
      </c>
      <c r="B4020" s="2" t="s">
        <v>36</v>
      </c>
      <c r="C4020" s="2" t="s">
        <v>39</v>
      </c>
      <c r="D4020" s="2">
        <v>11</v>
      </c>
    </row>
    <row r="4021" spans="1:4">
      <c r="A4021" s="2" t="s">
        <v>4309</v>
      </c>
      <c r="B4021" s="2" t="s">
        <v>36</v>
      </c>
      <c r="C4021" s="2" t="s">
        <v>39</v>
      </c>
      <c r="D4021" s="2">
        <v>11</v>
      </c>
    </row>
    <row r="4022" spans="1:4">
      <c r="A4022" s="2" t="s">
        <v>3971</v>
      </c>
      <c r="B4022" s="2" t="s">
        <v>36</v>
      </c>
      <c r="C4022" s="2" t="s">
        <v>39</v>
      </c>
      <c r="D4022" s="2">
        <v>10</v>
      </c>
    </row>
    <row r="4023" spans="1:4">
      <c r="A4023" s="2" t="s">
        <v>2047</v>
      </c>
      <c r="B4023" s="2" t="s">
        <v>36</v>
      </c>
      <c r="C4023" s="2" t="s">
        <v>39</v>
      </c>
      <c r="D4023" s="2">
        <v>10</v>
      </c>
    </row>
    <row r="4024" spans="1:4">
      <c r="A4024" s="2" t="s">
        <v>4601</v>
      </c>
      <c r="B4024" s="2" t="s">
        <v>36</v>
      </c>
      <c r="C4024" s="2" t="s">
        <v>39</v>
      </c>
      <c r="D4024" s="2">
        <v>10</v>
      </c>
    </row>
    <row r="4025" spans="1:4">
      <c r="A4025" s="2" t="s">
        <v>2558</v>
      </c>
      <c r="B4025" s="2" t="s">
        <v>36</v>
      </c>
      <c r="C4025" s="2" t="s">
        <v>39</v>
      </c>
      <c r="D4025" s="2">
        <v>10</v>
      </c>
    </row>
    <row r="4026" spans="1:4">
      <c r="A4026" s="2" t="s">
        <v>3952</v>
      </c>
      <c r="B4026" s="2" t="s">
        <v>36</v>
      </c>
      <c r="C4026" s="2" t="s">
        <v>39</v>
      </c>
      <c r="D4026" s="2">
        <v>9</v>
      </c>
    </row>
    <row r="4027" spans="1:4">
      <c r="A4027" s="2" t="s">
        <v>3930</v>
      </c>
      <c r="B4027" s="2" t="s">
        <v>36</v>
      </c>
      <c r="C4027" s="2" t="s">
        <v>39</v>
      </c>
      <c r="D4027" s="2">
        <v>9</v>
      </c>
    </row>
    <row r="4028" spans="1:4">
      <c r="A4028" s="2" t="s">
        <v>2595</v>
      </c>
      <c r="B4028" s="2" t="s">
        <v>36</v>
      </c>
      <c r="C4028" s="2" t="s">
        <v>39</v>
      </c>
      <c r="D4028" s="2">
        <v>9</v>
      </c>
    </row>
    <row r="4029" spans="1:4">
      <c r="A4029" s="2" t="s">
        <v>2031</v>
      </c>
      <c r="B4029" s="2" t="s">
        <v>36</v>
      </c>
      <c r="C4029" s="2" t="s">
        <v>39</v>
      </c>
      <c r="D4029" s="2">
        <v>9</v>
      </c>
    </row>
    <row r="4030" spans="1:4">
      <c r="A4030" s="2" t="s">
        <v>3568</v>
      </c>
      <c r="B4030" s="2" t="s">
        <v>36</v>
      </c>
      <c r="C4030" s="2" t="s">
        <v>39</v>
      </c>
      <c r="D4030" s="2">
        <v>9</v>
      </c>
    </row>
    <row r="4031" spans="1:4">
      <c r="A4031" s="2" t="s">
        <v>3577</v>
      </c>
      <c r="B4031" s="2" t="s">
        <v>36</v>
      </c>
      <c r="C4031" s="2" t="s">
        <v>39</v>
      </c>
      <c r="D4031" s="2">
        <v>9</v>
      </c>
    </row>
    <row r="4032" spans="1:4">
      <c r="A4032" s="2" t="s">
        <v>2012</v>
      </c>
      <c r="B4032" s="2" t="s">
        <v>36</v>
      </c>
      <c r="C4032" s="2" t="s">
        <v>39</v>
      </c>
      <c r="D4032" s="2">
        <v>9</v>
      </c>
    </row>
    <row r="4033" spans="1:4">
      <c r="A4033" s="2" t="s">
        <v>364</v>
      </c>
      <c r="B4033" s="2" t="s">
        <v>36</v>
      </c>
      <c r="C4033" s="2" t="s">
        <v>39</v>
      </c>
      <c r="D4033" s="2">
        <v>8</v>
      </c>
    </row>
    <row r="4034" spans="1:4">
      <c r="A4034" s="2" t="s">
        <v>2609</v>
      </c>
      <c r="B4034" s="2" t="s">
        <v>36</v>
      </c>
      <c r="C4034" s="2" t="s">
        <v>39</v>
      </c>
      <c r="D4034" s="2">
        <v>8</v>
      </c>
    </row>
    <row r="4035" spans="1:4">
      <c r="A4035" s="2" t="s">
        <v>2627</v>
      </c>
      <c r="B4035" s="2" t="s">
        <v>36</v>
      </c>
      <c r="C4035" s="2" t="s">
        <v>39</v>
      </c>
      <c r="D4035" s="2">
        <v>8</v>
      </c>
    </row>
    <row r="4036" spans="1:4">
      <c r="A4036" s="2" t="s">
        <v>1209</v>
      </c>
      <c r="B4036" s="2" t="s">
        <v>36</v>
      </c>
      <c r="C4036" s="2" t="s">
        <v>39</v>
      </c>
      <c r="D4036" s="2">
        <v>8</v>
      </c>
    </row>
    <row r="4037" spans="1:4">
      <c r="A4037" s="2" t="s">
        <v>1143</v>
      </c>
      <c r="B4037" s="2" t="s">
        <v>36</v>
      </c>
      <c r="C4037" s="2" t="s">
        <v>39</v>
      </c>
      <c r="D4037" s="2">
        <v>8</v>
      </c>
    </row>
    <row r="4038" spans="1:4">
      <c r="A4038" s="2" t="s">
        <v>430</v>
      </c>
      <c r="B4038" s="2" t="s">
        <v>36</v>
      </c>
      <c r="C4038" s="2" t="s">
        <v>39</v>
      </c>
      <c r="D4038" s="2">
        <v>8</v>
      </c>
    </row>
    <row r="4039" spans="1:4">
      <c r="A4039" s="2" t="s">
        <v>4614</v>
      </c>
      <c r="B4039" s="2" t="s">
        <v>36</v>
      </c>
      <c r="C4039" s="2" t="s">
        <v>39</v>
      </c>
      <c r="D4039" s="2">
        <v>8</v>
      </c>
    </row>
    <row r="4040" spans="1:4">
      <c r="A4040" s="2" t="s">
        <v>4700</v>
      </c>
      <c r="B4040" s="2" t="s">
        <v>36</v>
      </c>
      <c r="C4040" s="2" t="s">
        <v>39</v>
      </c>
      <c r="D4040" s="2">
        <v>8</v>
      </c>
    </row>
    <row r="4041" spans="1:4">
      <c r="A4041" s="2" t="s">
        <v>4687</v>
      </c>
      <c r="B4041" s="2" t="s">
        <v>36</v>
      </c>
      <c r="C4041" s="2" t="s">
        <v>39</v>
      </c>
      <c r="D4041" s="2">
        <v>8</v>
      </c>
    </row>
    <row r="4042" spans="1:4">
      <c r="A4042" s="2" t="s">
        <v>1686</v>
      </c>
      <c r="B4042" s="2" t="s">
        <v>36</v>
      </c>
      <c r="C4042" s="2" t="s">
        <v>39</v>
      </c>
      <c r="D4042" s="2">
        <v>8</v>
      </c>
    </row>
    <row r="4043" spans="1:4">
      <c r="A4043" s="2" t="s">
        <v>3950</v>
      </c>
      <c r="B4043" s="2" t="s">
        <v>36</v>
      </c>
      <c r="C4043" s="2" t="s">
        <v>39</v>
      </c>
      <c r="D4043" s="2">
        <v>7</v>
      </c>
    </row>
    <row r="4044" spans="1:4">
      <c r="A4044" s="2" t="s">
        <v>3093</v>
      </c>
      <c r="B4044" s="2" t="s">
        <v>36</v>
      </c>
      <c r="C4044" s="2" t="s">
        <v>39</v>
      </c>
      <c r="D4044" s="2">
        <v>7</v>
      </c>
    </row>
    <row r="4045" spans="1:4">
      <c r="A4045" s="2" t="s">
        <v>2563</v>
      </c>
      <c r="B4045" s="2" t="s">
        <v>36</v>
      </c>
      <c r="C4045" s="2" t="s">
        <v>39</v>
      </c>
      <c r="D4045" s="2">
        <v>7</v>
      </c>
    </row>
    <row r="4046" spans="1:4">
      <c r="A4046" s="2" t="s">
        <v>4299</v>
      </c>
      <c r="B4046" s="2" t="s">
        <v>36</v>
      </c>
      <c r="C4046" s="2" t="s">
        <v>39</v>
      </c>
      <c r="D4046" s="2">
        <v>7</v>
      </c>
    </row>
    <row r="4047" spans="1:4">
      <c r="A4047" s="2" t="s">
        <v>1155</v>
      </c>
      <c r="B4047" s="2" t="s">
        <v>36</v>
      </c>
      <c r="C4047" s="2" t="s">
        <v>39</v>
      </c>
      <c r="D4047" s="2">
        <v>7</v>
      </c>
    </row>
    <row r="4048" spans="1:4">
      <c r="A4048" s="2" t="s">
        <v>3527</v>
      </c>
      <c r="B4048" s="2" t="s">
        <v>36</v>
      </c>
      <c r="C4048" s="2" t="s">
        <v>39</v>
      </c>
      <c r="D4048" s="2">
        <v>7</v>
      </c>
    </row>
    <row r="4049" spans="1:4">
      <c r="A4049" s="2" t="s">
        <v>2546</v>
      </c>
      <c r="B4049" s="2" t="s">
        <v>36</v>
      </c>
      <c r="C4049" s="2" t="s">
        <v>39</v>
      </c>
      <c r="D4049" s="2">
        <v>7</v>
      </c>
    </row>
    <row r="4050" spans="1:4">
      <c r="A4050" s="2" t="s">
        <v>3989</v>
      </c>
      <c r="B4050" s="2" t="s">
        <v>36</v>
      </c>
      <c r="C4050" s="2" t="s">
        <v>39</v>
      </c>
      <c r="D4050" s="2">
        <v>6</v>
      </c>
    </row>
    <row r="4051" spans="1:4">
      <c r="A4051" s="2" t="s">
        <v>3054</v>
      </c>
      <c r="B4051" s="2" t="s">
        <v>36</v>
      </c>
      <c r="C4051" s="2" t="s">
        <v>39</v>
      </c>
      <c r="D4051" s="2">
        <v>6</v>
      </c>
    </row>
    <row r="4052" spans="1:4">
      <c r="A4052" s="2" t="s">
        <v>2078</v>
      </c>
      <c r="B4052" s="2" t="s">
        <v>36</v>
      </c>
      <c r="C4052" s="2" t="s">
        <v>39</v>
      </c>
      <c r="D4052" s="2">
        <v>6</v>
      </c>
    </row>
    <row r="4053" spans="1:4">
      <c r="A4053" s="2" t="s">
        <v>2590</v>
      </c>
      <c r="B4053" s="2" t="s">
        <v>36</v>
      </c>
      <c r="C4053" s="2" t="s">
        <v>39</v>
      </c>
      <c r="D4053" s="2">
        <v>6</v>
      </c>
    </row>
    <row r="4054" spans="1:4">
      <c r="A4054" s="2" t="s">
        <v>2029</v>
      </c>
      <c r="B4054" s="2" t="s">
        <v>36</v>
      </c>
      <c r="C4054" s="2" t="s">
        <v>39</v>
      </c>
      <c r="D4054" s="2">
        <v>6</v>
      </c>
    </row>
    <row r="4055" spans="1:4">
      <c r="A4055" s="2" t="s">
        <v>2063</v>
      </c>
      <c r="B4055" s="2" t="s">
        <v>36</v>
      </c>
      <c r="C4055" s="2" t="s">
        <v>39</v>
      </c>
      <c r="D4055" s="2">
        <v>6</v>
      </c>
    </row>
    <row r="4056" spans="1:4">
      <c r="A4056" s="2" t="s">
        <v>2035</v>
      </c>
      <c r="B4056" s="2" t="s">
        <v>36</v>
      </c>
      <c r="C4056" s="2" t="s">
        <v>39</v>
      </c>
      <c r="D4056" s="2">
        <v>6</v>
      </c>
    </row>
    <row r="4057" spans="1:4">
      <c r="A4057" s="2" t="s">
        <v>4620</v>
      </c>
      <c r="B4057" s="2" t="s">
        <v>36</v>
      </c>
      <c r="C4057" s="2" t="s">
        <v>39</v>
      </c>
      <c r="D4057" s="2">
        <v>6</v>
      </c>
    </row>
    <row r="4058" spans="1:4">
      <c r="A4058" s="2" t="s">
        <v>4667</v>
      </c>
      <c r="B4058" s="2" t="s">
        <v>36</v>
      </c>
      <c r="C4058" s="2" t="s">
        <v>39</v>
      </c>
      <c r="D4058" s="2">
        <v>6</v>
      </c>
    </row>
    <row r="4059" spans="1:4">
      <c r="A4059" s="2" t="s">
        <v>3539</v>
      </c>
      <c r="B4059" s="2" t="s">
        <v>36</v>
      </c>
      <c r="C4059" s="2" t="s">
        <v>39</v>
      </c>
      <c r="D4059" s="2">
        <v>5</v>
      </c>
    </row>
    <row r="4060" spans="1:4">
      <c r="A4060" s="2" t="s">
        <v>3517</v>
      </c>
      <c r="B4060" s="2" t="s">
        <v>36</v>
      </c>
      <c r="C4060" s="2" t="s">
        <v>39</v>
      </c>
      <c r="D4060" s="2">
        <v>5</v>
      </c>
    </row>
    <row r="4061" spans="1:4">
      <c r="A4061" s="2" t="s">
        <v>3976</v>
      </c>
      <c r="B4061" s="2" t="s">
        <v>36</v>
      </c>
      <c r="C4061" s="2" t="s">
        <v>39</v>
      </c>
      <c r="D4061" s="2">
        <v>5</v>
      </c>
    </row>
    <row r="4062" spans="1:4">
      <c r="A4062" s="2" t="s">
        <v>2620</v>
      </c>
      <c r="B4062" s="2" t="s">
        <v>36</v>
      </c>
      <c r="C4062" s="2" t="s">
        <v>39</v>
      </c>
      <c r="D4062" s="2">
        <v>5</v>
      </c>
    </row>
    <row r="4063" spans="1:4">
      <c r="A4063" s="2" t="s">
        <v>2589</v>
      </c>
      <c r="B4063" s="2" t="s">
        <v>36</v>
      </c>
      <c r="C4063" s="2" t="s">
        <v>39</v>
      </c>
      <c r="D4063" s="2">
        <v>5</v>
      </c>
    </row>
    <row r="4064" spans="1:4">
      <c r="A4064" s="2" t="s">
        <v>3096</v>
      </c>
      <c r="B4064" s="2" t="s">
        <v>36</v>
      </c>
      <c r="C4064" s="2" t="s">
        <v>39</v>
      </c>
      <c r="D4064" s="2">
        <v>5</v>
      </c>
    </row>
    <row r="4065" spans="1:4">
      <c r="A4065" s="2" t="s">
        <v>3104</v>
      </c>
      <c r="B4065" s="2" t="s">
        <v>36</v>
      </c>
      <c r="C4065" s="2" t="s">
        <v>39</v>
      </c>
      <c r="D4065" s="2">
        <v>5</v>
      </c>
    </row>
    <row r="4066" spans="1:4">
      <c r="A4066" s="2" t="s">
        <v>324</v>
      </c>
      <c r="B4066" s="2" t="s">
        <v>36</v>
      </c>
      <c r="C4066" s="2" t="s">
        <v>39</v>
      </c>
      <c r="D4066" s="2">
        <v>5</v>
      </c>
    </row>
    <row r="4067" spans="1:4">
      <c r="A4067" s="2" t="s">
        <v>2570</v>
      </c>
      <c r="B4067" s="2" t="s">
        <v>36</v>
      </c>
      <c r="C4067" s="2" t="s">
        <v>39</v>
      </c>
      <c r="D4067" s="2">
        <v>5</v>
      </c>
    </row>
    <row r="4068" spans="1:4">
      <c r="A4068" s="2" t="s">
        <v>3076</v>
      </c>
      <c r="B4068" s="2" t="s">
        <v>36</v>
      </c>
      <c r="C4068" s="2" t="s">
        <v>39</v>
      </c>
      <c r="D4068" s="2">
        <v>5</v>
      </c>
    </row>
    <row r="4069" spans="1:4">
      <c r="A4069" s="2" t="s">
        <v>3987</v>
      </c>
      <c r="B4069" s="2" t="s">
        <v>36</v>
      </c>
      <c r="C4069" s="2" t="s">
        <v>39</v>
      </c>
      <c r="D4069" s="2">
        <v>5</v>
      </c>
    </row>
    <row r="4070" spans="1:4">
      <c r="A4070" s="2" t="s">
        <v>3544</v>
      </c>
      <c r="B4070" s="2" t="s">
        <v>36</v>
      </c>
      <c r="C4070" s="2" t="s">
        <v>39</v>
      </c>
      <c r="D4070" s="2">
        <v>4</v>
      </c>
    </row>
    <row r="4071" spans="1:4">
      <c r="A4071" s="2" t="s">
        <v>314</v>
      </c>
      <c r="B4071" s="2" t="s">
        <v>36</v>
      </c>
      <c r="C4071" s="2" t="s">
        <v>39</v>
      </c>
      <c r="D4071" s="2">
        <v>4</v>
      </c>
    </row>
    <row r="4072" spans="1:4">
      <c r="A4072" s="2" t="s">
        <v>3561</v>
      </c>
      <c r="B4072" s="2" t="s">
        <v>36</v>
      </c>
      <c r="C4072" s="2" t="s">
        <v>39</v>
      </c>
      <c r="D4072" s="2">
        <v>4</v>
      </c>
    </row>
    <row r="4073" spans="1:4">
      <c r="A4073" s="2" t="s">
        <v>3069</v>
      </c>
      <c r="B4073" s="2" t="s">
        <v>36</v>
      </c>
      <c r="C4073" s="2" t="s">
        <v>39</v>
      </c>
      <c r="D4073" s="2">
        <v>4</v>
      </c>
    </row>
    <row r="4074" spans="1:4">
      <c r="A4074" s="2" t="s">
        <v>2057</v>
      </c>
      <c r="B4074" s="2" t="s">
        <v>36</v>
      </c>
      <c r="C4074" s="2" t="s">
        <v>39</v>
      </c>
      <c r="D4074" s="2">
        <v>4</v>
      </c>
    </row>
    <row r="4075" spans="1:4">
      <c r="A4075" s="2" t="s">
        <v>4589</v>
      </c>
      <c r="B4075" s="2" t="s">
        <v>36</v>
      </c>
      <c r="C4075" s="2" t="s">
        <v>39</v>
      </c>
      <c r="D4075" s="2">
        <v>4</v>
      </c>
    </row>
    <row r="4076" spans="1:4">
      <c r="A4076" s="2" t="s">
        <v>4585</v>
      </c>
      <c r="B4076" s="2" t="s">
        <v>36</v>
      </c>
      <c r="C4076" s="2" t="s">
        <v>39</v>
      </c>
      <c r="D4076" s="2">
        <v>4</v>
      </c>
    </row>
    <row r="4077" spans="1:4">
      <c r="A4077" s="2" t="s">
        <v>3039</v>
      </c>
      <c r="B4077" s="2" t="s">
        <v>36</v>
      </c>
      <c r="C4077" s="2" t="s">
        <v>39</v>
      </c>
      <c r="D4077" s="2">
        <v>4</v>
      </c>
    </row>
    <row r="4078" spans="1:4">
      <c r="A4078" s="2" t="s">
        <v>3512</v>
      </c>
      <c r="B4078" s="2" t="s">
        <v>36</v>
      </c>
      <c r="C4078" s="2" t="s">
        <v>39</v>
      </c>
      <c r="D4078" s="2">
        <v>4</v>
      </c>
    </row>
    <row r="4079" spans="1:4">
      <c r="A4079" s="10">
        <v>37135</v>
      </c>
      <c r="B4079" s="2" t="s">
        <v>36</v>
      </c>
      <c r="C4079" s="2" t="s">
        <v>39</v>
      </c>
      <c r="D4079" s="2">
        <v>4</v>
      </c>
    </row>
    <row r="4080" spans="1:4">
      <c r="A4080" s="2" t="s">
        <v>2537</v>
      </c>
      <c r="B4080" s="2" t="s">
        <v>36</v>
      </c>
      <c r="C4080" s="2" t="s">
        <v>39</v>
      </c>
      <c r="D4080" s="2">
        <v>3</v>
      </c>
    </row>
    <row r="4081" spans="1:4">
      <c r="A4081" s="2" t="s">
        <v>2621</v>
      </c>
      <c r="B4081" s="2" t="s">
        <v>36</v>
      </c>
      <c r="C4081" s="2" t="s">
        <v>39</v>
      </c>
      <c r="D4081" s="2">
        <v>3</v>
      </c>
    </row>
    <row r="4082" spans="1:4">
      <c r="A4082" s="2" t="s">
        <v>2020</v>
      </c>
      <c r="B4082" s="2" t="s">
        <v>36</v>
      </c>
      <c r="C4082" s="2" t="s">
        <v>39</v>
      </c>
      <c r="D4082" s="2">
        <v>3</v>
      </c>
    </row>
    <row r="4083" spans="1:4">
      <c r="A4083" s="2" t="s">
        <v>1684</v>
      </c>
      <c r="B4083" s="2" t="s">
        <v>36</v>
      </c>
      <c r="C4083" s="2" t="s">
        <v>39</v>
      </c>
      <c r="D4083" s="2">
        <v>3</v>
      </c>
    </row>
    <row r="4084" spans="1:4">
      <c r="A4084" s="2" t="s">
        <v>4294</v>
      </c>
      <c r="B4084" s="2" t="s">
        <v>36</v>
      </c>
      <c r="C4084" s="2" t="s">
        <v>39</v>
      </c>
      <c r="D4084" s="2">
        <v>2</v>
      </c>
    </row>
    <row r="4085" spans="1:4">
      <c r="A4085" s="2" t="s">
        <v>3083</v>
      </c>
      <c r="B4085" s="2" t="s">
        <v>36</v>
      </c>
      <c r="C4085" s="2" t="s">
        <v>39</v>
      </c>
      <c r="D4085" s="2">
        <v>2</v>
      </c>
    </row>
    <row r="4086" spans="1:4">
      <c r="A4086" s="2" t="s">
        <v>3091</v>
      </c>
      <c r="B4086" s="2" t="s">
        <v>36</v>
      </c>
      <c r="C4086" s="2" t="s">
        <v>39</v>
      </c>
      <c r="D4086" s="2">
        <v>2</v>
      </c>
    </row>
    <row r="4087" spans="1:4">
      <c r="A4087" s="2" t="s">
        <v>1655</v>
      </c>
      <c r="B4087" s="2" t="s">
        <v>36</v>
      </c>
      <c r="C4087" s="2" t="s">
        <v>39</v>
      </c>
      <c r="D4087" s="2">
        <v>2</v>
      </c>
    </row>
    <row r="4088" spans="1:4">
      <c r="A4088" s="2" t="s">
        <v>1132</v>
      </c>
      <c r="B4088" s="2" t="s">
        <v>36</v>
      </c>
      <c r="C4088" s="2" t="s">
        <v>39</v>
      </c>
      <c r="D4088" s="2">
        <v>2</v>
      </c>
    </row>
    <row r="4089" spans="1:4">
      <c r="A4089" s="2" t="s">
        <v>397</v>
      </c>
      <c r="B4089" s="2" t="s">
        <v>36</v>
      </c>
      <c r="C4089" s="2" t="s">
        <v>39</v>
      </c>
      <c r="D4089" s="2">
        <v>2</v>
      </c>
    </row>
    <row r="4090" spans="1:4">
      <c r="A4090" s="2" t="s">
        <v>4688</v>
      </c>
      <c r="B4090" s="2" t="s">
        <v>36</v>
      </c>
      <c r="C4090" s="2" t="s">
        <v>39</v>
      </c>
      <c r="D4090" s="2">
        <v>2</v>
      </c>
    </row>
    <row r="4091" spans="1:4">
      <c r="A4091" s="2" t="s">
        <v>2550</v>
      </c>
      <c r="B4091" s="2" t="s">
        <v>36</v>
      </c>
      <c r="C4091" s="2" t="s">
        <v>39</v>
      </c>
      <c r="D4091" s="2">
        <v>2</v>
      </c>
    </row>
    <row r="4092" spans="1:4">
      <c r="A4092" s="2" t="s">
        <v>1146</v>
      </c>
      <c r="B4092" s="2" t="s">
        <v>36</v>
      </c>
      <c r="C4092" s="2" t="s">
        <v>39</v>
      </c>
      <c r="D4092" s="2">
        <v>1</v>
      </c>
    </row>
    <row r="4093" spans="1:4">
      <c r="A4093" s="2" t="s">
        <v>1186</v>
      </c>
      <c r="B4093" s="2" t="s">
        <v>36</v>
      </c>
      <c r="C4093" s="2" t="s">
        <v>39</v>
      </c>
      <c r="D4093" s="2">
        <v>1</v>
      </c>
    </row>
    <row r="4094" spans="1:4">
      <c r="A4094" s="2" t="s">
        <v>1156</v>
      </c>
      <c r="B4094" s="2" t="s">
        <v>36</v>
      </c>
      <c r="C4094" s="2" t="s">
        <v>39</v>
      </c>
      <c r="D4094" s="2">
        <v>1</v>
      </c>
    </row>
    <row r="4095" spans="1:4">
      <c r="A4095" s="2" t="s">
        <v>2644</v>
      </c>
      <c r="B4095" s="2" t="s">
        <v>36</v>
      </c>
      <c r="C4095" s="2" t="s">
        <v>39</v>
      </c>
      <c r="D4095" s="2">
        <v>1</v>
      </c>
    </row>
    <row r="4096" spans="1:4">
      <c r="A4096" s="2" t="s">
        <v>4664</v>
      </c>
      <c r="B4096" s="2" t="s">
        <v>36</v>
      </c>
      <c r="C4096" s="2" t="s">
        <v>39</v>
      </c>
      <c r="D4096" s="2">
        <v>1</v>
      </c>
    </row>
    <row r="4097" spans="1:4">
      <c r="A4097" s="2" t="s">
        <v>4591</v>
      </c>
      <c r="B4097" s="2" t="s">
        <v>36</v>
      </c>
      <c r="C4097" s="2" t="s">
        <v>39</v>
      </c>
      <c r="D4097" s="2">
        <v>1</v>
      </c>
    </row>
    <row r="4098" spans="1:4">
      <c r="A4098" s="2" t="s">
        <v>3969</v>
      </c>
      <c r="B4098" s="2" t="s">
        <v>36</v>
      </c>
      <c r="C4098" s="2" t="s">
        <v>39</v>
      </c>
      <c r="D4098" s="2">
        <v>1</v>
      </c>
    </row>
    <row r="4099" spans="1:4">
      <c r="A4099" s="2" t="s">
        <v>3951</v>
      </c>
      <c r="B4099" s="2" t="s">
        <v>36</v>
      </c>
      <c r="C4099" s="2" t="s">
        <v>39</v>
      </c>
      <c r="D4099" s="2">
        <v>1</v>
      </c>
    </row>
    <row r="4100" spans="1:4">
      <c r="A4100" s="2" t="s">
        <v>352</v>
      </c>
      <c r="B4100" s="2" t="s">
        <v>36</v>
      </c>
      <c r="C4100" s="2" t="s">
        <v>36</v>
      </c>
      <c r="D4100" s="2">
        <v>686</v>
      </c>
    </row>
    <row r="4101" spans="1:4">
      <c r="A4101" s="2" t="s">
        <v>358</v>
      </c>
      <c r="B4101" s="2" t="s">
        <v>36</v>
      </c>
      <c r="C4101" s="2" t="s">
        <v>36</v>
      </c>
      <c r="D4101" s="2">
        <v>663</v>
      </c>
    </row>
    <row r="4102" spans="1:4">
      <c r="A4102" s="2" t="s">
        <v>318</v>
      </c>
      <c r="B4102" s="2" t="s">
        <v>36</v>
      </c>
      <c r="C4102" s="2" t="s">
        <v>36</v>
      </c>
      <c r="D4102" s="2">
        <v>660</v>
      </c>
    </row>
    <row r="4103" spans="1:4">
      <c r="A4103" s="2" t="s">
        <v>340</v>
      </c>
      <c r="B4103" s="2" t="s">
        <v>36</v>
      </c>
      <c r="C4103" s="2" t="s">
        <v>36</v>
      </c>
      <c r="D4103" s="2">
        <v>625</v>
      </c>
    </row>
    <row r="4104" spans="1:4">
      <c r="A4104" s="2" t="s">
        <v>329</v>
      </c>
      <c r="B4104" s="2" t="s">
        <v>36</v>
      </c>
      <c r="C4104" s="2" t="s">
        <v>36</v>
      </c>
      <c r="D4104" s="2">
        <v>617</v>
      </c>
    </row>
    <row r="4105" spans="1:4">
      <c r="A4105" s="2" t="s">
        <v>3974</v>
      </c>
      <c r="B4105" s="2" t="s">
        <v>36</v>
      </c>
      <c r="C4105" s="2" t="s">
        <v>36</v>
      </c>
      <c r="D4105" s="2">
        <v>610</v>
      </c>
    </row>
    <row r="4106" spans="1:4">
      <c r="A4106" s="2" t="s">
        <v>369</v>
      </c>
      <c r="B4106" s="2" t="s">
        <v>36</v>
      </c>
      <c r="C4106" s="2" t="s">
        <v>36</v>
      </c>
      <c r="D4106" s="2">
        <v>604</v>
      </c>
    </row>
    <row r="4107" spans="1:4">
      <c r="A4107" s="2" t="s">
        <v>392</v>
      </c>
      <c r="B4107" s="2" t="s">
        <v>36</v>
      </c>
      <c r="C4107" s="2" t="s">
        <v>36</v>
      </c>
      <c r="D4107" s="2">
        <v>598</v>
      </c>
    </row>
    <row r="4108" spans="1:4">
      <c r="A4108" s="2" t="s">
        <v>335</v>
      </c>
      <c r="B4108" s="2" t="s">
        <v>36</v>
      </c>
      <c r="C4108" s="2" t="s">
        <v>36</v>
      </c>
      <c r="D4108" s="2">
        <v>598</v>
      </c>
    </row>
    <row r="4109" spans="1:4">
      <c r="A4109" s="2" t="s">
        <v>1184</v>
      </c>
      <c r="B4109" s="2" t="s">
        <v>36</v>
      </c>
      <c r="C4109" s="2" t="s">
        <v>36</v>
      </c>
      <c r="D4109" s="2">
        <v>596</v>
      </c>
    </row>
    <row r="4110" spans="1:4">
      <c r="A4110" s="2" t="s">
        <v>383</v>
      </c>
      <c r="B4110" s="2" t="s">
        <v>36</v>
      </c>
      <c r="C4110" s="2" t="s">
        <v>36</v>
      </c>
      <c r="D4110" s="2">
        <v>595</v>
      </c>
    </row>
    <row r="4111" spans="1:4">
      <c r="A4111" s="2" t="s">
        <v>399</v>
      </c>
      <c r="B4111" s="2" t="s">
        <v>36</v>
      </c>
      <c r="C4111" s="2" t="s">
        <v>36</v>
      </c>
      <c r="D4111" s="2">
        <v>594</v>
      </c>
    </row>
    <row r="4112" spans="1:4">
      <c r="A4112" s="2" t="s">
        <v>390</v>
      </c>
      <c r="B4112" s="2" t="s">
        <v>36</v>
      </c>
      <c r="C4112" s="2" t="s">
        <v>36</v>
      </c>
      <c r="D4112" s="2">
        <v>593</v>
      </c>
    </row>
    <row r="4113" spans="1:4">
      <c r="A4113" s="2" t="s">
        <v>3990</v>
      </c>
      <c r="B4113" s="2" t="s">
        <v>36</v>
      </c>
      <c r="C4113" s="2" t="s">
        <v>36</v>
      </c>
      <c r="D4113" s="2">
        <v>577</v>
      </c>
    </row>
    <row r="4114" spans="1:4">
      <c r="A4114" s="2" t="s">
        <v>381</v>
      </c>
      <c r="B4114" s="2" t="s">
        <v>36</v>
      </c>
      <c r="C4114" s="2" t="s">
        <v>36</v>
      </c>
      <c r="D4114" s="2">
        <v>576</v>
      </c>
    </row>
    <row r="4115" spans="1:4">
      <c r="A4115" s="2" t="s">
        <v>1191</v>
      </c>
      <c r="B4115" s="2" t="s">
        <v>36</v>
      </c>
      <c r="C4115" s="2" t="s">
        <v>36</v>
      </c>
      <c r="D4115" s="2">
        <v>571</v>
      </c>
    </row>
    <row r="4116" spans="1:4">
      <c r="A4116" s="2" t="s">
        <v>366</v>
      </c>
      <c r="B4116" s="2" t="s">
        <v>36</v>
      </c>
      <c r="C4116" s="2" t="s">
        <v>36</v>
      </c>
      <c r="D4116" s="2">
        <v>568</v>
      </c>
    </row>
    <row r="4117" spans="1:4">
      <c r="A4117" s="2" t="s">
        <v>1169</v>
      </c>
      <c r="B4117" s="2" t="s">
        <v>36</v>
      </c>
      <c r="C4117" s="2" t="s">
        <v>36</v>
      </c>
      <c r="D4117" s="2">
        <v>566</v>
      </c>
    </row>
    <row r="4118" spans="1:4">
      <c r="A4118" s="2" t="s">
        <v>427</v>
      </c>
      <c r="B4118" s="2" t="s">
        <v>36</v>
      </c>
      <c r="C4118" s="2" t="s">
        <v>36</v>
      </c>
      <c r="D4118" s="2">
        <v>558</v>
      </c>
    </row>
    <row r="4119" spans="1:4">
      <c r="A4119" s="2" t="s">
        <v>405</v>
      </c>
      <c r="B4119" s="2" t="s">
        <v>36</v>
      </c>
      <c r="C4119" s="2" t="s">
        <v>36</v>
      </c>
      <c r="D4119" s="2">
        <v>553</v>
      </c>
    </row>
    <row r="4120" spans="1:4">
      <c r="A4120" s="2" t="s">
        <v>2062</v>
      </c>
      <c r="B4120" s="2" t="s">
        <v>36</v>
      </c>
      <c r="C4120" s="2" t="s">
        <v>36</v>
      </c>
      <c r="D4120" s="2">
        <v>551</v>
      </c>
    </row>
    <row r="4121" spans="1:4">
      <c r="A4121" s="2" t="s">
        <v>391</v>
      </c>
      <c r="B4121" s="2" t="s">
        <v>36</v>
      </c>
      <c r="C4121" s="2" t="s">
        <v>36</v>
      </c>
      <c r="D4121" s="2">
        <v>548</v>
      </c>
    </row>
    <row r="4122" spans="1:4">
      <c r="A4122" s="2" t="s">
        <v>3981</v>
      </c>
      <c r="B4122" s="2" t="s">
        <v>36</v>
      </c>
      <c r="C4122" s="2" t="s">
        <v>36</v>
      </c>
      <c r="D4122" s="2">
        <v>543</v>
      </c>
    </row>
    <row r="4123" spans="1:4">
      <c r="A4123" s="2" t="s">
        <v>1188</v>
      </c>
      <c r="B4123" s="2" t="s">
        <v>36</v>
      </c>
      <c r="C4123" s="2" t="s">
        <v>36</v>
      </c>
      <c r="D4123" s="2">
        <v>540</v>
      </c>
    </row>
    <row r="4124" spans="1:4">
      <c r="A4124" s="2" t="s">
        <v>1199</v>
      </c>
      <c r="B4124" s="2" t="s">
        <v>36</v>
      </c>
      <c r="C4124" s="2" t="s">
        <v>36</v>
      </c>
      <c r="D4124" s="2">
        <v>538</v>
      </c>
    </row>
    <row r="4125" spans="1:4">
      <c r="A4125" s="2" t="s">
        <v>2080</v>
      </c>
      <c r="B4125" s="2" t="s">
        <v>36</v>
      </c>
      <c r="C4125" s="2" t="s">
        <v>36</v>
      </c>
      <c r="D4125" s="2">
        <v>534</v>
      </c>
    </row>
    <row r="4126" spans="1:4">
      <c r="A4126" s="2" t="s">
        <v>2647</v>
      </c>
      <c r="B4126" s="2" t="s">
        <v>36</v>
      </c>
      <c r="C4126" s="2" t="s">
        <v>36</v>
      </c>
      <c r="D4126" s="2">
        <v>532</v>
      </c>
    </row>
    <row r="4127" spans="1:4">
      <c r="A4127" s="2" t="s">
        <v>2556</v>
      </c>
      <c r="B4127" s="2" t="s">
        <v>36</v>
      </c>
      <c r="C4127" s="2" t="s">
        <v>36</v>
      </c>
      <c r="D4127" s="2">
        <v>531</v>
      </c>
    </row>
    <row r="4128" spans="1:4">
      <c r="A4128" s="2" t="s">
        <v>1168</v>
      </c>
      <c r="B4128" s="2" t="s">
        <v>36</v>
      </c>
      <c r="C4128" s="2" t="s">
        <v>36</v>
      </c>
      <c r="D4128" s="2">
        <v>530</v>
      </c>
    </row>
    <row r="4129" spans="1:4">
      <c r="A4129" s="2" t="s">
        <v>2603</v>
      </c>
      <c r="B4129" s="2" t="s">
        <v>36</v>
      </c>
      <c r="C4129" s="2" t="s">
        <v>36</v>
      </c>
      <c r="D4129" s="2">
        <v>527</v>
      </c>
    </row>
    <row r="4130" spans="1:4">
      <c r="A4130" s="2" t="s">
        <v>4696</v>
      </c>
      <c r="B4130" s="2" t="s">
        <v>36</v>
      </c>
      <c r="C4130" s="2" t="s">
        <v>36</v>
      </c>
      <c r="D4130" s="2">
        <v>526</v>
      </c>
    </row>
    <row r="4131" spans="1:4">
      <c r="A4131" s="2" t="s">
        <v>403</v>
      </c>
      <c r="B4131" s="2" t="s">
        <v>36</v>
      </c>
      <c r="C4131" s="2" t="s">
        <v>36</v>
      </c>
      <c r="D4131" s="2">
        <v>525</v>
      </c>
    </row>
    <row r="4132" spans="1:4">
      <c r="A4132" s="2" t="s">
        <v>423</v>
      </c>
      <c r="B4132" s="2" t="s">
        <v>36</v>
      </c>
      <c r="C4132" s="2" t="s">
        <v>36</v>
      </c>
      <c r="D4132" s="2">
        <v>521</v>
      </c>
    </row>
    <row r="4133" spans="1:4">
      <c r="A4133" s="2" t="s">
        <v>1173</v>
      </c>
      <c r="B4133" s="2" t="s">
        <v>36</v>
      </c>
      <c r="C4133" s="2" t="s">
        <v>36</v>
      </c>
      <c r="D4133" s="2">
        <v>518</v>
      </c>
    </row>
    <row r="4134" spans="1:4">
      <c r="A4134" s="2" t="s">
        <v>414</v>
      </c>
      <c r="B4134" s="2" t="s">
        <v>36</v>
      </c>
      <c r="C4134" s="2" t="s">
        <v>36</v>
      </c>
      <c r="D4134" s="2">
        <v>515</v>
      </c>
    </row>
    <row r="4135" spans="1:4">
      <c r="A4135" s="2" t="s">
        <v>1140</v>
      </c>
      <c r="B4135" s="2" t="s">
        <v>36</v>
      </c>
      <c r="C4135" s="2" t="s">
        <v>36</v>
      </c>
      <c r="D4135" s="2">
        <v>513</v>
      </c>
    </row>
    <row r="4136" spans="1:4">
      <c r="A4136" s="2" t="s">
        <v>413</v>
      </c>
      <c r="B4136" s="2" t="s">
        <v>36</v>
      </c>
      <c r="C4136" s="2" t="s">
        <v>36</v>
      </c>
      <c r="D4136" s="2">
        <v>511</v>
      </c>
    </row>
    <row r="4137" spans="1:4">
      <c r="A4137" s="2" t="s">
        <v>4310</v>
      </c>
      <c r="B4137" s="2" t="s">
        <v>36</v>
      </c>
      <c r="C4137" s="2" t="s">
        <v>36</v>
      </c>
      <c r="D4137" s="2">
        <v>511</v>
      </c>
    </row>
    <row r="4138" spans="1:4">
      <c r="A4138" s="2" t="s">
        <v>363</v>
      </c>
      <c r="B4138" s="2" t="s">
        <v>36</v>
      </c>
      <c r="C4138" s="2" t="s">
        <v>36</v>
      </c>
      <c r="D4138" s="2">
        <v>509</v>
      </c>
    </row>
    <row r="4139" spans="1:4">
      <c r="A4139" s="2" t="s">
        <v>3106</v>
      </c>
      <c r="B4139" s="2" t="s">
        <v>36</v>
      </c>
      <c r="C4139" s="2" t="s">
        <v>36</v>
      </c>
      <c r="D4139" s="2">
        <v>506</v>
      </c>
    </row>
    <row r="4140" spans="1:4">
      <c r="A4140" s="2" t="s">
        <v>1969</v>
      </c>
      <c r="B4140" s="2" t="s">
        <v>36</v>
      </c>
      <c r="C4140" s="2" t="s">
        <v>36</v>
      </c>
      <c r="D4140" s="2">
        <v>503</v>
      </c>
    </row>
    <row r="4141" spans="1:4">
      <c r="A4141" s="2" t="s">
        <v>3522</v>
      </c>
      <c r="B4141" s="2" t="s">
        <v>36</v>
      </c>
      <c r="C4141" s="2" t="s">
        <v>36</v>
      </c>
      <c r="D4141" s="2">
        <v>503</v>
      </c>
    </row>
    <row r="4142" spans="1:4">
      <c r="A4142" s="2" t="s">
        <v>4002</v>
      </c>
      <c r="B4142" s="2" t="s">
        <v>36</v>
      </c>
      <c r="C4142" s="2" t="s">
        <v>36</v>
      </c>
      <c r="D4142" s="2">
        <v>497</v>
      </c>
    </row>
    <row r="4143" spans="1:4">
      <c r="A4143" s="2" t="s">
        <v>3059</v>
      </c>
      <c r="B4143" s="2" t="s">
        <v>36</v>
      </c>
      <c r="C4143" s="2" t="s">
        <v>36</v>
      </c>
      <c r="D4143" s="2">
        <v>493</v>
      </c>
    </row>
    <row r="4144" spans="1:4">
      <c r="A4144" s="2" t="s">
        <v>3518</v>
      </c>
      <c r="B4144" s="2" t="s">
        <v>36</v>
      </c>
      <c r="C4144" s="2" t="s">
        <v>36</v>
      </c>
      <c r="D4144" s="2">
        <v>490</v>
      </c>
    </row>
    <row r="4145" spans="1:4">
      <c r="A4145" s="2" t="s">
        <v>2010</v>
      </c>
      <c r="B4145" s="2" t="s">
        <v>36</v>
      </c>
      <c r="C4145" s="2" t="s">
        <v>36</v>
      </c>
      <c r="D4145" s="2">
        <v>488</v>
      </c>
    </row>
    <row r="4146" spans="1:4">
      <c r="A4146" s="2" t="s">
        <v>4666</v>
      </c>
      <c r="B4146" s="2" t="s">
        <v>36</v>
      </c>
      <c r="C4146" s="2" t="s">
        <v>36</v>
      </c>
      <c r="D4146" s="2">
        <v>488</v>
      </c>
    </row>
    <row r="4147" spans="1:4">
      <c r="A4147" s="2" t="s">
        <v>310</v>
      </c>
      <c r="B4147" s="2" t="s">
        <v>36</v>
      </c>
      <c r="C4147" s="2" t="s">
        <v>36</v>
      </c>
      <c r="D4147" s="2">
        <v>486</v>
      </c>
    </row>
    <row r="4148" spans="1:4">
      <c r="A4148" s="2" t="s">
        <v>416</v>
      </c>
      <c r="B4148" s="2" t="s">
        <v>36</v>
      </c>
      <c r="C4148" s="2" t="s">
        <v>36</v>
      </c>
      <c r="D4148" s="2">
        <v>483</v>
      </c>
    </row>
    <row r="4149" spans="1:4">
      <c r="A4149" s="2" t="s">
        <v>2088</v>
      </c>
      <c r="B4149" s="2" t="s">
        <v>36</v>
      </c>
      <c r="C4149" s="2" t="s">
        <v>36</v>
      </c>
      <c r="D4149" s="2">
        <v>483</v>
      </c>
    </row>
    <row r="4150" spans="1:4">
      <c r="A4150" s="2" t="s">
        <v>2582</v>
      </c>
      <c r="B4150" s="2" t="s">
        <v>36</v>
      </c>
      <c r="C4150" s="2" t="s">
        <v>36</v>
      </c>
      <c r="D4150" s="2">
        <v>483</v>
      </c>
    </row>
    <row r="4151" spans="1:4">
      <c r="A4151" s="2" t="s">
        <v>4347</v>
      </c>
      <c r="B4151" s="2" t="s">
        <v>36</v>
      </c>
      <c r="C4151" s="2" t="s">
        <v>36</v>
      </c>
      <c r="D4151" s="2">
        <v>483</v>
      </c>
    </row>
    <row r="4152" spans="1:4">
      <c r="A4152" s="2" t="s">
        <v>4706</v>
      </c>
      <c r="B4152" s="2" t="s">
        <v>36</v>
      </c>
      <c r="C4152" s="2" t="s">
        <v>36</v>
      </c>
      <c r="D4152" s="2">
        <v>479</v>
      </c>
    </row>
    <row r="4153" spans="1:4">
      <c r="A4153" s="2" t="s">
        <v>1148</v>
      </c>
      <c r="B4153" s="2" t="s">
        <v>36</v>
      </c>
      <c r="C4153" s="2" t="s">
        <v>36</v>
      </c>
      <c r="D4153" s="2">
        <v>478</v>
      </c>
    </row>
    <row r="4154" spans="1:4">
      <c r="A4154" s="2" t="s">
        <v>3125</v>
      </c>
      <c r="B4154" s="2" t="s">
        <v>36</v>
      </c>
      <c r="C4154" s="2" t="s">
        <v>36</v>
      </c>
      <c r="D4154" s="2">
        <v>476</v>
      </c>
    </row>
    <row r="4155" spans="1:4">
      <c r="A4155" s="2" t="s">
        <v>328</v>
      </c>
      <c r="B4155" s="2" t="s">
        <v>36</v>
      </c>
      <c r="C4155" s="2" t="s">
        <v>36</v>
      </c>
      <c r="D4155" s="2">
        <v>474</v>
      </c>
    </row>
    <row r="4156" spans="1:4">
      <c r="A4156" s="2" t="s">
        <v>1668</v>
      </c>
      <c r="B4156" s="2" t="s">
        <v>36</v>
      </c>
      <c r="C4156" s="2" t="s">
        <v>36</v>
      </c>
      <c r="D4156" s="2">
        <v>474</v>
      </c>
    </row>
    <row r="4157" spans="1:4">
      <c r="A4157" s="2" t="s">
        <v>2576</v>
      </c>
      <c r="B4157" s="2" t="s">
        <v>36</v>
      </c>
      <c r="C4157" s="2" t="s">
        <v>36</v>
      </c>
      <c r="D4157" s="2">
        <v>473</v>
      </c>
    </row>
    <row r="4158" spans="1:4">
      <c r="A4158" s="2" t="s">
        <v>1117</v>
      </c>
      <c r="B4158" s="2" t="s">
        <v>36</v>
      </c>
      <c r="C4158" s="2" t="s">
        <v>36</v>
      </c>
      <c r="D4158" s="2">
        <v>472</v>
      </c>
    </row>
    <row r="4159" spans="1:4">
      <c r="A4159" s="2" t="s">
        <v>2639</v>
      </c>
      <c r="B4159" s="2" t="s">
        <v>36</v>
      </c>
      <c r="C4159" s="2" t="s">
        <v>36</v>
      </c>
      <c r="D4159" s="2">
        <v>472</v>
      </c>
    </row>
    <row r="4160" spans="1:4">
      <c r="A4160" s="2" t="s">
        <v>1220</v>
      </c>
      <c r="B4160" s="2" t="s">
        <v>36</v>
      </c>
      <c r="C4160" s="2" t="s">
        <v>36</v>
      </c>
      <c r="D4160" s="2">
        <v>469</v>
      </c>
    </row>
    <row r="4161" spans="1:4">
      <c r="A4161" s="2" t="s">
        <v>401</v>
      </c>
      <c r="B4161" s="2" t="s">
        <v>36</v>
      </c>
      <c r="C4161" s="2" t="s">
        <v>36</v>
      </c>
      <c r="D4161" s="2">
        <v>467</v>
      </c>
    </row>
    <row r="4162" spans="1:4">
      <c r="A4162" s="2" t="s">
        <v>1673</v>
      </c>
      <c r="B4162" s="2" t="s">
        <v>36</v>
      </c>
      <c r="C4162" s="2" t="s">
        <v>36</v>
      </c>
      <c r="D4162" s="2">
        <v>467</v>
      </c>
    </row>
    <row r="4163" spans="1:4">
      <c r="A4163" s="2" t="s">
        <v>1648</v>
      </c>
      <c r="B4163" s="2" t="s">
        <v>36</v>
      </c>
      <c r="C4163" s="2" t="s">
        <v>36</v>
      </c>
      <c r="D4163" s="2">
        <v>465</v>
      </c>
    </row>
    <row r="4164" spans="1:4">
      <c r="A4164" s="2" t="s">
        <v>400</v>
      </c>
      <c r="B4164" s="2" t="s">
        <v>36</v>
      </c>
      <c r="C4164" s="2" t="s">
        <v>36</v>
      </c>
      <c r="D4164" s="2">
        <v>465</v>
      </c>
    </row>
    <row r="4165" spans="1:4">
      <c r="A4165" s="2" t="s">
        <v>2581</v>
      </c>
      <c r="B4165" s="2" t="s">
        <v>36</v>
      </c>
      <c r="C4165" s="2" t="s">
        <v>36</v>
      </c>
      <c r="D4165" s="2">
        <v>464</v>
      </c>
    </row>
    <row r="4166" spans="1:4">
      <c r="A4166" s="2" t="s">
        <v>1190</v>
      </c>
      <c r="B4166" s="2" t="s">
        <v>36</v>
      </c>
      <c r="C4166" s="2" t="s">
        <v>36</v>
      </c>
      <c r="D4166" s="2">
        <v>461</v>
      </c>
    </row>
    <row r="4167" spans="1:4">
      <c r="A4167" s="2" t="s">
        <v>2077</v>
      </c>
      <c r="B4167" s="2" t="s">
        <v>36</v>
      </c>
      <c r="C4167" s="2" t="s">
        <v>36</v>
      </c>
      <c r="D4167" s="2">
        <v>459</v>
      </c>
    </row>
    <row r="4168" spans="1:4">
      <c r="A4168" s="2" t="s">
        <v>2646</v>
      </c>
      <c r="B4168" s="2" t="s">
        <v>36</v>
      </c>
      <c r="C4168" s="2" t="s">
        <v>36</v>
      </c>
      <c r="D4168" s="2">
        <v>457</v>
      </c>
    </row>
    <row r="4169" spans="1:4">
      <c r="A4169" s="2" t="s">
        <v>1649</v>
      </c>
      <c r="B4169" s="2" t="s">
        <v>36</v>
      </c>
      <c r="C4169" s="2" t="s">
        <v>36</v>
      </c>
      <c r="D4169" s="2">
        <v>454</v>
      </c>
    </row>
    <row r="4170" spans="1:4">
      <c r="A4170" s="2" t="s">
        <v>3111</v>
      </c>
      <c r="B4170" s="2" t="s">
        <v>36</v>
      </c>
      <c r="C4170" s="2" t="s">
        <v>36</v>
      </c>
      <c r="D4170" s="2">
        <v>454</v>
      </c>
    </row>
    <row r="4171" spans="1:4">
      <c r="A4171" s="2" t="s">
        <v>1214</v>
      </c>
      <c r="B4171" s="2" t="s">
        <v>36</v>
      </c>
      <c r="C4171" s="2" t="s">
        <v>36</v>
      </c>
      <c r="D4171" s="2">
        <v>453</v>
      </c>
    </row>
    <row r="4172" spans="1:4">
      <c r="A4172" s="2" t="s">
        <v>1181</v>
      </c>
      <c r="B4172" s="2" t="s">
        <v>36</v>
      </c>
      <c r="C4172" s="2" t="s">
        <v>36</v>
      </c>
      <c r="D4172" s="2">
        <v>450</v>
      </c>
    </row>
    <row r="4173" spans="1:4">
      <c r="A4173" s="2" t="s">
        <v>301</v>
      </c>
      <c r="B4173" s="2" t="s">
        <v>36</v>
      </c>
      <c r="C4173" s="2" t="s">
        <v>36</v>
      </c>
      <c r="D4173" s="2">
        <v>449</v>
      </c>
    </row>
    <row r="4174" spans="1:4">
      <c r="A4174" s="2" t="s">
        <v>3956</v>
      </c>
      <c r="B4174" s="2" t="s">
        <v>36</v>
      </c>
      <c r="C4174" s="2" t="s">
        <v>36</v>
      </c>
      <c r="D4174" s="2">
        <v>449</v>
      </c>
    </row>
    <row r="4175" spans="1:4">
      <c r="A4175" s="2" t="s">
        <v>315</v>
      </c>
      <c r="B4175" s="2" t="s">
        <v>36</v>
      </c>
      <c r="C4175" s="2" t="s">
        <v>36</v>
      </c>
      <c r="D4175" s="2">
        <v>446</v>
      </c>
    </row>
    <row r="4176" spans="1:4">
      <c r="A4176" s="2" t="s">
        <v>429</v>
      </c>
      <c r="B4176" s="2" t="s">
        <v>36</v>
      </c>
      <c r="C4176" s="2" t="s">
        <v>36</v>
      </c>
      <c r="D4176" s="2">
        <v>446</v>
      </c>
    </row>
    <row r="4177" spans="1:4">
      <c r="A4177" s="2" t="s">
        <v>2046</v>
      </c>
      <c r="B4177" s="2" t="s">
        <v>36</v>
      </c>
      <c r="C4177" s="2" t="s">
        <v>36</v>
      </c>
      <c r="D4177" s="2">
        <v>442</v>
      </c>
    </row>
    <row r="4178" spans="1:4">
      <c r="A4178" s="2" t="s">
        <v>3998</v>
      </c>
      <c r="B4178" s="2" t="s">
        <v>36</v>
      </c>
      <c r="C4178" s="2" t="s">
        <v>36</v>
      </c>
      <c r="D4178" s="2">
        <v>440</v>
      </c>
    </row>
    <row r="4179" spans="1:4">
      <c r="A4179" s="2" t="s">
        <v>1153</v>
      </c>
      <c r="B4179" s="2" t="s">
        <v>36</v>
      </c>
      <c r="C4179" s="2" t="s">
        <v>36</v>
      </c>
      <c r="D4179" s="2">
        <v>438</v>
      </c>
    </row>
    <row r="4180" spans="1:4">
      <c r="A4180" s="2" t="s">
        <v>3995</v>
      </c>
      <c r="B4180" s="2" t="s">
        <v>36</v>
      </c>
      <c r="C4180" s="2" t="s">
        <v>36</v>
      </c>
      <c r="D4180" s="2">
        <v>437</v>
      </c>
    </row>
    <row r="4181" spans="1:4">
      <c r="A4181" s="2" t="s">
        <v>370</v>
      </c>
      <c r="B4181" s="2" t="s">
        <v>36</v>
      </c>
      <c r="C4181" s="2" t="s">
        <v>36</v>
      </c>
      <c r="D4181" s="2">
        <v>436</v>
      </c>
    </row>
    <row r="4182" spans="1:4">
      <c r="A4182" s="2" t="s">
        <v>3122</v>
      </c>
      <c r="B4182" s="2" t="s">
        <v>36</v>
      </c>
      <c r="C4182" s="2" t="s">
        <v>36</v>
      </c>
      <c r="D4182" s="2">
        <v>435</v>
      </c>
    </row>
    <row r="4183" spans="1:4">
      <c r="A4183" s="2" t="s">
        <v>4707</v>
      </c>
      <c r="B4183" s="2" t="s">
        <v>36</v>
      </c>
      <c r="C4183" s="2" t="s">
        <v>36</v>
      </c>
      <c r="D4183" s="2">
        <v>435</v>
      </c>
    </row>
    <row r="4184" spans="1:4">
      <c r="A4184" s="2" t="s">
        <v>402</v>
      </c>
      <c r="B4184" s="2" t="s">
        <v>36</v>
      </c>
      <c r="C4184" s="2" t="s">
        <v>36</v>
      </c>
      <c r="D4184" s="2">
        <v>434</v>
      </c>
    </row>
    <row r="4185" spans="1:4">
      <c r="A4185" s="2" t="s">
        <v>3051</v>
      </c>
      <c r="B4185" s="2" t="s">
        <v>36</v>
      </c>
      <c r="C4185" s="2" t="s">
        <v>36</v>
      </c>
      <c r="D4185" s="2">
        <v>434</v>
      </c>
    </row>
    <row r="4186" spans="1:4">
      <c r="A4186" s="2" t="s">
        <v>386</v>
      </c>
      <c r="B4186" s="2" t="s">
        <v>36</v>
      </c>
      <c r="C4186" s="2" t="s">
        <v>36</v>
      </c>
      <c r="D4186" s="2">
        <v>433</v>
      </c>
    </row>
    <row r="4187" spans="1:4">
      <c r="A4187" s="2" t="s">
        <v>425</v>
      </c>
      <c r="B4187" s="2" t="s">
        <v>36</v>
      </c>
      <c r="C4187" s="2" t="s">
        <v>36</v>
      </c>
      <c r="D4187" s="2">
        <v>432</v>
      </c>
    </row>
    <row r="4188" spans="1:4">
      <c r="A4188" s="2" t="s">
        <v>3027</v>
      </c>
      <c r="B4188" s="2" t="s">
        <v>36</v>
      </c>
      <c r="C4188" s="2" t="s">
        <v>36</v>
      </c>
      <c r="D4188" s="2">
        <v>431</v>
      </c>
    </row>
    <row r="4189" spans="1:4">
      <c r="A4189" s="2" t="s">
        <v>3534</v>
      </c>
      <c r="B4189" s="2" t="s">
        <v>36</v>
      </c>
      <c r="C4189" s="2" t="s">
        <v>36</v>
      </c>
      <c r="D4189" s="2">
        <v>430</v>
      </c>
    </row>
    <row r="4190" spans="1:4">
      <c r="A4190" s="2" t="s">
        <v>1154</v>
      </c>
      <c r="B4190" s="2" t="s">
        <v>36</v>
      </c>
      <c r="C4190" s="2" t="s">
        <v>36</v>
      </c>
      <c r="D4190" s="2">
        <v>429</v>
      </c>
    </row>
    <row r="4191" spans="1:4">
      <c r="A4191" s="2" t="s">
        <v>2630</v>
      </c>
      <c r="B4191" s="2" t="s">
        <v>36</v>
      </c>
      <c r="C4191" s="2" t="s">
        <v>36</v>
      </c>
      <c r="D4191" s="2">
        <v>429</v>
      </c>
    </row>
    <row r="4192" spans="1:4">
      <c r="A4192" s="2" t="s">
        <v>3121</v>
      </c>
      <c r="B4192" s="2" t="s">
        <v>36</v>
      </c>
      <c r="C4192" s="2" t="s">
        <v>36</v>
      </c>
      <c r="D4192" s="2">
        <v>426</v>
      </c>
    </row>
    <row r="4193" spans="1:4">
      <c r="A4193" s="2" t="s">
        <v>2578</v>
      </c>
      <c r="B4193" s="2" t="s">
        <v>36</v>
      </c>
      <c r="C4193" s="2" t="s">
        <v>36</v>
      </c>
      <c r="D4193" s="2">
        <v>420</v>
      </c>
    </row>
    <row r="4194" spans="1:4">
      <c r="A4194" s="2" t="s">
        <v>4001</v>
      </c>
      <c r="B4194" s="2" t="s">
        <v>36</v>
      </c>
      <c r="C4194" s="2" t="s">
        <v>36</v>
      </c>
      <c r="D4194" s="2">
        <v>417</v>
      </c>
    </row>
    <row r="4195" spans="1:4">
      <c r="A4195" s="2" t="s">
        <v>1996</v>
      </c>
      <c r="B4195" s="2" t="s">
        <v>36</v>
      </c>
      <c r="C4195" s="2" t="s">
        <v>36</v>
      </c>
      <c r="D4195" s="2">
        <v>413</v>
      </c>
    </row>
    <row r="4196" spans="1:4">
      <c r="A4196" s="2" t="s">
        <v>2612</v>
      </c>
      <c r="B4196" s="2" t="s">
        <v>36</v>
      </c>
      <c r="C4196" s="2" t="s">
        <v>36</v>
      </c>
      <c r="D4196" s="2">
        <v>412</v>
      </c>
    </row>
    <row r="4197" spans="1:4">
      <c r="A4197" s="2" t="s">
        <v>3479</v>
      </c>
      <c r="B4197" s="2" t="s">
        <v>36</v>
      </c>
      <c r="C4197" s="2" t="s">
        <v>36</v>
      </c>
      <c r="D4197" s="2">
        <v>408</v>
      </c>
    </row>
    <row r="4198" spans="1:4">
      <c r="A4198" s="2" t="s">
        <v>3116</v>
      </c>
      <c r="B4198" s="2" t="s">
        <v>36</v>
      </c>
      <c r="C4198" s="2" t="s">
        <v>36</v>
      </c>
      <c r="D4198" s="2">
        <v>408</v>
      </c>
    </row>
    <row r="4199" spans="1:4">
      <c r="A4199" s="2" t="s">
        <v>382</v>
      </c>
      <c r="B4199" s="2" t="s">
        <v>36</v>
      </c>
      <c r="C4199" s="2" t="s">
        <v>36</v>
      </c>
      <c r="D4199" s="2">
        <v>407</v>
      </c>
    </row>
    <row r="4200" spans="1:4">
      <c r="A4200" s="2" t="s">
        <v>971</v>
      </c>
      <c r="B4200" s="2" t="s">
        <v>36</v>
      </c>
      <c r="C4200" s="2" t="s">
        <v>36</v>
      </c>
      <c r="D4200" s="2">
        <v>406</v>
      </c>
    </row>
    <row r="4201" spans="1:4">
      <c r="A4201" s="2" t="s">
        <v>1667</v>
      </c>
      <c r="B4201" s="2" t="s">
        <v>36</v>
      </c>
      <c r="C4201" s="2" t="s">
        <v>36</v>
      </c>
      <c r="D4201" s="2">
        <v>405</v>
      </c>
    </row>
    <row r="4202" spans="1:4">
      <c r="A4202" s="2" t="s">
        <v>3498</v>
      </c>
      <c r="B4202" s="2" t="s">
        <v>36</v>
      </c>
      <c r="C4202" s="2" t="s">
        <v>36</v>
      </c>
      <c r="D4202" s="2">
        <v>403</v>
      </c>
    </row>
    <row r="4203" spans="1:4">
      <c r="A4203" s="2" t="s">
        <v>2560</v>
      </c>
      <c r="B4203" s="2" t="s">
        <v>36</v>
      </c>
      <c r="C4203" s="2" t="s">
        <v>36</v>
      </c>
      <c r="D4203" s="2">
        <v>402</v>
      </c>
    </row>
    <row r="4204" spans="1:4">
      <c r="A4204" s="2" t="s">
        <v>428</v>
      </c>
      <c r="B4204" s="2" t="s">
        <v>36</v>
      </c>
      <c r="C4204" s="2" t="s">
        <v>36</v>
      </c>
      <c r="D4204" s="2">
        <v>402</v>
      </c>
    </row>
    <row r="4205" spans="1:4">
      <c r="A4205" s="2" t="s">
        <v>350</v>
      </c>
      <c r="B4205" s="2" t="s">
        <v>36</v>
      </c>
      <c r="C4205" s="2" t="s">
        <v>36</v>
      </c>
      <c r="D4205" s="2">
        <v>399</v>
      </c>
    </row>
    <row r="4206" spans="1:4">
      <c r="A4206" s="2" t="s">
        <v>3957</v>
      </c>
      <c r="B4206" s="2" t="s">
        <v>36</v>
      </c>
      <c r="C4206" s="2" t="s">
        <v>36</v>
      </c>
      <c r="D4206" s="2">
        <v>396</v>
      </c>
    </row>
    <row r="4207" spans="1:4">
      <c r="A4207" s="2" t="s">
        <v>1642</v>
      </c>
      <c r="B4207" s="2" t="s">
        <v>36</v>
      </c>
      <c r="C4207" s="2" t="s">
        <v>36</v>
      </c>
      <c r="D4207" s="2">
        <v>396</v>
      </c>
    </row>
    <row r="4208" spans="1:4">
      <c r="A4208" s="2" t="s">
        <v>1178</v>
      </c>
      <c r="B4208" s="2" t="s">
        <v>36</v>
      </c>
      <c r="C4208" s="2" t="s">
        <v>36</v>
      </c>
      <c r="D4208" s="2">
        <v>395</v>
      </c>
    </row>
    <row r="4209" spans="1:4">
      <c r="A4209" s="2" t="s">
        <v>2084</v>
      </c>
      <c r="B4209" s="2" t="s">
        <v>36</v>
      </c>
      <c r="C4209" s="2" t="s">
        <v>36</v>
      </c>
      <c r="D4209" s="2">
        <v>392</v>
      </c>
    </row>
    <row r="4210" spans="1:4">
      <c r="A4210" s="2" t="s">
        <v>3100</v>
      </c>
      <c r="B4210" s="2" t="s">
        <v>36</v>
      </c>
      <c r="C4210" s="2" t="s">
        <v>36</v>
      </c>
      <c r="D4210" s="2">
        <v>392</v>
      </c>
    </row>
    <row r="4211" spans="1:4">
      <c r="A4211" s="2" t="s">
        <v>3056</v>
      </c>
      <c r="B4211" s="2" t="s">
        <v>36</v>
      </c>
      <c r="C4211" s="2" t="s">
        <v>36</v>
      </c>
      <c r="D4211" s="2">
        <v>392</v>
      </c>
    </row>
    <row r="4212" spans="1:4">
      <c r="A4212" s="2" t="s">
        <v>3088</v>
      </c>
      <c r="B4212" s="2" t="s">
        <v>36</v>
      </c>
      <c r="C4212" s="2" t="s">
        <v>36</v>
      </c>
      <c r="D4212" s="2">
        <v>391</v>
      </c>
    </row>
    <row r="4213" spans="1:4">
      <c r="A4213" s="2" t="s">
        <v>2625</v>
      </c>
      <c r="B4213" s="2" t="s">
        <v>36</v>
      </c>
      <c r="C4213" s="2" t="s">
        <v>36</v>
      </c>
      <c r="D4213" s="2">
        <v>391</v>
      </c>
    </row>
    <row r="4214" spans="1:4">
      <c r="A4214" s="2" t="s">
        <v>3102</v>
      </c>
      <c r="B4214" s="2" t="s">
        <v>36</v>
      </c>
      <c r="C4214" s="2" t="s">
        <v>36</v>
      </c>
      <c r="D4214" s="2">
        <v>391</v>
      </c>
    </row>
    <row r="4215" spans="1:4">
      <c r="A4215" s="2" t="s">
        <v>393</v>
      </c>
      <c r="B4215" s="2" t="s">
        <v>36</v>
      </c>
      <c r="C4215" s="2" t="s">
        <v>36</v>
      </c>
      <c r="D4215" s="2">
        <v>390</v>
      </c>
    </row>
    <row r="4216" spans="1:4">
      <c r="A4216" s="2" t="s">
        <v>3050</v>
      </c>
      <c r="B4216" s="2" t="s">
        <v>36</v>
      </c>
      <c r="C4216" s="2" t="s">
        <v>36</v>
      </c>
      <c r="D4216" s="2">
        <v>389</v>
      </c>
    </row>
    <row r="4217" spans="1:4">
      <c r="A4217" s="2" t="s">
        <v>387</v>
      </c>
      <c r="B4217" s="2" t="s">
        <v>36</v>
      </c>
      <c r="C4217" s="2" t="s">
        <v>36</v>
      </c>
      <c r="D4217" s="2">
        <v>389</v>
      </c>
    </row>
    <row r="4218" spans="1:4">
      <c r="A4218" s="2" t="s">
        <v>384</v>
      </c>
      <c r="B4218" s="2" t="s">
        <v>36</v>
      </c>
      <c r="C4218" s="2" t="s">
        <v>36</v>
      </c>
      <c r="D4218" s="2">
        <v>387</v>
      </c>
    </row>
    <row r="4219" spans="1:4">
      <c r="A4219" s="2" t="s">
        <v>2034</v>
      </c>
      <c r="B4219" s="2" t="s">
        <v>36</v>
      </c>
      <c r="C4219" s="2" t="s">
        <v>36</v>
      </c>
      <c r="D4219" s="2">
        <v>386</v>
      </c>
    </row>
    <row r="4220" spans="1:4">
      <c r="A4220" s="2" t="s">
        <v>2618</v>
      </c>
      <c r="B4220" s="2" t="s">
        <v>36</v>
      </c>
      <c r="C4220" s="2" t="s">
        <v>36</v>
      </c>
      <c r="D4220" s="2">
        <v>386</v>
      </c>
    </row>
    <row r="4221" spans="1:4">
      <c r="A4221" s="2" t="s">
        <v>2585</v>
      </c>
      <c r="B4221" s="2" t="s">
        <v>36</v>
      </c>
      <c r="C4221" s="2" t="s">
        <v>36</v>
      </c>
      <c r="D4221" s="2">
        <v>385</v>
      </c>
    </row>
    <row r="4222" spans="1:4">
      <c r="A4222" s="2" t="s">
        <v>4295</v>
      </c>
      <c r="B4222" s="2" t="s">
        <v>36</v>
      </c>
      <c r="C4222" s="2" t="s">
        <v>36</v>
      </c>
      <c r="D4222" s="2">
        <v>385</v>
      </c>
    </row>
    <row r="4223" spans="1:4">
      <c r="A4223" s="2" t="s">
        <v>3965</v>
      </c>
      <c r="B4223" s="2" t="s">
        <v>36</v>
      </c>
      <c r="C4223" s="2" t="s">
        <v>36</v>
      </c>
      <c r="D4223" s="2">
        <v>383</v>
      </c>
    </row>
    <row r="4224" spans="1:4">
      <c r="A4224" s="2" t="s">
        <v>297</v>
      </c>
      <c r="B4224" s="2" t="s">
        <v>36</v>
      </c>
      <c r="C4224" s="2" t="s">
        <v>36</v>
      </c>
      <c r="D4224" s="2">
        <v>383</v>
      </c>
    </row>
    <row r="4225" spans="1:4">
      <c r="A4225" s="2" t="s">
        <v>1688</v>
      </c>
      <c r="B4225" s="2" t="s">
        <v>36</v>
      </c>
      <c r="C4225" s="2" t="s">
        <v>36</v>
      </c>
      <c r="D4225" s="2">
        <v>383</v>
      </c>
    </row>
    <row r="4226" spans="1:4">
      <c r="A4226" s="2" t="s">
        <v>3120</v>
      </c>
      <c r="B4226" s="2" t="s">
        <v>36</v>
      </c>
      <c r="C4226" s="2" t="s">
        <v>36</v>
      </c>
      <c r="D4226" s="2">
        <v>383</v>
      </c>
    </row>
    <row r="4227" spans="1:4">
      <c r="A4227" s="2" t="s">
        <v>4280</v>
      </c>
      <c r="B4227" s="2" t="s">
        <v>36</v>
      </c>
      <c r="C4227" s="2" t="s">
        <v>36</v>
      </c>
      <c r="D4227" s="2">
        <v>382</v>
      </c>
    </row>
    <row r="4228" spans="1:4">
      <c r="A4228" s="2" t="s">
        <v>3954</v>
      </c>
      <c r="B4228" s="2" t="s">
        <v>36</v>
      </c>
      <c r="C4228" s="2" t="s">
        <v>36</v>
      </c>
      <c r="D4228" s="2">
        <v>380</v>
      </c>
    </row>
    <row r="4229" spans="1:4">
      <c r="A4229" s="2" t="s">
        <v>1983</v>
      </c>
      <c r="B4229" s="2" t="s">
        <v>36</v>
      </c>
      <c r="C4229" s="2" t="s">
        <v>36</v>
      </c>
      <c r="D4229" s="2">
        <v>380</v>
      </c>
    </row>
    <row r="4230" spans="1:4">
      <c r="A4230" s="2" t="s">
        <v>2602</v>
      </c>
      <c r="B4230" s="2" t="s">
        <v>36</v>
      </c>
      <c r="C4230" s="2" t="s">
        <v>36</v>
      </c>
      <c r="D4230" s="2">
        <v>379</v>
      </c>
    </row>
    <row r="4231" spans="1:4">
      <c r="A4231" s="2" t="s">
        <v>1964</v>
      </c>
      <c r="B4231" s="2" t="s">
        <v>36</v>
      </c>
      <c r="C4231" s="2" t="s">
        <v>36</v>
      </c>
      <c r="D4231" s="2">
        <v>378</v>
      </c>
    </row>
    <row r="4232" spans="1:4">
      <c r="A4232" s="2" t="s">
        <v>1687</v>
      </c>
      <c r="B4232" s="2" t="s">
        <v>36</v>
      </c>
      <c r="C4232" s="2" t="s">
        <v>36</v>
      </c>
      <c r="D4232" s="2">
        <v>378</v>
      </c>
    </row>
    <row r="4233" spans="1:4">
      <c r="A4233" s="2" t="s">
        <v>3540</v>
      </c>
      <c r="B4233" s="2" t="s">
        <v>36</v>
      </c>
      <c r="C4233" s="2" t="s">
        <v>36</v>
      </c>
      <c r="D4233" s="2">
        <v>376</v>
      </c>
    </row>
    <row r="4234" spans="1:4">
      <c r="A4234" s="2" t="s">
        <v>2628</v>
      </c>
      <c r="B4234" s="2" t="s">
        <v>36</v>
      </c>
      <c r="C4234" s="2" t="s">
        <v>36</v>
      </c>
      <c r="D4234" s="2">
        <v>375</v>
      </c>
    </row>
    <row r="4235" spans="1:4">
      <c r="A4235" s="2" t="s">
        <v>1675</v>
      </c>
      <c r="B4235" s="2" t="s">
        <v>36</v>
      </c>
      <c r="C4235" s="2" t="s">
        <v>36</v>
      </c>
      <c r="D4235" s="2">
        <v>375</v>
      </c>
    </row>
    <row r="4236" spans="1:4">
      <c r="A4236" s="2" t="s">
        <v>2568</v>
      </c>
      <c r="B4236" s="2" t="s">
        <v>36</v>
      </c>
      <c r="C4236" s="2" t="s">
        <v>36</v>
      </c>
      <c r="D4236" s="2">
        <v>374</v>
      </c>
    </row>
    <row r="4237" spans="1:4">
      <c r="A4237" s="2" t="s">
        <v>1665</v>
      </c>
      <c r="B4237" s="2" t="s">
        <v>36</v>
      </c>
      <c r="C4237" s="2" t="s">
        <v>36</v>
      </c>
      <c r="D4237" s="2">
        <v>372</v>
      </c>
    </row>
    <row r="4238" spans="1:4">
      <c r="A4238" s="2" t="s">
        <v>1135</v>
      </c>
      <c r="B4238" s="2" t="s">
        <v>36</v>
      </c>
      <c r="C4238" s="2" t="s">
        <v>36</v>
      </c>
      <c r="D4238" s="2">
        <v>372</v>
      </c>
    </row>
    <row r="4239" spans="1:4">
      <c r="A4239" s="2" t="s">
        <v>1213</v>
      </c>
      <c r="B4239" s="2" t="s">
        <v>36</v>
      </c>
      <c r="C4239" s="2" t="s">
        <v>36</v>
      </c>
      <c r="D4239" s="2">
        <v>369</v>
      </c>
    </row>
    <row r="4240" spans="1:4">
      <c r="A4240" s="2" t="s">
        <v>3999</v>
      </c>
      <c r="B4240" s="2" t="s">
        <v>36</v>
      </c>
      <c r="C4240" s="2" t="s">
        <v>36</v>
      </c>
      <c r="D4240" s="2">
        <v>368</v>
      </c>
    </row>
    <row r="4241" spans="1:4">
      <c r="A4241" s="2" t="s">
        <v>308</v>
      </c>
      <c r="B4241" s="2" t="s">
        <v>36</v>
      </c>
      <c r="C4241" s="2" t="s">
        <v>36</v>
      </c>
      <c r="D4241" s="2">
        <v>366</v>
      </c>
    </row>
    <row r="4242" spans="1:4">
      <c r="A4242" s="2" t="s">
        <v>3569</v>
      </c>
      <c r="B4242" s="2" t="s">
        <v>36</v>
      </c>
      <c r="C4242" s="2" t="s">
        <v>36</v>
      </c>
      <c r="D4242" s="2">
        <v>363</v>
      </c>
    </row>
    <row r="4243" spans="1:4">
      <c r="A4243" s="2" t="s">
        <v>1962</v>
      </c>
      <c r="B4243" s="2" t="s">
        <v>36</v>
      </c>
      <c r="C4243" s="2" t="s">
        <v>36</v>
      </c>
      <c r="D4243" s="2">
        <v>362</v>
      </c>
    </row>
    <row r="4244" spans="1:4">
      <c r="A4244" s="2" t="s">
        <v>1971</v>
      </c>
      <c r="B4244" s="2" t="s">
        <v>36</v>
      </c>
      <c r="C4244" s="2" t="s">
        <v>36</v>
      </c>
      <c r="D4244" s="2">
        <v>361</v>
      </c>
    </row>
    <row r="4245" spans="1:4">
      <c r="A4245" s="2" t="s">
        <v>1990</v>
      </c>
      <c r="B4245" s="2" t="s">
        <v>36</v>
      </c>
      <c r="C4245" s="2" t="s">
        <v>36</v>
      </c>
      <c r="D4245" s="2">
        <v>360</v>
      </c>
    </row>
    <row r="4246" spans="1:4">
      <c r="A4246" s="2" t="s">
        <v>3085</v>
      </c>
      <c r="B4246" s="2" t="s">
        <v>36</v>
      </c>
      <c r="C4246" s="2" t="s">
        <v>36</v>
      </c>
      <c r="D4246" s="2">
        <v>358</v>
      </c>
    </row>
    <row r="4247" spans="1:4">
      <c r="A4247" s="2" t="s">
        <v>1211</v>
      </c>
      <c r="B4247" s="2" t="s">
        <v>36</v>
      </c>
      <c r="C4247" s="2" t="s">
        <v>36</v>
      </c>
      <c r="D4247" s="2">
        <v>358</v>
      </c>
    </row>
    <row r="4248" spans="1:4">
      <c r="A4248" s="2" t="s">
        <v>417</v>
      </c>
      <c r="B4248" s="2" t="s">
        <v>36</v>
      </c>
      <c r="C4248" s="2" t="s">
        <v>36</v>
      </c>
      <c r="D4248" s="2">
        <v>356</v>
      </c>
    </row>
    <row r="4249" spans="1:4">
      <c r="A4249" s="2" t="s">
        <v>1162</v>
      </c>
      <c r="B4249" s="2" t="s">
        <v>36</v>
      </c>
      <c r="C4249" s="2" t="s">
        <v>36</v>
      </c>
      <c r="D4249" s="2">
        <v>356</v>
      </c>
    </row>
    <row r="4250" spans="1:4">
      <c r="A4250" s="2" t="s">
        <v>2645</v>
      </c>
      <c r="B4250" s="2" t="s">
        <v>36</v>
      </c>
      <c r="C4250" s="2" t="s">
        <v>36</v>
      </c>
      <c r="D4250" s="2">
        <v>356</v>
      </c>
    </row>
    <row r="4251" spans="1:4">
      <c r="A4251" s="2" t="s">
        <v>4328</v>
      </c>
      <c r="B4251" s="2" t="s">
        <v>36</v>
      </c>
      <c r="C4251" s="2" t="s">
        <v>36</v>
      </c>
      <c r="D4251" s="2">
        <v>354</v>
      </c>
    </row>
    <row r="4252" spans="1:4">
      <c r="A4252" s="2" t="s">
        <v>4694</v>
      </c>
      <c r="B4252" s="2" t="s">
        <v>36</v>
      </c>
      <c r="C4252" s="2" t="s">
        <v>36</v>
      </c>
      <c r="D4252" s="2">
        <v>354</v>
      </c>
    </row>
    <row r="4253" spans="1:4">
      <c r="A4253" s="2" t="s">
        <v>2043</v>
      </c>
      <c r="B4253" s="2" t="s">
        <v>36</v>
      </c>
      <c r="C4253" s="2" t="s">
        <v>36</v>
      </c>
      <c r="D4253" s="2">
        <v>354</v>
      </c>
    </row>
    <row r="4254" spans="1:4">
      <c r="A4254" s="2" t="s">
        <v>373</v>
      </c>
      <c r="B4254" s="2" t="s">
        <v>36</v>
      </c>
      <c r="C4254" s="2" t="s">
        <v>36</v>
      </c>
      <c r="D4254" s="2">
        <v>352</v>
      </c>
    </row>
    <row r="4255" spans="1:4">
      <c r="A4255" s="2" t="s">
        <v>3483</v>
      </c>
      <c r="B4255" s="2" t="s">
        <v>36</v>
      </c>
      <c r="C4255" s="2" t="s">
        <v>36</v>
      </c>
      <c r="D4255" s="2">
        <v>350</v>
      </c>
    </row>
    <row r="4256" spans="1:4">
      <c r="A4256" s="2" t="s">
        <v>967</v>
      </c>
      <c r="B4256" s="2" t="s">
        <v>36</v>
      </c>
      <c r="C4256" s="2" t="s">
        <v>36</v>
      </c>
      <c r="D4256" s="2">
        <v>349</v>
      </c>
    </row>
    <row r="4257" spans="1:4">
      <c r="A4257" s="2" t="s">
        <v>4697</v>
      </c>
      <c r="B4257" s="2" t="s">
        <v>36</v>
      </c>
      <c r="C4257" s="2" t="s">
        <v>36</v>
      </c>
      <c r="D4257" s="2">
        <v>347</v>
      </c>
    </row>
    <row r="4258" spans="1:4">
      <c r="A4258" s="2" t="s">
        <v>3053</v>
      </c>
      <c r="B4258" s="2" t="s">
        <v>36</v>
      </c>
      <c r="C4258" s="2" t="s">
        <v>36</v>
      </c>
      <c r="D4258" s="2">
        <v>347</v>
      </c>
    </row>
    <row r="4259" spans="1:4">
      <c r="A4259" s="2" t="s">
        <v>3075</v>
      </c>
      <c r="B4259" s="2" t="s">
        <v>36</v>
      </c>
      <c r="C4259" s="2" t="s">
        <v>36</v>
      </c>
      <c r="D4259" s="2">
        <v>345</v>
      </c>
    </row>
    <row r="4260" spans="1:4">
      <c r="A4260" s="2" t="s">
        <v>1195</v>
      </c>
      <c r="B4260" s="2" t="s">
        <v>36</v>
      </c>
      <c r="C4260" s="2" t="s">
        <v>36</v>
      </c>
      <c r="D4260" s="2">
        <v>344</v>
      </c>
    </row>
    <row r="4261" spans="1:4">
      <c r="A4261" s="2" t="s">
        <v>1994</v>
      </c>
      <c r="B4261" s="2" t="s">
        <v>36</v>
      </c>
      <c r="C4261" s="2" t="s">
        <v>36</v>
      </c>
      <c r="D4261" s="2">
        <v>342</v>
      </c>
    </row>
    <row r="4262" spans="1:4">
      <c r="A4262" s="2" t="s">
        <v>357</v>
      </c>
      <c r="B4262" s="2" t="s">
        <v>36</v>
      </c>
      <c r="C4262" s="2" t="s">
        <v>36</v>
      </c>
      <c r="D4262" s="2">
        <v>341</v>
      </c>
    </row>
    <row r="4263" spans="1:4">
      <c r="A4263" s="2" t="s">
        <v>4302</v>
      </c>
      <c r="B4263" s="2" t="s">
        <v>36</v>
      </c>
      <c r="C4263" s="2" t="s">
        <v>36</v>
      </c>
      <c r="D4263" s="2">
        <v>340</v>
      </c>
    </row>
    <row r="4264" spans="1:4">
      <c r="A4264" s="2" t="s">
        <v>4297</v>
      </c>
      <c r="B4264" s="2" t="s">
        <v>36</v>
      </c>
      <c r="C4264" s="2" t="s">
        <v>36</v>
      </c>
      <c r="D4264" s="2">
        <v>339</v>
      </c>
    </row>
    <row r="4265" spans="1:4">
      <c r="A4265" s="2" t="s">
        <v>3105</v>
      </c>
      <c r="B4265" s="2" t="s">
        <v>36</v>
      </c>
      <c r="C4265" s="2" t="s">
        <v>36</v>
      </c>
      <c r="D4265" s="2">
        <v>339</v>
      </c>
    </row>
    <row r="4266" spans="1:4">
      <c r="A4266" s="2" t="s">
        <v>4692</v>
      </c>
      <c r="B4266" s="2" t="s">
        <v>36</v>
      </c>
      <c r="C4266" s="2" t="s">
        <v>36</v>
      </c>
      <c r="D4266" s="2">
        <v>336</v>
      </c>
    </row>
    <row r="4267" spans="1:4">
      <c r="A4267" s="2" t="s">
        <v>3068</v>
      </c>
      <c r="B4267" s="2" t="s">
        <v>36</v>
      </c>
      <c r="C4267" s="2" t="s">
        <v>36</v>
      </c>
      <c r="D4267" s="2">
        <v>335</v>
      </c>
    </row>
    <row r="4268" spans="1:4">
      <c r="A4268" s="2" t="s">
        <v>3967</v>
      </c>
      <c r="B4268" s="2" t="s">
        <v>36</v>
      </c>
      <c r="C4268" s="2" t="s">
        <v>36</v>
      </c>
      <c r="D4268" s="2">
        <v>335</v>
      </c>
    </row>
    <row r="4269" spans="1:4">
      <c r="A4269" s="2" t="s">
        <v>4276</v>
      </c>
      <c r="B4269" s="2" t="s">
        <v>36</v>
      </c>
      <c r="C4269" s="2" t="s">
        <v>36</v>
      </c>
      <c r="D4269" s="2">
        <v>334</v>
      </c>
    </row>
    <row r="4270" spans="1:4">
      <c r="A4270" s="2" t="s">
        <v>4003</v>
      </c>
      <c r="B4270" s="2" t="s">
        <v>36</v>
      </c>
      <c r="C4270" s="2" t="s">
        <v>36</v>
      </c>
      <c r="D4270" s="2">
        <v>332</v>
      </c>
    </row>
    <row r="4271" spans="1:4">
      <c r="A4271" s="2" t="s">
        <v>4698</v>
      </c>
      <c r="B4271" s="2" t="s">
        <v>36</v>
      </c>
      <c r="C4271" s="2" t="s">
        <v>36</v>
      </c>
      <c r="D4271" s="2">
        <v>332</v>
      </c>
    </row>
    <row r="4272" spans="1:4">
      <c r="A4272" s="2" t="s">
        <v>345</v>
      </c>
      <c r="B4272" s="2" t="s">
        <v>36</v>
      </c>
      <c r="C4272" s="2" t="s">
        <v>36</v>
      </c>
      <c r="D4272" s="2">
        <v>331</v>
      </c>
    </row>
    <row r="4273" spans="1:4">
      <c r="A4273" s="2" t="s">
        <v>2616</v>
      </c>
      <c r="B4273" s="2" t="s">
        <v>36</v>
      </c>
      <c r="C4273" s="2" t="s">
        <v>36</v>
      </c>
      <c r="D4273" s="2">
        <v>330</v>
      </c>
    </row>
    <row r="4274" spans="1:4">
      <c r="A4274" s="2" t="s">
        <v>2000</v>
      </c>
      <c r="B4274" s="2" t="s">
        <v>36</v>
      </c>
      <c r="C4274" s="2" t="s">
        <v>36</v>
      </c>
      <c r="D4274" s="2">
        <v>329</v>
      </c>
    </row>
    <row r="4275" spans="1:4">
      <c r="A4275" s="2" t="s">
        <v>3559</v>
      </c>
      <c r="B4275" s="2" t="s">
        <v>36</v>
      </c>
      <c r="C4275" s="2" t="s">
        <v>36</v>
      </c>
      <c r="D4275" s="2">
        <v>329</v>
      </c>
    </row>
    <row r="4276" spans="1:4">
      <c r="A4276" s="2" t="s">
        <v>3932</v>
      </c>
      <c r="B4276" s="2" t="s">
        <v>36</v>
      </c>
      <c r="C4276" s="2" t="s">
        <v>36</v>
      </c>
      <c r="D4276" s="2">
        <v>328</v>
      </c>
    </row>
    <row r="4277" spans="1:4">
      <c r="A4277" s="2" t="s">
        <v>348</v>
      </c>
      <c r="B4277" s="2" t="s">
        <v>36</v>
      </c>
      <c r="C4277" s="2" t="s">
        <v>36</v>
      </c>
      <c r="D4277" s="2">
        <v>327</v>
      </c>
    </row>
    <row r="4278" spans="1:4">
      <c r="A4278" s="2" t="s">
        <v>1690</v>
      </c>
      <c r="B4278" s="2" t="s">
        <v>36</v>
      </c>
      <c r="C4278" s="2" t="s">
        <v>36</v>
      </c>
      <c r="D4278" s="2">
        <v>327</v>
      </c>
    </row>
    <row r="4279" spans="1:4">
      <c r="A4279" s="2" t="s">
        <v>408</v>
      </c>
      <c r="B4279" s="2" t="s">
        <v>36</v>
      </c>
      <c r="C4279" s="2" t="s">
        <v>36</v>
      </c>
      <c r="D4279" s="2">
        <v>325</v>
      </c>
    </row>
    <row r="4280" spans="1:4">
      <c r="A4280" s="2" t="s">
        <v>1987</v>
      </c>
      <c r="B4280" s="2" t="s">
        <v>36</v>
      </c>
      <c r="C4280" s="2" t="s">
        <v>36</v>
      </c>
      <c r="D4280" s="2">
        <v>325</v>
      </c>
    </row>
    <row r="4281" spans="1:4">
      <c r="A4281" s="2" t="s">
        <v>2572</v>
      </c>
      <c r="B4281" s="2" t="s">
        <v>36</v>
      </c>
      <c r="C4281" s="2" t="s">
        <v>36</v>
      </c>
      <c r="D4281" s="2">
        <v>324</v>
      </c>
    </row>
    <row r="4282" spans="1:4">
      <c r="A4282" s="2" t="s">
        <v>1160</v>
      </c>
      <c r="B4282" s="2" t="s">
        <v>36</v>
      </c>
      <c r="C4282" s="2" t="s">
        <v>36</v>
      </c>
      <c r="D4282" s="2">
        <v>324</v>
      </c>
    </row>
    <row r="4283" spans="1:4">
      <c r="A4283" s="2" t="s">
        <v>398</v>
      </c>
      <c r="B4283" s="2" t="s">
        <v>36</v>
      </c>
      <c r="C4283" s="2" t="s">
        <v>36</v>
      </c>
      <c r="D4283" s="2">
        <v>323</v>
      </c>
    </row>
    <row r="4284" spans="1:4">
      <c r="A4284" s="2" t="s">
        <v>2554</v>
      </c>
      <c r="B4284" s="2" t="s">
        <v>36</v>
      </c>
      <c r="C4284" s="2" t="s">
        <v>36</v>
      </c>
      <c r="D4284" s="2">
        <v>323</v>
      </c>
    </row>
    <row r="4285" spans="1:4">
      <c r="A4285" s="2" t="s">
        <v>1150</v>
      </c>
      <c r="B4285" s="2" t="s">
        <v>36</v>
      </c>
      <c r="C4285" s="2" t="s">
        <v>36</v>
      </c>
      <c r="D4285" s="2">
        <v>322</v>
      </c>
    </row>
    <row r="4286" spans="1:4">
      <c r="A4286" s="2" t="s">
        <v>4292</v>
      </c>
      <c r="B4286" s="2" t="s">
        <v>36</v>
      </c>
      <c r="C4286" s="2" t="s">
        <v>36</v>
      </c>
      <c r="D4286" s="2">
        <v>322</v>
      </c>
    </row>
    <row r="4287" spans="1:4">
      <c r="A4287" s="2" t="s">
        <v>361</v>
      </c>
      <c r="B4287" s="2" t="s">
        <v>36</v>
      </c>
      <c r="C4287" s="2" t="s">
        <v>36</v>
      </c>
      <c r="D4287" s="2">
        <v>320</v>
      </c>
    </row>
    <row r="4288" spans="1:4">
      <c r="A4288" s="2" t="s">
        <v>2055</v>
      </c>
      <c r="B4288" s="2" t="s">
        <v>36</v>
      </c>
      <c r="C4288" s="2" t="s">
        <v>36</v>
      </c>
      <c r="D4288" s="2">
        <v>320</v>
      </c>
    </row>
    <row r="4289" spans="1:4">
      <c r="A4289" s="2" t="s">
        <v>1205</v>
      </c>
      <c r="B4289" s="2" t="s">
        <v>36</v>
      </c>
      <c r="C4289" s="2" t="s">
        <v>36</v>
      </c>
      <c r="D4289" s="2">
        <v>318</v>
      </c>
    </row>
    <row r="4290" spans="1:4">
      <c r="A4290" s="2" t="s">
        <v>407</v>
      </c>
      <c r="B4290" s="2" t="s">
        <v>36</v>
      </c>
      <c r="C4290" s="2" t="s">
        <v>36</v>
      </c>
      <c r="D4290" s="2">
        <v>318</v>
      </c>
    </row>
    <row r="4291" spans="1:4">
      <c r="A4291" s="2" t="s">
        <v>1670</v>
      </c>
      <c r="B4291" s="2" t="s">
        <v>36</v>
      </c>
      <c r="C4291" s="2" t="s">
        <v>36</v>
      </c>
      <c r="D4291" s="2">
        <v>316</v>
      </c>
    </row>
    <row r="4292" spans="1:4">
      <c r="A4292" s="2" t="s">
        <v>2611</v>
      </c>
      <c r="B4292" s="2" t="s">
        <v>36</v>
      </c>
      <c r="C4292" s="2" t="s">
        <v>36</v>
      </c>
      <c r="D4292" s="2">
        <v>314</v>
      </c>
    </row>
    <row r="4293" spans="1:4">
      <c r="A4293" s="2" t="s">
        <v>3107</v>
      </c>
      <c r="B4293" s="2" t="s">
        <v>36</v>
      </c>
      <c r="C4293" s="2" t="s">
        <v>36</v>
      </c>
      <c r="D4293" s="2">
        <v>312</v>
      </c>
    </row>
    <row r="4294" spans="1:4">
      <c r="A4294" s="2" t="s">
        <v>1680</v>
      </c>
      <c r="B4294" s="2" t="s">
        <v>36</v>
      </c>
      <c r="C4294" s="2" t="s">
        <v>36</v>
      </c>
      <c r="D4294" s="2">
        <v>312</v>
      </c>
    </row>
    <row r="4295" spans="1:4">
      <c r="A4295" s="2" t="s">
        <v>1172</v>
      </c>
      <c r="B4295" s="2" t="s">
        <v>36</v>
      </c>
      <c r="C4295" s="2" t="s">
        <v>36</v>
      </c>
      <c r="D4295" s="2">
        <v>311</v>
      </c>
    </row>
    <row r="4296" spans="1:4">
      <c r="A4296" s="2" t="s">
        <v>4330</v>
      </c>
      <c r="B4296" s="2" t="s">
        <v>36</v>
      </c>
      <c r="C4296" s="2" t="s">
        <v>36</v>
      </c>
      <c r="D4296" s="2">
        <v>311</v>
      </c>
    </row>
    <row r="4297" spans="1:4">
      <c r="A4297" s="2" t="s">
        <v>394</v>
      </c>
      <c r="B4297" s="2" t="s">
        <v>36</v>
      </c>
      <c r="C4297" s="2" t="s">
        <v>36</v>
      </c>
      <c r="D4297" s="2">
        <v>310</v>
      </c>
    </row>
    <row r="4298" spans="1:4">
      <c r="A4298" s="2" t="s">
        <v>4306</v>
      </c>
      <c r="B4298" s="2" t="s">
        <v>36</v>
      </c>
      <c r="C4298" s="2" t="s">
        <v>36</v>
      </c>
      <c r="D4298" s="2">
        <v>310</v>
      </c>
    </row>
    <row r="4299" spans="1:4">
      <c r="A4299" s="2" t="s">
        <v>3977</v>
      </c>
      <c r="B4299" s="2" t="s">
        <v>36</v>
      </c>
      <c r="C4299" s="2" t="s">
        <v>36</v>
      </c>
      <c r="D4299" s="2">
        <v>309</v>
      </c>
    </row>
    <row r="4300" spans="1:4">
      <c r="A4300" s="2" t="s">
        <v>2638</v>
      </c>
      <c r="B4300" s="2" t="s">
        <v>36</v>
      </c>
      <c r="C4300" s="2" t="s">
        <v>36</v>
      </c>
      <c r="D4300" s="2">
        <v>309</v>
      </c>
    </row>
    <row r="4301" spans="1:4">
      <c r="A4301" s="2" t="s">
        <v>418</v>
      </c>
      <c r="B4301" s="2" t="s">
        <v>36</v>
      </c>
      <c r="C4301" s="2" t="s">
        <v>36</v>
      </c>
      <c r="D4301" s="2">
        <v>309</v>
      </c>
    </row>
    <row r="4302" spans="1:4">
      <c r="A4302" s="2" t="s">
        <v>3994</v>
      </c>
      <c r="B4302" s="2" t="s">
        <v>36</v>
      </c>
      <c r="C4302" s="2" t="s">
        <v>36</v>
      </c>
      <c r="D4302" s="2">
        <v>308</v>
      </c>
    </row>
    <row r="4303" spans="1:4">
      <c r="A4303" s="2" t="s">
        <v>2629</v>
      </c>
      <c r="B4303" s="2" t="s">
        <v>36</v>
      </c>
      <c r="C4303" s="2" t="s">
        <v>36</v>
      </c>
      <c r="D4303" s="2">
        <v>308</v>
      </c>
    </row>
    <row r="4304" spans="1:4">
      <c r="A4304" s="2" t="s">
        <v>1218</v>
      </c>
      <c r="B4304" s="2" t="s">
        <v>36</v>
      </c>
      <c r="C4304" s="2" t="s">
        <v>36</v>
      </c>
      <c r="D4304" s="2">
        <v>308</v>
      </c>
    </row>
    <row r="4305" spans="1:4">
      <c r="A4305" s="2" t="s">
        <v>1615</v>
      </c>
      <c r="B4305" s="2" t="s">
        <v>36</v>
      </c>
      <c r="C4305" s="2" t="s">
        <v>36</v>
      </c>
      <c r="D4305" s="2">
        <v>308</v>
      </c>
    </row>
    <row r="4306" spans="1:4">
      <c r="A4306" s="2" t="s">
        <v>4642</v>
      </c>
      <c r="B4306" s="2" t="s">
        <v>36</v>
      </c>
      <c r="C4306" s="2" t="s">
        <v>36</v>
      </c>
      <c r="D4306" s="2">
        <v>307</v>
      </c>
    </row>
    <row r="4307" spans="1:4">
      <c r="A4307" s="2" t="s">
        <v>2623</v>
      </c>
      <c r="B4307" s="2" t="s">
        <v>36</v>
      </c>
      <c r="C4307" s="2" t="s">
        <v>36</v>
      </c>
      <c r="D4307" s="2">
        <v>306</v>
      </c>
    </row>
    <row r="4308" spans="1:4">
      <c r="A4308" s="2" t="s">
        <v>377</v>
      </c>
      <c r="B4308" s="2" t="s">
        <v>36</v>
      </c>
      <c r="C4308" s="2" t="s">
        <v>36</v>
      </c>
      <c r="D4308" s="2">
        <v>306</v>
      </c>
    </row>
    <row r="4309" spans="1:4">
      <c r="A4309" s="2" t="s">
        <v>1676</v>
      </c>
      <c r="B4309" s="2" t="s">
        <v>36</v>
      </c>
      <c r="C4309" s="2" t="s">
        <v>36</v>
      </c>
      <c r="D4309" s="2">
        <v>304</v>
      </c>
    </row>
    <row r="4310" spans="1:4">
      <c r="A4310" s="2" t="s">
        <v>1662</v>
      </c>
      <c r="B4310" s="2" t="s">
        <v>36</v>
      </c>
      <c r="C4310" s="2" t="s">
        <v>36</v>
      </c>
      <c r="D4310" s="2">
        <v>303</v>
      </c>
    </row>
    <row r="4311" spans="1:4">
      <c r="A4311" s="2" t="s">
        <v>419</v>
      </c>
      <c r="B4311" s="2" t="s">
        <v>36</v>
      </c>
      <c r="C4311" s="2" t="s">
        <v>36</v>
      </c>
      <c r="D4311" s="2">
        <v>303</v>
      </c>
    </row>
    <row r="4312" spans="1:4">
      <c r="A4312" s="2" t="s">
        <v>1973</v>
      </c>
      <c r="B4312" s="2" t="s">
        <v>36</v>
      </c>
      <c r="C4312" s="2" t="s">
        <v>36</v>
      </c>
      <c r="D4312" s="2">
        <v>300</v>
      </c>
    </row>
    <row r="4313" spans="1:4">
      <c r="A4313" s="2" t="s">
        <v>2604</v>
      </c>
      <c r="B4313" s="2" t="s">
        <v>36</v>
      </c>
      <c r="C4313" s="2" t="s">
        <v>36</v>
      </c>
      <c r="D4313" s="2">
        <v>300</v>
      </c>
    </row>
    <row r="4314" spans="1:4">
      <c r="A4314" s="2" t="s">
        <v>4607</v>
      </c>
      <c r="B4314" s="2" t="s">
        <v>36</v>
      </c>
      <c r="C4314" s="2" t="s">
        <v>36</v>
      </c>
      <c r="D4314" s="2">
        <v>299</v>
      </c>
    </row>
    <row r="4315" spans="1:4">
      <c r="A4315" s="2" t="s">
        <v>2081</v>
      </c>
      <c r="B4315" s="2" t="s">
        <v>36</v>
      </c>
      <c r="C4315" s="2" t="s">
        <v>36</v>
      </c>
      <c r="D4315" s="2">
        <v>299</v>
      </c>
    </row>
    <row r="4316" spans="1:4">
      <c r="A4316" s="2" t="s">
        <v>3489</v>
      </c>
      <c r="B4316" s="2" t="s">
        <v>36</v>
      </c>
      <c r="C4316" s="2" t="s">
        <v>36</v>
      </c>
      <c r="D4316" s="2">
        <v>298</v>
      </c>
    </row>
    <row r="4317" spans="1:4">
      <c r="A4317" s="2" t="s">
        <v>347</v>
      </c>
      <c r="B4317" s="2" t="s">
        <v>36</v>
      </c>
      <c r="C4317" s="2" t="s">
        <v>36</v>
      </c>
      <c r="D4317" s="2">
        <v>297</v>
      </c>
    </row>
    <row r="4318" spans="1:4">
      <c r="A4318" s="2" t="s">
        <v>2631</v>
      </c>
      <c r="B4318" s="2" t="s">
        <v>36</v>
      </c>
      <c r="C4318" s="2" t="s">
        <v>36</v>
      </c>
      <c r="D4318" s="2">
        <v>297</v>
      </c>
    </row>
    <row r="4319" spans="1:4">
      <c r="A4319" s="2" t="s">
        <v>421</v>
      </c>
      <c r="B4319" s="2" t="s">
        <v>36</v>
      </c>
      <c r="C4319" s="2" t="s">
        <v>36</v>
      </c>
      <c r="D4319" s="2">
        <v>297</v>
      </c>
    </row>
    <row r="4320" spans="1:4">
      <c r="A4320" s="2" t="s">
        <v>2600</v>
      </c>
      <c r="B4320" s="2" t="s">
        <v>36</v>
      </c>
      <c r="C4320" s="2" t="s">
        <v>36</v>
      </c>
      <c r="D4320" s="2">
        <v>296</v>
      </c>
    </row>
    <row r="4321" spans="1:4">
      <c r="A4321" s="2" t="s">
        <v>2613</v>
      </c>
      <c r="B4321" s="2" t="s">
        <v>36</v>
      </c>
      <c r="C4321" s="2" t="s">
        <v>36</v>
      </c>
      <c r="D4321" s="2">
        <v>295</v>
      </c>
    </row>
    <row r="4322" spans="1:4">
      <c r="A4322" s="2" t="s">
        <v>2048</v>
      </c>
      <c r="B4322" s="2" t="s">
        <v>36</v>
      </c>
      <c r="C4322" s="2" t="s">
        <v>36</v>
      </c>
      <c r="D4322" s="2">
        <v>295</v>
      </c>
    </row>
    <row r="4323" spans="1:4">
      <c r="A4323" s="2" t="s">
        <v>378</v>
      </c>
      <c r="B4323" s="2" t="s">
        <v>36</v>
      </c>
      <c r="C4323" s="2" t="s">
        <v>36</v>
      </c>
      <c r="D4323" s="2">
        <v>295</v>
      </c>
    </row>
    <row r="4324" spans="1:4">
      <c r="A4324" s="2" t="s">
        <v>2633</v>
      </c>
      <c r="B4324" s="2" t="s">
        <v>36</v>
      </c>
      <c r="C4324" s="2" t="s">
        <v>36</v>
      </c>
      <c r="D4324" s="2">
        <v>295</v>
      </c>
    </row>
    <row r="4325" spans="1:4">
      <c r="A4325" s="2" t="s">
        <v>299</v>
      </c>
      <c r="B4325" s="2" t="s">
        <v>36</v>
      </c>
      <c r="C4325" s="2" t="s">
        <v>36</v>
      </c>
      <c r="D4325" s="2">
        <v>293</v>
      </c>
    </row>
    <row r="4326" spans="1:4">
      <c r="A4326" s="2" t="s">
        <v>1133</v>
      </c>
      <c r="B4326" s="2" t="s">
        <v>36</v>
      </c>
      <c r="C4326" s="2" t="s">
        <v>36</v>
      </c>
      <c r="D4326" s="2">
        <v>293</v>
      </c>
    </row>
    <row r="4327" spans="1:4">
      <c r="A4327" s="2" t="s">
        <v>1663</v>
      </c>
      <c r="B4327" s="2" t="s">
        <v>36</v>
      </c>
      <c r="C4327" s="2" t="s">
        <v>36</v>
      </c>
      <c r="D4327" s="2">
        <v>291</v>
      </c>
    </row>
    <row r="4328" spans="1:4">
      <c r="A4328" s="2" t="s">
        <v>420</v>
      </c>
      <c r="B4328" s="2" t="s">
        <v>36</v>
      </c>
      <c r="C4328" s="2" t="s">
        <v>36</v>
      </c>
      <c r="D4328" s="2">
        <v>289</v>
      </c>
    </row>
    <row r="4329" spans="1:4">
      <c r="A4329" s="2" t="s">
        <v>3055</v>
      </c>
      <c r="B4329" s="2" t="s">
        <v>36</v>
      </c>
      <c r="C4329" s="2" t="s">
        <v>36</v>
      </c>
      <c r="D4329" s="2">
        <v>288</v>
      </c>
    </row>
    <row r="4330" spans="1:4">
      <c r="A4330" s="2" t="s">
        <v>3567</v>
      </c>
      <c r="B4330" s="2" t="s">
        <v>36</v>
      </c>
      <c r="C4330" s="2" t="s">
        <v>36</v>
      </c>
      <c r="D4330" s="2">
        <v>286</v>
      </c>
    </row>
    <row r="4331" spans="1:4">
      <c r="A4331" s="2" t="s">
        <v>4301</v>
      </c>
      <c r="B4331" s="2" t="s">
        <v>36</v>
      </c>
      <c r="C4331" s="2" t="s">
        <v>36</v>
      </c>
      <c r="D4331" s="2">
        <v>285</v>
      </c>
    </row>
    <row r="4332" spans="1:4">
      <c r="A4332" s="2" t="s">
        <v>3948</v>
      </c>
      <c r="B4332" s="2" t="s">
        <v>36</v>
      </c>
      <c r="C4332" s="2" t="s">
        <v>36</v>
      </c>
      <c r="D4332" s="2">
        <v>285</v>
      </c>
    </row>
    <row r="4333" spans="1:4">
      <c r="A4333" s="2" t="s">
        <v>2083</v>
      </c>
      <c r="B4333" s="2" t="s">
        <v>36</v>
      </c>
      <c r="C4333" s="2" t="s">
        <v>36</v>
      </c>
      <c r="D4333" s="2">
        <v>284</v>
      </c>
    </row>
    <row r="4334" spans="1:4">
      <c r="A4334" s="2" t="s">
        <v>2014</v>
      </c>
      <c r="B4334" s="2" t="s">
        <v>36</v>
      </c>
      <c r="C4334" s="2" t="s">
        <v>36</v>
      </c>
      <c r="D4334" s="2">
        <v>284</v>
      </c>
    </row>
    <row r="4335" spans="1:4">
      <c r="A4335" s="2" t="s">
        <v>4337</v>
      </c>
      <c r="B4335" s="2" t="s">
        <v>36</v>
      </c>
      <c r="C4335" s="2" t="s">
        <v>36</v>
      </c>
      <c r="D4335" s="2">
        <v>283</v>
      </c>
    </row>
    <row r="4336" spans="1:4">
      <c r="A4336" s="2" t="s">
        <v>2085</v>
      </c>
      <c r="B4336" s="2" t="s">
        <v>36</v>
      </c>
      <c r="C4336" s="2" t="s">
        <v>36</v>
      </c>
      <c r="D4336" s="2">
        <v>282</v>
      </c>
    </row>
    <row r="4337" spans="1:4">
      <c r="A4337" s="2" t="s">
        <v>2614</v>
      </c>
      <c r="B4337" s="2" t="s">
        <v>36</v>
      </c>
      <c r="C4337" s="2" t="s">
        <v>36</v>
      </c>
      <c r="D4337" s="2">
        <v>282</v>
      </c>
    </row>
    <row r="4338" spans="1:4">
      <c r="A4338" s="2" t="s">
        <v>2586</v>
      </c>
      <c r="B4338" s="2" t="s">
        <v>36</v>
      </c>
      <c r="C4338" s="2" t="s">
        <v>36</v>
      </c>
      <c r="D4338" s="2">
        <v>281</v>
      </c>
    </row>
    <row r="4339" spans="1:4">
      <c r="A4339" s="2" t="s">
        <v>1651</v>
      </c>
      <c r="B4339" s="2" t="s">
        <v>36</v>
      </c>
      <c r="C4339" s="2" t="s">
        <v>36</v>
      </c>
      <c r="D4339" s="2">
        <v>280</v>
      </c>
    </row>
    <row r="4340" spans="1:4">
      <c r="A4340" s="2" t="s">
        <v>1174</v>
      </c>
      <c r="B4340" s="2" t="s">
        <v>36</v>
      </c>
      <c r="C4340" s="2" t="s">
        <v>36</v>
      </c>
      <c r="D4340" s="2">
        <v>280</v>
      </c>
    </row>
    <row r="4341" spans="1:4">
      <c r="A4341" s="2" t="s">
        <v>2024</v>
      </c>
      <c r="B4341" s="2" t="s">
        <v>36</v>
      </c>
      <c r="C4341" s="2" t="s">
        <v>36</v>
      </c>
      <c r="D4341" s="2">
        <v>279</v>
      </c>
    </row>
    <row r="4342" spans="1:4">
      <c r="A4342" s="2" t="s">
        <v>3040</v>
      </c>
      <c r="B4342" s="2" t="s">
        <v>36</v>
      </c>
      <c r="C4342" s="2" t="s">
        <v>36</v>
      </c>
      <c r="D4342" s="2">
        <v>279</v>
      </c>
    </row>
    <row r="4343" spans="1:4">
      <c r="A4343" s="2" t="s">
        <v>1650</v>
      </c>
      <c r="B4343" s="2" t="s">
        <v>36</v>
      </c>
      <c r="C4343" s="2" t="s">
        <v>36</v>
      </c>
      <c r="D4343" s="2">
        <v>277</v>
      </c>
    </row>
    <row r="4344" spans="1:4">
      <c r="A4344" s="2" t="s">
        <v>3092</v>
      </c>
      <c r="B4344" s="2" t="s">
        <v>36</v>
      </c>
      <c r="C4344" s="2" t="s">
        <v>36</v>
      </c>
      <c r="D4344" s="2">
        <v>276</v>
      </c>
    </row>
    <row r="4345" spans="1:4">
      <c r="A4345" s="2" t="s">
        <v>2068</v>
      </c>
      <c r="B4345" s="2" t="s">
        <v>36</v>
      </c>
      <c r="C4345" s="2" t="s">
        <v>36</v>
      </c>
      <c r="D4345" s="2">
        <v>276</v>
      </c>
    </row>
    <row r="4346" spans="1:4">
      <c r="A4346" s="2" t="s">
        <v>3082</v>
      </c>
      <c r="B4346" s="2" t="s">
        <v>36</v>
      </c>
      <c r="C4346" s="2" t="s">
        <v>36</v>
      </c>
      <c r="D4346" s="2">
        <v>274</v>
      </c>
    </row>
    <row r="4347" spans="1:4">
      <c r="A4347" s="2" t="s">
        <v>4317</v>
      </c>
      <c r="B4347" s="2" t="s">
        <v>36</v>
      </c>
      <c r="C4347" s="2" t="s">
        <v>36</v>
      </c>
      <c r="D4347" s="2">
        <v>274</v>
      </c>
    </row>
    <row r="4348" spans="1:4">
      <c r="A4348" s="2" t="s">
        <v>3558</v>
      </c>
      <c r="B4348" s="2" t="s">
        <v>36</v>
      </c>
      <c r="C4348" s="2" t="s">
        <v>36</v>
      </c>
      <c r="D4348" s="2">
        <v>274</v>
      </c>
    </row>
    <row r="4349" spans="1:4">
      <c r="A4349" s="2" t="s">
        <v>3097</v>
      </c>
      <c r="B4349" s="2" t="s">
        <v>36</v>
      </c>
      <c r="C4349" s="2" t="s">
        <v>36</v>
      </c>
      <c r="D4349" s="2">
        <v>273</v>
      </c>
    </row>
    <row r="4350" spans="1:4">
      <c r="A4350" s="2" t="s">
        <v>2622</v>
      </c>
      <c r="B4350" s="2" t="s">
        <v>36</v>
      </c>
      <c r="C4350" s="2" t="s">
        <v>36</v>
      </c>
      <c r="D4350" s="2">
        <v>273</v>
      </c>
    </row>
    <row r="4351" spans="1:4">
      <c r="A4351" s="2" t="s">
        <v>3980</v>
      </c>
      <c r="B4351" s="2" t="s">
        <v>36</v>
      </c>
      <c r="C4351" s="2" t="s">
        <v>36</v>
      </c>
      <c r="D4351" s="2">
        <v>273</v>
      </c>
    </row>
    <row r="4352" spans="1:4">
      <c r="A4352" s="2" t="s">
        <v>372</v>
      </c>
      <c r="B4352" s="2" t="s">
        <v>36</v>
      </c>
      <c r="C4352" s="2" t="s">
        <v>36</v>
      </c>
      <c r="D4352" s="2">
        <v>272</v>
      </c>
    </row>
    <row r="4353" spans="1:4">
      <c r="A4353" s="2" t="s">
        <v>1176</v>
      </c>
      <c r="B4353" s="2" t="s">
        <v>36</v>
      </c>
      <c r="C4353" s="2" t="s">
        <v>36</v>
      </c>
      <c r="D4353" s="2">
        <v>272</v>
      </c>
    </row>
    <row r="4354" spans="1:4">
      <c r="A4354" s="2" t="s">
        <v>1219</v>
      </c>
      <c r="B4354" s="2" t="s">
        <v>36</v>
      </c>
      <c r="C4354" s="2" t="s">
        <v>36</v>
      </c>
      <c r="D4354" s="2">
        <v>272</v>
      </c>
    </row>
    <row r="4355" spans="1:4">
      <c r="A4355" s="2" t="s">
        <v>3993</v>
      </c>
      <c r="B4355" s="2" t="s">
        <v>36</v>
      </c>
      <c r="C4355" s="2" t="s">
        <v>36</v>
      </c>
      <c r="D4355" s="2">
        <v>271</v>
      </c>
    </row>
    <row r="4356" spans="1:4">
      <c r="A4356" s="2" t="s">
        <v>4305</v>
      </c>
      <c r="B4356" s="2" t="s">
        <v>36</v>
      </c>
      <c r="C4356" s="2" t="s">
        <v>36</v>
      </c>
      <c r="D4356" s="2">
        <v>271</v>
      </c>
    </row>
    <row r="4357" spans="1:4">
      <c r="A4357" s="2" t="s">
        <v>2049</v>
      </c>
      <c r="B4357" s="2" t="s">
        <v>36</v>
      </c>
      <c r="C4357" s="2" t="s">
        <v>36</v>
      </c>
      <c r="D4357" s="2">
        <v>270</v>
      </c>
    </row>
    <row r="4358" spans="1:4">
      <c r="A4358" s="2" t="s">
        <v>2626</v>
      </c>
      <c r="B4358" s="2" t="s">
        <v>36</v>
      </c>
      <c r="C4358" s="2" t="s">
        <v>36</v>
      </c>
      <c r="D4358" s="2">
        <v>269</v>
      </c>
    </row>
    <row r="4359" spans="1:4">
      <c r="A4359" s="2" t="s">
        <v>3984</v>
      </c>
      <c r="B4359" s="2" t="s">
        <v>36</v>
      </c>
      <c r="C4359" s="2" t="s">
        <v>36</v>
      </c>
      <c r="D4359" s="2">
        <v>268</v>
      </c>
    </row>
    <row r="4360" spans="1:4">
      <c r="A4360" s="2" t="s">
        <v>4321</v>
      </c>
      <c r="B4360" s="2" t="s">
        <v>36</v>
      </c>
      <c r="C4360" s="2" t="s">
        <v>36</v>
      </c>
      <c r="D4360" s="2">
        <v>265</v>
      </c>
    </row>
    <row r="4361" spans="1:4">
      <c r="A4361" s="2" t="s">
        <v>3066</v>
      </c>
      <c r="B4361" s="2" t="s">
        <v>36</v>
      </c>
      <c r="C4361" s="2" t="s">
        <v>36</v>
      </c>
      <c r="D4361" s="2">
        <v>265</v>
      </c>
    </row>
    <row r="4362" spans="1:4">
      <c r="A4362" s="2" t="s">
        <v>1664</v>
      </c>
      <c r="B4362" s="2" t="s">
        <v>36</v>
      </c>
      <c r="C4362" s="2" t="s">
        <v>36</v>
      </c>
      <c r="D4362" s="2">
        <v>265</v>
      </c>
    </row>
    <row r="4363" spans="1:4">
      <c r="A4363" s="2" t="s">
        <v>2648</v>
      </c>
      <c r="B4363" s="2" t="s">
        <v>36</v>
      </c>
      <c r="C4363" s="2" t="s">
        <v>36</v>
      </c>
      <c r="D4363" s="2">
        <v>265</v>
      </c>
    </row>
    <row r="4364" spans="1:4">
      <c r="A4364" s="2" t="s">
        <v>3942</v>
      </c>
      <c r="B4364" s="2" t="s">
        <v>36</v>
      </c>
      <c r="C4364" s="2" t="s">
        <v>36</v>
      </c>
      <c r="D4364" s="2">
        <v>265</v>
      </c>
    </row>
    <row r="4365" spans="1:4">
      <c r="A4365" s="2" t="s">
        <v>4287</v>
      </c>
      <c r="B4365" s="2" t="s">
        <v>36</v>
      </c>
      <c r="C4365" s="2" t="s">
        <v>36</v>
      </c>
      <c r="D4365" s="2">
        <v>264</v>
      </c>
    </row>
    <row r="4366" spans="1:4">
      <c r="A4366" s="2" t="s">
        <v>4000</v>
      </c>
      <c r="B4366" s="2" t="s">
        <v>36</v>
      </c>
      <c r="C4366" s="2" t="s">
        <v>36</v>
      </c>
      <c r="D4366" s="2">
        <v>264</v>
      </c>
    </row>
    <row r="4367" spans="1:4">
      <c r="A4367" s="2" t="s">
        <v>3579</v>
      </c>
      <c r="B4367" s="2" t="s">
        <v>36</v>
      </c>
      <c r="C4367" s="2" t="s">
        <v>36</v>
      </c>
      <c r="D4367" s="2">
        <v>263</v>
      </c>
    </row>
    <row r="4368" spans="1:4">
      <c r="A4368" s="2" t="s">
        <v>2051</v>
      </c>
      <c r="B4368" s="2" t="s">
        <v>36</v>
      </c>
      <c r="C4368" s="2" t="s">
        <v>36</v>
      </c>
      <c r="D4368" s="2">
        <v>263</v>
      </c>
    </row>
    <row r="4369" spans="1:4">
      <c r="A4369" s="2" t="s">
        <v>380</v>
      </c>
      <c r="B4369" s="2" t="s">
        <v>36</v>
      </c>
      <c r="C4369" s="2" t="s">
        <v>36</v>
      </c>
      <c r="D4369" s="2">
        <v>263</v>
      </c>
    </row>
    <row r="4370" spans="1:4">
      <c r="A4370" s="2" t="s">
        <v>4303</v>
      </c>
      <c r="B4370" s="2" t="s">
        <v>36</v>
      </c>
      <c r="C4370" s="2" t="s">
        <v>36</v>
      </c>
      <c r="D4370" s="2">
        <v>262</v>
      </c>
    </row>
    <row r="4371" spans="1:4">
      <c r="A4371" s="2" t="s">
        <v>1666</v>
      </c>
      <c r="B4371" s="2" t="s">
        <v>36</v>
      </c>
      <c r="C4371" s="2" t="s">
        <v>36</v>
      </c>
      <c r="D4371" s="2">
        <v>262</v>
      </c>
    </row>
    <row r="4372" spans="1:4">
      <c r="A4372" s="2" t="s">
        <v>3113</v>
      </c>
      <c r="B4372" s="2" t="s">
        <v>36</v>
      </c>
      <c r="C4372" s="2" t="s">
        <v>36</v>
      </c>
      <c r="D4372" s="2">
        <v>262</v>
      </c>
    </row>
    <row r="4373" spans="1:4">
      <c r="A4373" s="2" t="s">
        <v>1207</v>
      </c>
      <c r="B4373" s="2" t="s">
        <v>36</v>
      </c>
      <c r="C4373" s="2" t="s">
        <v>36</v>
      </c>
      <c r="D4373" s="2">
        <v>261</v>
      </c>
    </row>
    <row r="4374" spans="1:4">
      <c r="A4374" s="2" t="s">
        <v>3112</v>
      </c>
      <c r="B4374" s="2" t="s">
        <v>36</v>
      </c>
      <c r="C4374" s="2" t="s">
        <v>36</v>
      </c>
      <c r="D4374" s="2">
        <v>261</v>
      </c>
    </row>
    <row r="4375" spans="1:4">
      <c r="A4375" s="2" t="s">
        <v>2086</v>
      </c>
      <c r="B4375" s="2" t="s">
        <v>36</v>
      </c>
      <c r="C4375" s="2" t="s">
        <v>36</v>
      </c>
      <c r="D4375" s="2">
        <v>261</v>
      </c>
    </row>
    <row r="4376" spans="1:4">
      <c r="A4376" s="2" t="s">
        <v>294</v>
      </c>
      <c r="B4376" s="2" t="s">
        <v>36</v>
      </c>
      <c r="C4376" s="2" t="s">
        <v>36</v>
      </c>
      <c r="D4376" s="2">
        <v>260</v>
      </c>
    </row>
    <row r="4377" spans="1:4">
      <c r="A4377" s="2" t="s">
        <v>3508</v>
      </c>
      <c r="B4377" s="2" t="s">
        <v>36</v>
      </c>
      <c r="C4377" s="2" t="s">
        <v>36</v>
      </c>
      <c r="D4377" s="2">
        <v>260</v>
      </c>
    </row>
    <row r="4378" spans="1:4">
      <c r="A4378" s="2" t="s">
        <v>396</v>
      </c>
      <c r="B4378" s="2" t="s">
        <v>36</v>
      </c>
      <c r="C4378" s="2" t="s">
        <v>36</v>
      </c>
      <c r="D4378" s="2">
        <v>259</v>
      </c>
    </row>
    <row r="4379" spans="1:4">
      <c r="A4379" s="2" t="s">
        <v>3553</v>
      </c>
      <c r="B4379" s="2" t="s">
        <v>36</v>
      </c>
      <c r="C4379" s="2" t="s">
        <v>36</v>
      </c>
      <c r="D4379" s="2">
        <v>258</v>
      </c>
    </row>
    <row r="4380" spans="1:4">
      <c r="A4380" s="2" t="s">
        <v>4316</v>
      </c>
      <c r="B4380" s="2" t="s">
        <v>36</v>
      </c>
      <c r="C4380" s="2" t="s">
        <v>36</v>
      </c>
      <c r="D4380" s="2">
        <v>255</v>
      </c>
    </row>
    <row r="4381" spans="1:4">
      <c r="A4381" s="2" t="s">
        <v>1656</v>
      </c>
      <c r="B4381" s="2" t="s">
        <v>36</v>
      </c>
      <c r="C4381" s="2" t="s">
        <v>36</v>
      </c>
      <c r="D4381" s="2">
        <v>255</v>
      </c>
    </row>
    <row r="4382" spans="1:4">
      <c r="A4382" s="2" t="s">
        <v>1681</v>
      </c>
      <c r="B4382" s="2" t="s">
        <v>36</v>
      </c>
      <c r="C4382" s="2" t="s">
        <v>36</v>
      </c>
      <c r="D4382" s="2">
        <v>255</v>
      </c>
    </row>
    <row r="4383" spans="1:4">
      <c r="A4383" s="2" t="s">
        <v>2027</v>
      </c>
      <c r="B4383" s="2" t="s">
        <v>36</v>
      </c>
      <c r="C4383" s="2" t="s">
        <v>36</v>
      </c>
      <c r="D4383" s="2">
        <v>254</v>
      </c>
    </row>
    <row r="4384" spans="1:4">
      <c r="A4384" s="2" t="s">
        <v>3493</v>
      </c>
      <c r="B4384" s="2" t="s">
        <v>36</v>
      </c>
      <c r="C4384" s="2" t="s">
        <v>36</v>
      </c>
      <c r="D4384" s="2">
        <v>253</v>
      </c>
    </row>
    <row r="4385" spans="1:4">
      <c r="A4385" s="2" t="s">
        <v>3500</v>
      </c>
      <c r="B4385" s="2" t="s">
        <v>36</v>
      </c>
      <c r="C4385" s="2" t="s">
        <v>36</v>
      </c>
      <c r="D4385" s="2">
        <v>251</v>
      </c>
    </row>
    <row r="4386" spans="1:4">
      <c r="A4386" s="2" t="s">
        <v>3586</v>
      </c>
      <c r="B4386" s="2" t="s">
        <v>36</v>
      </c>
      <c r="C4386" s="2" t="s">
        <v>36</v>
      </c>
      <c r="D4386" s="2">
        <v>251</v>
      </c>
    </row>
    <row r="4387" spans="1:4">
      <c r="A4387" s="2" t="s">
        <v>2608</v>
      </c>
      <c r="B4387" s="2" t="s">
        <v>36</v>
      </c>
      <c r="C4387" s="2" t="s">
        <v>36</v>
      </c>
      <c r="D4387" s="2">
        <v>251</v>
      </c>
    </row>
    <row r="4388" spans="1:4">
      <c r="A4388" s="2" t="s">
        <v>1979</v>
      </c>
      <c r="B4388" s="2" t="s">
        <v>36</v>
      </c>
      <c r="C4388" s="2" t="s">
        <v>36</v>
      </c>
      <c r="D4388" s="2">
        <v>249</v>
      </c>
    </row>
    <row r="4389" spans="1:4">
      <c r="A4389" s="2" t="s">
        <v>2617</v>
      </c>
      <c r="B4389" s="2" t="s">
        <v>36</v>
      </c>
      <c r="C4389" s="2" t="s">
        <v>36</v>
      </c>
      <c r="D4389" s="2">
        <v>247</v>
      </c>
    </row>
    <row r="4390" spans="1:4">
      <c r="A4390" s="2" t="s">
        <v>3060</v>
      </c>
      <c r="B4390" s="2" t="s">
        <v>36</v>
      </c>
      <c r="C4390" s="2" t="s">
        <v>36</v>
      </c>
      <c r="D4390" s="2">
        <v>246</v>
      </c>
    </row>
    <row r="4391" spans="1:4">
      <c r="A4391" s="2" t="s">
        <v>1215</v>
      </c>
      <c r="B4391" s="2" t="s">
        <v>36</v>
      </c>
      <c r="C4391" s="2" t="s">
        <v>36</v>
      </c>
      <c r="D4391" s="2">
        <v>246</v>
      </c>
    </row>
    <row r="4392" spans="1:4">
      <c r="A4392" s="2" t="s">
        <v>388</v>
      </c>
      <c r="B4392" s="2" t="s">
        <v>36</v>
      </c>
      <c r="C4392" s="2" t="s">
        <v>36</v>
      </c>
      <c r="D4392" s="2">
        <v>246</v>
      </c>
    </row>
    <row r="4393" spans="1:4">
      <c r="A4393" s="2" t="s">
        <v>3499</v>
      </c>
      <c r="B4393" s="2" t="s">
        <v>36</v>
      </c>
      <c r="C4393" s="2" t="s">
        <v>36</v>
      </c>
      <c r="D4393" s="2">
        <v>244</v>
      </c>
    </row>
    <row r="4394" spans="1:4">
      <c r="A4394" s="2" t="s">
        <v>4618</v>
      </c>
      <c r="B4394" s="2" t="s">
        <v>36</v>
      </c>
      <c r="C4394" s="2" t="s">
        <v>36</v>
      </c>
      <c r="D4394" s="2">
        <v>239</v>
      </c>
    </row>
    <row r="4395" spans="1:4">
      <c r="A4395" s="2" t="s">
        <v>4691</v>
      </c>
      <c r="B4395" s="2" t="s">
        <v>36</v>
      </c>
      <c r="C4395" s="2" t="s">
        <v>36</v>
      </c>
      <c r="D4395" s="2">
        <v>239</v>
      </c>
    </row>
    <row r="4396" spans="1:4">
      <c r="A4396" s="2" t="s">
        <v>412</v>
      </c>
      <c r="B4396" s="2" t="s">
        <v>36</v>
      </c>
      <c r="C4396" s="2" t="s">
        <v>36</v>
      </c>
      <c r="D4396" s="2">
        <v>238</v>
      </c>
    </row>
    <row r="4397" spans="1:4">
      <c r="A4397" s="2" t="s">
        <v>3089</v>
      </c>
      <c r="B4397" s="2" t="s">
        <v>36</v>
      </c>
      <c r="C4397" s="2" t="s">
        <v>36</v>
      </c>
      <c r="D4397" s="2">
        <v>237</v>
      </c>
    </row>
    <row r="4398" spans="1:4">
      <c r="A4398" s="2" t="s">
        <v>3507</v>
      </c>
      <c r="B4398" s="2" t="s">
        <v>36</v>
      </c>
      <c r="C4398" s="2" t="s">
        <v>36</v>
      </c>
      <c r="D4398" s="2">
        <v>237</v>
      </c>
    </row>
    <row r="4399" spans="1:4">
      <c r="A4399" s="2" t="s">
        <v>2518</v>
      </c>
      <c r="B4399" s="2" t="s">
        <v>36</v>
      </c>
      <c r="C4399" s="2" t="s">
        <v>36</v>
      </c>
      <c r="D4399" s="2">
        <v>237</v>
      </c>
    </row>
    <row r="4400" spans="1:4">
      <c r="A4400" s="2" t="s">
        <v>2592</v>
      </c>
      <c r="B4400" s="2" t="s">
        <v>36</v>
      </c>
      <c r="C4400" s="2" t="s">
        <v>36</v>
      </c>
      <c r="D4400" s="2">
        <v>234</v>
      </c>
    </row>
    <row r="4401" spans="1:4">
      <c r="A4401" s="2" t="s">
        <v>1210</v>
      </c>
      <c r="B4401" s="2" t="s">
        <v>36</v>
      </c>
      <c r="C4401" s="2" t="s">
        <v>36</v>
      </c>
      <c r="D4401" s="2">
        <v>234</v>
      </c>
    </row>
    <row r="4402" spans="1:4">
      <c r="A4402" s="2" t="s">
        <v>2050</v>
      </c>
      <c r="B4402" s="2" t="s">
        <v>36</v>
      </c>
      <c r="C4402" s="2" t="s">
        <v>36</v>
      </c>
      <c r="D4402" s="2">
        <v>234</v>
      </c>
    </row>
    <row r="4403" spans="1:4">
      <c r="A4403" s="2" t="s">
        <v>1193</v>
      </c>
      <c r="B4403" s="2" t="s">
        <v>36</v>
      </c>
      <c r="C4403" s="2" t="s">
        <v>36</v>
      </c>
      <c r="D4403" s="2">
        <v>233</v>
      </c>
    </row>
    <row r="4404" spans="1:4">
      <c r="A4404" s="2" t="s">
        <v>2021</v>
      </c>
      <c r="B4404" s="2" t="s">
        <v>36</v>
      </c>
      <c r="C4404" s="2" t="s">
        <v>36</v>
      </c>
      <c r="D4404" s="2">
        <v>233</v>
      </c>
    </row>
    <row r="4405" spans="1:4">
      <c r="A4405" s="2" t="s">
        <v>1201</v>
      </c>
      <c r="B4405" s="2" t="s">
        <v>36</v>
      </c>
      <c r="C4405" s="2" t="s">
        <v>36</v>
      </c>
      <c r="D4405" s="2">
        <v>232</v>
      </c>
    </row>
    <row r="4406" spans="1:4">
      <c r="A4406" s="2" t="s">
        <v>2039</v>
      </c>
      <c r="B4406" s="2" t="s">
        <v>36</v>
      </c>
      <c r="C4406" s="2" t="s">
        <v>36</v>
      </c>
      <c r="D4406" s="2">
        <v>232</v>
      </c>
    </row>
    <row r="4407" spans="1:4">
      <c r="A4407" s="2" t="s">
        <v>1163</v>
      </c>
      <c r="B4407" s="2" t="s">
        <v>36</v>
      </c>
      <c r="C4407" s="2" t="s">
        <v>36</v>
      </c>
      <c r="D4407" s="2">
        <v>231</v>
      </c>
    </row>
    <row r="4408" spans="1:4">
      <c r="A4408" s="2" t="s">
        <v>3109</v>
      </c>
      <c r="B4408" s="2" t="s">
        <v>36</v>
      </c>
      <c r="C4408" s="2" t="s">
        <v>36</v>
      </c>
      <c r="D4408" s="2">
        <v>231</v>
      </c>
    </row>
    <row r="4409" spans="1:4">
      <c r="A4409" s="2" t="s">
        <v>4326</v>
      </c>
      <c r="B4409" s="2" t="s">
        <v>36</v>
      </c>
      <c r="C4409" s="2" t="s">
        <v>36</v>
      </c>
      <c r="D4409" s="2">
        <v>228</v>
      </c>
    </row>
    <row r="4410" spans="1:4">
      <c r="A4410" s="2" t="s">
        <v>3108</v>
      </c>
      <c r="B4410" s="2" t="s">
        <v>36</v>
      </c>
      <c r="C4410" s="2" t="s">
        <v>36</v>
      </c>
      <c r="D4410" s="2">
        <v>228</v>
      </c>
    </row>
    <row r="4411" spans="1:4">
      <c r="A4411" s="2" t="s">
        <v>2588</v>
      </c>
      <c r="B4411" s="2" t="s">
        <v>36</v>
      </c>
      <c r="C4411" s="2" t="s">
        <v>36</v>
      </c>
      <c r="D4411" s="2">
        <v>227</v>
      </c>
    </row>
    <row r="4412" spans="1:4">
      <c r="A4412" s="2" t="s">
        <v>1212</v>
      </c>
      <c r="B4412" s="2" t="s">
        <v>36</v>
      </c>
      <c r="C4412" s="2" t="s">
        <v>36</v>
      </c>
      <c r="D4412" s="2">
        <v>227</v>
      </c>
    </row>
    <row r="4413" spans="1:4">
      <c r="A4413" s="2" t="s">
        <v>4668</v>
      </c>
      <c r="B4413" s="2" t="s">
        <v>36</v>
      </c>
      <c r="C4413" s="2" t="s">
        <v>36</v>
      </c>
      <c r="D4413" s="2">
        <v>227</v>
      </c>
    </row>
    <row r="4414" spans="1:4">
      <c r="A4414" s="2" t="s">
        <v>143</v>
      </c>
      <c r="B4414" s="2" t="s">
        <v>36</v>
      </c>
      <c r="C4414" s="2" t="s">
        <v>36</v>
      </c>
      <c r="D4414" s="2">
        <v>227</v>
      </c>
    </row>
    <row r="4415" spans="1:4">
      <c r="A4415" s="2" t="s">
        <v>4661</v>
      </c>
      <c r="B4415" s="2" t="s">
        <v>36</v>
      </c>
      <c r="C4415" s="2" t="s">
        <v>36</v>
      </c>
      <c r="D4415" s="2">
        <v>226</v>
      </c>
    </row>
    <row r="4416" spans="1:4">
      <c r="A4416" s="2" t="s">
        <v>3549</v>
      </c>
      <c r="B4416" s="2" t="s">
        <v>36</v>
      </c>
      <c r="C4416" s="2" t="s">
        <v>36</v>
      </c>
      <c r="D4416" s="2">
        <v>226</v>
      </c>
    </row>
    <row r="4417" spans="1:4">
      <c r="A4417" s="2" t="s">
        <v>3996</v>
      </c>
      <c r="B4417" s="2" t="s">
        <v>36</v>
      </c>
      <c r="C4417" s="2" t="s">
        <v>36</v>
      </c>
      <c r="D4417" s="2">
        <v>226</v>
      </c>
    </row>
    <row r="4418" spans="1:4">
      <c r="A4418" s="2" t="s">
        <v>3573</v>
      </c>
      <c r="B4418" s="2" t="s">
        <v>36</v>
      </c>
      <c r="C4418" s="2" t="s">
        <v>36</v>
      </c>
      <c r="D4418" s="2">
        <v>226</v>
      </c>
    </row>
    <row r="4419" spans="1:4">
      <c r="A4419" s="2" t="s">
        <v>3516</v>
      </c>
      <c r="B4419" s="2" t="s">
        <v>36</v>
      </c>
      <c r="C4419" s="2" t="s">
        <v>36</v>
      </c>
      <c r="D4419" s="2">
        <v>224</v>
      </c>
    </row>
    <row r="4420" spans="1:4">
      <c r="A4420" s="2" t="s">
        <v>2624</v>
      </c>
      <c r="B4420" s="2" t="s">
        <v>36</v>
      </c>
      <c r="C4420" s="2" t="s">
        <v>36</v>
      </c>
      <c r="D4420" s="2">
        <v>224</v>
      </c>
    </row>
    <row r="4421" spans="1:4">
      <c r="A4421" s="2" t="s">
        <v>1221</v>
      </c>
      <c r="B4421" s="2" t="s">
        <v>36</v>
      </c>
      <c r="C4421" s="2" t="s">
        <v>36</v>
      </c>
      <c r="D4421" s="2">
        <v>224</v>
      </c>
    </row>
    <row r="4422" spans="1:4">
      <c r="A4422" s="2" t="s">
        <v>4637</v>
      </c>
      <c r="B4422" s="2" t="s">
        <v>36</v>
      </c>
      <c r="C4422" s="2" t="s">
        <v>36</v>
      </c>
      <c r="D4422" s="2">
        <v>223</v>
      </c>
    </row>
    <row r="4423" spans="1:4">
      <c r="A4423" s="2" t="s">
        <v>4334</v>
      </c>
      <c r="B4423" s="2" t="s">
        <v>36</v>
      </c>
      <c r="C4423" s="2" t="s">
        <v>36</v>
      </c>
      <c r="D4423" s="2">
        <v>222</v>
      </c>
    </row>
    <row r="4424" spans="1:4">
      <c r="A4424" s="2" t="s">
        <v>4634</v>
      </c>
      <c r="B4424" s="2" t="s">
        <v>36</v>
      </c>
      <c r="C4424" s="2" t="s">
        <v>36</v>
      </c>
      <c r="D4424" s="2">
        <v>220</v>
      </c>
    </row>
    <row r="4425" spans="1:4">
      <c r="A4425" s="2" t="s">
        <v>4335</v>
      </c>
      <c r="B4425" s="2" t="s">
        <v>36</v>
      </c>
      <c r="C4425" s="2" t="s">
        <v>36</v>
      </c>
      <c r="D4425" s="2">
        <v>220</v>
      </c>
    </row>
    <row r="4426" spans="1:4">
      <c r="A4426" s="2" t="s">
        <v>4679</v>
      </c>
      <c r="B4426" s="2" t="s">
        <v>36</v>
      </c>
      <c r="C4426" s="2" t="s">
        <v>36</v>
      </c>
      <c r="D4426" s="2">
        <v>219</v>
      </c>
    </row>
    <row r="4427" spans="1:4">
      <c r="A4427" s="2" t="s">
        <v>2641</v>
      </c>
      <c r="B4427" s="2" t="s">
        <v>36</v>
      </c>
      <c r="C4427" s="2" t="s">
        <v>36</v>
      </c>
      <c r="D4427" s="2">
        <v>219</v>
      </c>
    </row>
    <row r="4428" spans="1:4">
      <c r="A4428" s="2" t="s">
        <v>3047</v>
      </c>
      <c r="B4428" s="2" t="s">
        <v>36</v>
      </c>
      <c r="C4428" s="2" t="s">
        <v>36</v>
      </c>
      <c r="D4428" s="2">
        <v>217</v>
      </c>
    </row>
    <row r="4429" spans="1:4">
      <c r="A4429" s="2" t="s">
        <v>2520</v>
      </c>
      <c r="B4429" s="2" t="s">
        <v>36</v>
      </c>
      <c r="C4429" s="2" t="s">
        <v>36</v>
      </c>
      <c r="D4429" s="2">
        <v>216</v>
      </c>
    </row>
    <row r="4430" spans="1:4">
      <c r="A4430" s="2" t="s">
        <v>4646</v>
      </c>
      <c r="B4430" s="2" t="s">
        <v>36</v>
      </c>
      <c r="C4430" s="2" t="s">
        <v>36</v>
      </c>
      <c r="D4430" s="2">
        <v>215</v>
      </c>
    </row>
    <row r="4431" spans="1:4">
      <c r="A4431" s="2" t="s">
        <v>3073</v>
      </c>
      <c r="B4431" s="2" t="s">
        <v>36</v>
      </c>
      <c r="C4431" s="2" t="s">
        <v>36</v>
      </c>
      <c r="D4431" s="2">
        <v>213</v>
      </c>
    </row>
    <row r="4432" spans="1:4">
      <c r="A4432" s="2" t="s">
        <v>3960</v>
      </c>
      <c r="B4432" s="2" t="s">
        <v>36</v>
      </c>
      <c r="C4432" s="2" t="s">
        <v>36</v>
      </c>
      <c r="D4432" s="2">
        <v>213</v>
      </c>
    </row>
    <row r="4433" spans="1:4">
      <c r="A4433" s="2" t="s">
        <v>3552</v>
      </c>
      <c r="B4433" s="2" t="s">
        <v>36</v>
      </c>
      <c r="C4433" s="2" t="s">
        <v>36</v>
      </c>
      <c r="D4433" s="2">
        <v>212</v>
      </c>
    </row>
    <row r="4434" spans="1:4">
      <c r="A4434" s="2" t="s">
        <v>3070</v>
      </c>
      <c r="B4434" s="2" t="s">
        <v>36</v>
      </c>
      <c r="C4434" s="2" t="s">
        <v>36</v>
      </c>
      <c r="D4434" s="2">
        <v>212</v>
      </c>
    </row>
    <row r="4435" spans="1:4">
      <c r="A4435" s="2" t="s">
        <v>3052</v>
      </c>
      <c r="B4435" s="2" t="s">
        <v>36</v>
      </c>
      <c r="C4435" s="2" t="s">
        <v>36</v>
      </c>
      <c r="D4435" s="2">
        <v>212</v>
      </c>
    </row>
    <row r="4436" spans="1:4">
      <c r="A4436" s="2" t="s">
        <v>3555</v>
      </c>
      <c r="B4436" s="2" t="s">
        <v>36</v>
      </c>
      <c r="C4436" s="2" t="s">
        <v>36</v>
      </c>
      <c r="D4436" s="2">
        <v>211</v>
      </c>
    </row>
    <row r="4437" spans="1:4">
      <c r="A4437" s="2" t="s">
        <v>4290</v>
      </c>
      <c r="B4437" s="2" t="s">
        <v>36</v>
      </c>
      <c r="C4437" s="2" t="s">
        <v>36</v>
      </c>
      <c r="D4437" s="2">
        <v>211</v>
      </c>
    </row>
    <row r="4438" spans="1:4">
      <c r="A4438" s="2" t="s">
        <v>4341</v>
      </c>
      <c r="B4438" s="2" t="s">
        <v>36</v>
      </c>
      <c r="C4438" s="2" t="s">
        <v>36</v>
      </c>
      <c r="D4438" s="2">
        <v>211</v>
      </c>
    </row>
    <row r="4439" spans="1:4">
      <c r="A4439" s="2" t="s">
        <v>3061</v>
      </c>
      <c r="B4439" s="2" t="s">
        <v>36</v>
      </c>
      <c r="C4439" s="2" t="s">
        <v>36</v>
      </c>
      <c r="D4439" s="2">
        <v>210</v>
      </c>
    </row>
    <row r="4440" spans="1:4">
      <c r="A4440" s="2" t="s">
        <v>2637</v>
      </c>
      <c r="B4440" s="2" t="s">
        <v>36</v>
      </c>
      <c r="C4440" s="2" t="s">
        <v>36</v>
      </c>
      <c r="D4440" s="2">
        <v>207</v>
      </c>
    </row>
    <row r="4441" spans="1:4">
      <c r="A4441" s="2" t="s">
        <v>2044</v>
      </c>
      <c r="B4441" s="2" t="s">
        <v>36</v>
      </c>
      <c r="C4441" s="2" t="s">
        <v>36</v>
      </c>
      <c r="D4441" s="2">
        <v>207</v>
      </c>
    </row>
    <row r="4442" spans="1:4">
      <c r="A4442" s="2" t="s">
        <v>2019</v>
      </c>
      <c r="B4442" s="2" t="s">
        <v>36</v>
      </c>
      <c r="C4442" s="2" t="s">
        <v>36</v>
      </c>
      <c r="D4442" s="2">
        <v>207</v>
      </c>
    </row>
    <row r="4443" spans="1:4">
      <c r="A4443" s="2" t="s">
        <v>1638</v>
      </c>
      <c r="B4443" s="2" t="s">
        <v>36</v>
      </c>
      <c r="C4443" s="2" t="s">
        <v>36</v>
      </c>
      <c r="D4443" s="2">
        <v>207</v>
      </c>
    </row>
    <row r="4444" spans="1:4">
      <c r="A4444" s="2" t="s">
        <v>2004</v>
      </c>
      <c r="B4444" s="2" t="s">
        <v>36</v>
      </c>
      <c r="C4444" s="2" t="s">
        <v>36</v>
      </c>
      <c r="D4444" s="2">
        <v>205</v>
      </c>
    </row>
    <row r="4445" spans="1:4">
      <c r="A4445" s="2" t="s">
        <v>3562</v>
      </c>
      <c r="B4445" s="2" t="s">
        <v>36</v>
      </c>
      <c r="C4445" s="2" t="s">
        <v>36</v>
      </c>
      <c r="D4445" s="2">
        <v>205</v>
      </c>
    </row>
    <row r="4446" spans="1:4">
      <c r="A4446" s="2" t="s">
        <v>1993</v>
      </c>
      <c r="B4446" s="2" t="s">
        <v>36</v>
      </c>
      <c r="C4446" s="2" t="s">
        <v>36</v>
      </c>
      <c r="D4446" s="2">
        <v>204</v>
      </c>
    </row>
    <row r="4447" spans="1:4">
      <c r="A4447" s="2" t="s">
        <v>326</v>
      </c>
      <c r="B4447" s="2" t="s">
        <v>36</v>
      </c>
      <c r="C4447" s="2" t="s">
        <v>36</v>
      </c>
      <c r="D4447" s="2">
        <v>203</v>
      </c>
    </row>
    <row r="4448" spans="1:4">
      <c r="A4448" s="2" t="s">
        <v>426</v>
      </c>
      <c r="B4448" s="2" t="s">
        <v>36</v>
      </c>
      <c r="C4448" s="2" t="s">
        <v>36</v>
      </c>
      <c r="D4448" s="2">
        <v>203</v>
      </c>
    </row>
    <row r="4449" spans="1:4">
      <c r="A4449" s="2" t="s">
        <v>3062</v>
      </c>
      <c r="B4449" s="2" t="s">
        <v>36</v>
      </c>
      <c r="C4449" s="2" t="s">
        <v>36</v>
      </c>
      <c r="D4449" s="2">
        <v>202</v>
      </c>
    </row>
    <row r="4450" spans="1:4">
      <c r="A4450" s="2" t="s">
        <v>3520</v>
      </c>
      <c r="B4450" s="2" t="s">
        <v>36</v>
      </c>
      <c r="C4450" s="2" t="s">
        <v>36</v>
      </c>
      <c r="D4450" s="2">
        <v>202</v>
      </c>
    </row>
    <row r="4451" spans="1:4">
      <c r="A4451" s="2" t="s">
        <v>303</v>
      </c>
      <c r="B4451" s="2" t="s">
        <v>36</v>
      </c>
      <c r="C4451" s="2" t="s">
        <v>36</v>
      </c>
      <c r="D4451" s="2">
        <v>202</v>
      </c>
    </row>
    <row r="4452" spans="1:4">
      <c r="A4452" s="2" t="s">
        <v>3582</v>
      </c>
      <c r="B4452" s="2" t="s">
        <v>36</v>
      </c>
      <c r="C4452" s="2" t="s">
        <v>36</v>
      </c>
      <c r="D4452" s="2">
        <v>202</v>
      </c>
    </row>
    <row r="4453" spans="1:4">
      <c r="A4453" s="2" t="s">
        <v>3902</v>
      </c>
      <c r="B4453" s="2" t="s">
        <v>36</v>
      </c>
      <c r="C4453" s="2" t="s">
        <v>36</v>
      </c>
      <c r="D4453" s="2">
        <v>201</v>
      </c>
    </row>
    <row r="4454" spans="1:4">
      <c r="A4454" s="2" t="s">
        <v>1182</v>
      </c>
      <c r="B4454" s="2" t="s">
        <v>36</v>
      </c>
      <c r="C4454" s="2" t="s">
        <v>36</v>
      </c>
      <c r="D4454" s="2">
        <v>200</v>
      </c>
    </row>
    <row r="4455" spans="1:4">
      <c r="A4455" s="2" t="s">
        <v>3991</v>
      </c>
      <c r="B4455" s="2" t="s">
        <v>36</v>
      </c>
      <c r="C4455" s="2" t="s">
        <v>36</v>
      </c>
      <c r="D4455" s="2">
        <v>199</v>
      </c>
    </row>
    <row r="4456" spans="1:4">
      <c r="A4456" s="2" t="s">
        <v>3049</v>
      </c>
      <c r="B4456" s="2" t="s">
        <v>36</v>
      </c>
      <c r="C4456" s="2" t="s">
        <v>36</v>
      </c>
      <c r="D4456" s="2">
        <v>198</v>
      </c>
    </row>
    <row r="4457" spans="1:4">
      <c r="A4457" s="2" t="s">
        <v>3584</v>
      </c>
      <c r="B4457" s="2" t="s">
        <v>36</v>
      </c>
      <c r="C4457" s="2" t="s">
        <v>36</v>
      </c>
      <c r="D4457" s="2">
        <v>196</v>
      </c>
    </row>
    <row r="4458" spans="1:4">
      <c r="A4458" s="2" t="s">
        <v>4336</v>
      </c>
      <c r="B4458" s="2" t="s">
        <v>36</v>
      </c>
      <c r="C4458" s="2" t="s">
        <v>36</v>
      </c>
      <c r="D4458" s="2">
        <v>195</v>
      </c>
    </row>
    <row r="4459" spans="1:4">
      <c r="A4459" s="2" t="s">
        <v>4681</v>
      </c>
      <c r="B4459" s="2" t="s">
        <v>36</v>
      </c>
      <c r="C4459" s="2" t="s">
        <v>36</v>
      </c>
      <c r="D4459" s="2">
        <v>195</v>
      </c>
    </row>
    <row r="4460" spans="1:4">
      <c r="A4460" s="2" t="s">
        <v>1198</v>
      </c>
      <c r="B4460" s="2" t="s">
        <v>36</v>
      </c>
      <c r="C4460" s="2" t="s">
        <v>36</v>
      </c>
      <c r="D4460" s="2">
        <v>194</v>
      </c>
    </row>
    <row r="4461" spans="1:4">
      <c r="A4461" s="2" t="s">
        <v>2606</v>
      </c>
      <c r="B4461" s="2" t="s">
        <v>36</v>
      </c>
      <c r="C4461" s="2" t="s">
        <v>36</v>
      </c>
      <c r="D4461" s="2">
        <v>194</v>
      </c>
    </row>
    <row r="4462" spans="1:4">
      <c r="A4462" s="2" t="s">
        <v>3533</v>
      </c>
      <c r="B4462" s="2" t="s">
        <v>36</v>
      </c>
      <c r="C4462" s="2" t="s">
        <v>36</v>
      </c>
      <c r="D4462" s="2">
        <v>194</v>
      </c>
    </row>
    <row r="4463" spans="1:4">
      <c r="A4463" s="2" t="s">
        <v>1196</v>
      </c>
      <c r="B4463" s="2" t="s">
        <v>36</v>
      </c>
      <c r="C4463" s="2" t="s">
        <v>36</v>
      </c>
      <c r="D4463" s="2">
        <v>194</v>
      </c>
    </row>
    <row r="4464" spans="1:4">
      <c r="A4464" s="2" t="s">
        <v>4308</v>
      </c>
      <c r="B4464" s="2" t="s">
        <v>36</v>
      </c>
      <c r="C4464" s="2" t="s">
        <v>36</v>
      </c>
      <c r="D4464" s="2">
        <v>193</v>
      </c>
    </row>
    <row r="4465" spans="1:4">
      <c r="A4465" s="2" t="s">
        <v>4651</v>
      </c>
      <c r="B4465" s="2" t="s">
        <v>36</v>
      </c>
      <c r="C4465" s="2" t="s">
        <v>36</v>
      </c>
      <c r="D4465" s="2">
        <v>192</v>
      </c>
    </row>
    <row r="4466" spans="1:4">
      <c r="A4466" s="2" t="s">
        <v>2594</v>
      </c>
      <c r="B4466" s="2" t="s">
        <v>36</v>
      </c>
      <c r="C4466" s="2" t="s">
        <v>36</v>
      </c>
      <c r="D4466" s="2">
        <v>192</v>
      </c>
    </row>
    <row r="4467" spans="1:4">
      <c r="A4467" s="2" t="s">
        <v>2006</v>
      </c>
      <c r="B4467" s="2" t="s">
        <v>36</v>
      </c>
      <c r="C4467" s="2" t="s">
        <v>36</v>
      </c>
      <c r="D4467" s="2">
        <v>192</v>
      </c>
    </row>
    <row r="4468" spans="1:4">
      <c r="A4468" s="2" t="s">
        <v>1111</v>
      </c>
      <c r="B4468" s="2" t="s">
        <v>36</v>
      </c>
      <c r="C4468" s="2" t="s">
        <v>36</v>
      </c>
      <c r="D4468" s="2">
        <v>192</v>
      </c>
    </row>
    <row r="4469" spans="1:4">
      <c r="A4469" s="2" t="s">
        <v>1622</v>
      </c>
      <c r="B4469" s="2" t="s">
        <v>36</v>
      </c>
      <c r="C4469" s="2" t="s">
        <v>36</v>
      </c>
      <c r="D4469" s="2">
        <v>192</v>
      </c>
    </row>
    <row r="4470" spans="1:4">
      <c r="A4470" s="2" t="s">
        <v>3031</v>
      </c>
      <c r="B4470" s="2" t="s">
        <v>36</v>
      </c>
      <c r="C4470" s="2" t="s">
        <v>36</v>
      </c>
      <c r="D4470" s="2">
        <v>192</v>
      </c>
    </row>
    <row r="4471" spans="1:4">
      <c r="A4471" s="2" t="s">
        <v>3043</v>
      </c>
      <c r="B4471" s="2" t="s">
        <v>36</v>
      </c>
      <c r="C4471" s="2" t="s">
        <v>36</v>
      </c>
      <c r="D4471" s="2">
        <v>191</v>
      </c>
    </row>
    <row r="4472" spans="1:4">
      <c r="A4472" s="2" t="s">
        <v>3968</v>
      </c>
      <c r="B4472" s="2" t="s">
        <v>36</v>
      </c>
      <c r="C4472" s="2" t="s">
        <v>36</v>
      </c>
      <c r="D4472" s="2">
        <v>191</v>
      </c>
    </row>
    <row r="4473" spans="1:4">
      <c r="A4473" s="2" t="s">
        <v>343</v>
      </c>
      <c r="B4473" s="2" t="s">
        <v>36</v>
      </c>
      <c r="C4473" s="2" t="s">
        <v>36</v>
      </c>
      <c r="D4473" s="2">
        <v>190</v>
      </c>
    </row>
    <row r="4474" spans="1:4">
      <c r="A4474" s="2" t="s">
        <v>1640</v>
      </c>
      <c r="B4474" s="2" t="s">
        <v>36</v>
      </c>
      <c r="C4474" s="2" t="s">
        <v>36</v>
      </c>
      <c r="D4474" s="2">
        <v>190</v>
      </c>
    </row>
    <row r="4475" spans="1:4">
      <c r="A4475" s="2" t="s">
        <v>1200</v>
      </c>
      <c r="B4475" s="2" t="s">
        <v>36</v>
      </c>
      <c r="C4475" s="2" t="s">
        <v>36</v>
      </c>
      <c r="D4475" s="2">
        <v>189</v>
      </c>
    </row>
    <row r="4476" spans="1:4">
      <c r="A4476" s="2" t="s">
        <v>2642</v>
      </c>
      <c r="B4476" s="2" t="s">
        <v>36</v>
      </c>
      <c r="C4476" s="2" t="s">
        <v>36</v>
      </c>
      <c r="D4476" s="2">
        <v>189</v>
      </c>
    </row>
    <row r="4477" spans="1:4">
      <c r="A4477" s="2" t="s">
        <v>1624</v>
      </c>
      <c r="B4477" s="2" t="s">
        <v>36</v>
      </c>
      <c r="C4477" s="2" t="s">
        <v>36</v>
      </c>
      <c r="D4477" s="2">
        <v>187</v>
      </c>
    </row>
    <row r="4478" spans="1:4">
      <c r="A4478" s="2" t="s">
        <v>4338</v>
      </c>
      <c r="B4478" s="2" t="s">
        <v>36</v>
      </c>
      <c r="C4478" s="2" t="s">
        <v>36</v>
      </c>
      <c r="D4478" s="2">
        <v>187</v>
      </c>
    </row>
    <row r="4479" spans="1:4">
      <c r="A4479" s="2" t="s">
        <v>1149</v>
      </c>
      <c r="B4479" s="2" t="s">
        <v>36</v>
      </c>
      <c r="C4479" s="2" t="s">
        <v>36</v>
      </c>
      <c r="D4479" s="2">
        <v>186</v>
      </c>
    </row>
    <row r="4480" spans="1:4">
      <c r="A4480" s="2" t="s">
        <v>4323</v>
      </c>
      <c r="B4480" s="2" t="s">
        <v>36</v>
      </c>
      <c r="C4480" s="2" t="s">
        <v>36</v>
      </c>
      <c r="D4480" s="2">
        <v>186</v>
      </c>
    </row>
    <row r="4481" spans="1:4">
      <c r="A4481" s="2" t="s">
        <v>3970</v>
      </c>
      <c r="B4481" s="2" t="s">
        <v>36</v>
      </c>
      <c r="C4481" s="2" t="s">
        <v>36</v>
      </c>
      <c r="D4481" s="2">
        <v>186</v>
      </c>
    </row>
    <row r="4482" spans="1:4">
      <c r="A4482" s="2" t="s">
        <v>3086</v>
      </c>
      <c r="B4482" s="2" t="s">
        <v>36</v>
      </c>
      <c r="C4482" s="2" t="s">
        <v>36</v>
      </c>
      <c r="D4482" s="2">
        <v>185</v>
      </c>
    </row>
    <row r="4483" spans="1:4">
      <c r="A4483" s="2" t="s">
        <v>1672</v>
      </c>
      <c r="B4483" s="2" t="s">
        <v>36</v>
      </c>
      <c r="C4483" s="2" t="s">
        <v>36</v>
      </c>
      <c r="D4483" s="2">
        <v>185</v>
      </c>
    </row>
    <row r="4484" spans="1:4">
      <c r="A4484" s="2" t="s">
        <v>3079</v>
      </c>
      <c r="B4484" s="2" t="s">
        <v>36</v>
      </c>
      <c r="C4484" s="2" t="s">
        <v>36</v>
      </c>
      <c r="D4484" s="2">
        <v>185</v>
      </c>
    </row>
    <row r="4485" spans="1:4">
      <c r="A4485" s="2" t="s">
        <v>1203</v>
      </c>
      <c r="B4485" s="2" t="s">
        <v>36</v>
      </c>
      <c r="C4485" s="2" t="s">
        <v>36</v>
      </c>
      <c r="D4485" s="2">
        <v>184</v>
      </c>
    </row>
    <row r="4486" spans="1:4">
      <c r="A4486" s="2" t="s">
        <v>4324</v>
      </c>
      <c r="B4486" s="2" t="s">
        <v>36</v>
      </c>
      <c r="C4486" s="2" t="s">
        <v>36</v>
      </c>
      <c r="D4486" s="2">
        <v>184</v>
      </c>
    </row>
    <row r="4487" spans="1:4">
      <c r="A4487" s="2" t="s">
        <v>4006</v>
      </c>
      <c r="B4487" s="2" t="s">
        <v>36</v>
      </c>
      <c r="C4487" s="2" t="s">
        <v>36</v>
      </c>
      <c r="D4487" s="2">
        <v>184</v>
      </c>
    </row>
    <row r="4488" spans="1:4">
      <c r="A4488" s="2" t="s">
        <v>4639</v>
      </c>
      <c r="B4488" s="2" t="s">
        <v>36</v>
      </c>
      <c r="C4488" s="2" t="s">
        <v>36</v>
      </c>
      <c r="D4488" s="2">
        <v>183</v>
      </c>
    </row>
    <row r="4489" spans="1:4">
      <c r="A4489" s="2" t="s">
        <v>3514</v>
      </c>
      <c r="B4489" s="2" t="s">
        <v>36</v>
      </c>
      <c r="C4489" s="2" t="s">
        <v>36</v>
      </c>
      <c r="D4489" s="2">
        <v>183</v>
      </c>
    </row>
    <row r="4490" spans="1:4">
      <c r="A4490" s="2" t="s">
        <v>4653</v>
      </c>
      <c r="B4490" s="2" t="s">
        <v>36</v>
      </c>
      <c r="C4490" s="2" t="s">
        <v>36</v>
      </c>
      <c r="D4490" s="2">
        <v>182</v>
      </c>
    </row>
    <row r="4491" spans="1:4">
      <c r="A4491" s="2" t="s">
        <v>2601</v>
      </c>
      <c r="B4491" s="2" t="s">
        <v>36</v>
      </c>
      <c r="C4491" s="2" t="s">
        <v>36</v>
      </c>
      <c r="D4491" s="2">
        <v>182</v>
      </c>
    </row>
    <row r="4492" spans="1:4">
      <c r="A4492" s="2" t="s">
        <v>3896</v>
      </c>
      <c r="B4492" s="2" t="s">
        <v>36</v>
      </c>
      <c r="C4492" s="2" t="s">
        <v>36</v>
      </c>
      <c r="D4492" s="2">
        <v>181</v>
      </c>
    </row>
    <row r="4493" spans="1:4">
      <c r="A4493" s="2" t="s">
        <v>1192</v>
      </c>
      <c r="B4493" s="2" t="s">
        <v>36</v>
      </c>
      <c r="C4493" s="2" t="s">
        <v>36</v>
      </c>
      <c r="D4493" s="2">
        <v>181</v>
      </c>
    </row>
    <row r="4494" spans="1:4">
      <c r="A4494" s="2" t="s">
        <v>4344</v>
      </c>
      <c r="B4494" s="2" t="s">
        <v>36</v>
      </c>
      <c r="C4494" s="2" t="s">
        <v>36</v>
      </c>
      <c r="D4494" s="2">
        <v>180</v>
      </c>
    </row>
    <row r="4495" spans="1:4">
      <c r="A4495" s="2" t="s">
        <v>1619</v>
      </c>
      <c r="B4495" s="2" t="s">
        <v>36</v>
      </c>
      <c r="C4495" s="2" t="s">
        <v>36</v>
      </c>
      <c r="D4495" s="2">
        <v>180</v>
      </c>
    </row>
    <row r="4496" spans="1:4">
      <c r="A4496" s="2" t="s">
        <v>1985</v>
      </c>
      <c r="B4496" s="2" t="s">
        <v>36</v>
      </c>
      <c r="C4496" s="2" t="s">
        <v>36</v>
      </c>
      <c r="D4496" s="2">
        <v>179</v>
      </c>
    </row>
    <row r="4497" spans="1:4">
      <c r="A4497" s="2" t="s">
        <v>1678</v>
      </c>
      <c r="B4497" s="2" t="s">
        <v>36</v>
      </c>
      <c r="C4497" s="2" t="s">
        <v>36</v>
      </c>
      <c r="D4497" s="2">
        <v>179</v>
      </c>
    </row>
    <row r="4498" spans="1:4">
      <c r="A4498" s="2" t="s">
        <v>3962</v>
      </c>
      <c r="B4498" s="2" t="s">
        <v>36</v>
      </c>
      <c r="C4498" s="2" t="s">
        <v>36</v>
      </c>
      <c r="D4498" s="2">
        <v>179</v>
      </c>
    </row>
    <row r="4499" spans="1:4">
      <c r="A4499" s="2" t="s">
        <v>3128</v>
      </c>
      <c r="B4499" s="2" t="s">
        <v>36</v>
      </c>
      <c r="C4499" s="2" t="s">
        <v>36</v>
      </c>
      <c r="D4499" s="2">
        <v>178</v>
      </c>
    </row>
    <row r="4500" spans="1:4">
      <c r="A4500" s="2" t="s">
        <v>2056</v>
      </c>
      <c r="B4500" s="2" t="s">
        <v>36</v>
      </c>
      <c r="C4500" s="2" t="s">
        <v>36</v>
      </c>
      <c r="D4500" s="2">
        <v>177</v>
      </c>
    </row>
    <row r="4501" spans="1:4">
      <c r="A4501" s="2" t="s">
        <v>1202</v>
      </c>
      <c r="B4501" s="2" t="s">
        <v>36</v>
      </c>
      <c r="C4501" s="2" t="s">
        <v>36</v>
      </c>
      <c r="D4501" s="2">
        <v>176</v>
      </c>
    </row>
    <row r="4502" spans="1:4">
      <c r="A4502" s="2" t="s">
        <v>1170</v>
      </c>
      <c r="B4502" s="2" t="s">
        <v>36</v>
      </c>
      <c r="C4502" s="2" t="s">
        <v>36</v>
      </c>
      <c r="D4502" s="2">
        <v>176</v>
      </c>
    </row>
    <row r="4503" spans="1:4">
      <c r="A4503" s="2" t="s">
        <v>3035</v>
      </c>
      <c r="B4503" s="2" t="s">
        <v>36</v>
      </c>
      <c r="C4503" s="2" t="s">
        <v>36</v>
      </c>
      <c r="D4503" s="2">
        <v>175</v>
      </c>
    </row>
    <row r="4504" spans="1:4">
      <c r="A4504" s="2" t="s">
        <v>1977</v>
      </c>
      <c r="B4504" s="2" t="s">
        <v>36</v>
      </c>
      <c r="C4504" s="2" t="s">
        <v>36</v>
      </c>
      <c r="D4504" s="2">
        <v>175</v>
      </c>
    </row>
    <row r="4505" spans="1:4">
      <c r="A4505" s="2" t="s">
        <v>3550</v>
      </c>
      <c r="B4505" s="2" t="s">
        <v>36</v>
      </c>
      <c r="C4505" s="2" t="s">
        <v>36</v>
      </c>
      <c r="D4505" s="2">
        <v>175</v>
      </c>
    </row>
    <row r="4506" spans="1:4">
      <c r="A4506" s="2" t="s">
        <v>4703</v>
      </c>
      <c r="B4506" s="2" t="s">
        <v>36</v>
      </c>
      <c r="C4506" s="2" t="s">
        <v>36</v>
      </c>
      <c r="D4506" s="2">
        <v>175</v>
      </c>
    </row>
    <row r="4507" spans="1:4">
      <c r="A4507" s="2" t="s">
        <v>3071</v>
      </c>
      <c r="B4507" s="2" t="s">
        <v>36</v>
      </c>
      <c r="C4507" s="2" t="s">
        <v>36</v>
      </c>
      <c r="D4507" s="2">
        <v>175</v>
      </c>
    </row>
    <row r="4508" spans="1:4">
      <c r="A4508" s="2" t="s">
        <v>4286</v>
      </c>
      <c r="B4508" s="2" t="s">
        <v>36</v>
      </c>
      <c r="C4508" s="2" t="s">
        <v>36</v>
      </c>
      <c r="D4508" s="2">
        <v>174</v>
      </c>
    </row>
    <row r="4509" spans="1:4">
      <c r="A4509" s="2" t="s">
        <v>3894</v>
      </c>
      <c r="B4509" s="2" t="s">
        <v>36</v>
      </c>
      <c r="C4509" s="2" t="s">
        <v>36</v>
      </c>
      <c r="D4509" s="2">
        <v>174</v>
      </c>
    </row>
    <row r="4510" spans="1:4">
      <c r="A4510" s="2" t="s">
        <v>1679</v>
      </c>
      <c r="B4510" s="2" t="s">
        <v>36</v>
      </c>
      <c r="C4510" s="2" t="s">
        <v>36</v>
      </c>
      <c r="D4510" s="2">
        <v>171</v>
      </c>
    </row>
    <row r="4511" spans="1:4">
      <c r="A4511" s="2" t="s">
        <v>3099</v>
      </c>
      <c r="B4511" s="2" t="s">
        <v>36</v>
      </c>
      <c r="C4511" s="2" t="s">
        <v>36</v>
      </c>
      <c r="D4511" s="2">
        <v>170</v>
      </c>
    </row>
    <row r="4512" spans="1:4">
      <c r="A4512" s="2" t="s">
        <v>4604</v>
      </c>
      <c r="B4512" s="2" t="s">
        <v>36</v>
      </c>
      <c r="C4512" s="2" t="s">
        <v>36</v>
      </c>
      <c r="D4512" s="2">
        <v>170</v>
      </c>
    </row>
    <row r="4513" spans="1:4">
      <c r="A4513" s="2" t="s">
        <v>333</v>
      </c>
      <c r="B4513" s="2" t="s">
        <v>36</v>
      </c>
      <c r="C4513" s="2" t="s">
        <v>36</v>
      </c>
      <c r="D4513" s="2">
        <v>170</v>
      </c>
    </row>
    <row r="4514" spans="1:4">
      <c r="A4514" s="2" t="s">
        <v>4314</v>
      </c>
      <c r="B4514" s="2" t="s">
        <v>36</v>
      </c>
      <c r="C4514" s="2" t="s">
        <v>36</v>
      </c>
      <c r="D4514" s="2">
        <v>169</v>
      </c>
    </row>
    <row r="4515" spans="1:4">
      <c r="A4515" s="2" t="s">
        <v>55</v>
      </c>
      <c r="B4515" s="2" t="s">
        <v>36</v>
      </c>
      <c r="C4515" s="2" t="s">
        <v>36</v>
      </c>
      <c r="D4515" s="2">
        <v>169</v>
      </c>
    </row>
    <row r="4516" spans="1:4">
      <c r="A4516" s="2" t="s">
        <v>3924</v>
      </c>
      <c r="B4516" s="2" t="s">
        <v>36</v>
      </c>
      <c r="C4516" s="2" t="s">
        <v>36</v>
      </c>
      <c r="D4516" s="2">
        <v>168</v>
      </c>
    </row>
    <row r="4517" spans="1:4">
      <c r="A4517" s="2" t="s">
        <v>3912</v>
      </c>
      <c r="B4517" s="2" t="s">
        <v>36</v>
      </c>
      <c r="C4517" s="2" t="s">
        <v>36</v>
      </c>
      <c r="D4517" s="2">
        <v>165</v>
      </c>
    </row>
    <row r="4518" spans="1:4">
      <c r="A4518" s="2" t="s">
        <v>1217</v>
      </c>
      <c r="B4518" s="2" t="s">
        <v>36</v>
      </c>
      <c r="C4518" s="2" t="s">
        <v>36</v>
      </c>
      <c r="D4518" s="2">
        <v>165</v>
      </c>
    </row>
    <row r="4519" spans="1:4">
      <c r="A4519" s="2" t="s">
        <v>4345</v>
      </c>
      <c r="B4519" s="2" t="s">
        <v>36</v>
      </c>
      <c r="C4519" s="2" t="s">
        <v>36</v>
      </c>
      <c r="D4519" s="2">
        <v>165</v>
      </c>
    </row>
    <row r="4520" spans="1:4">
      <c r="A4520" s="2" t="s">
        <v>4644</v>
      </c>
      <c r="B4520" s="2" t="s">
        <v>36</v>
      </c>
      <c r="C4520" s="2" t="s">
        <v>36</v>
      </c>
      <c r="D4520" s="2">
        <v>164</v>
      </c>
    </row>
    <row r="4521" spans="1:4">
      <c r="A4521" s="2" t="s">
        <v>1189</v>
      </c>
      <c r="B4521" s="2" t="s">
        <v>36</v>
      </c>
      <c r="C4521" s="2" t="s">
        <v>36</v>
      </c>
      <c r="D4521" s="2">
        <v>164</v>
      </c>
    </row>
    <row r="4522" spans="1:4">
      <c r="A4522" s="2" t="s">
        <v>4699</v>
      </c>
      <c r="B4522" s="2" t="s">
        <v>36</v>
      </c>
      <c r="C4522" s="2" t="s">
        <v>36</v>
      </c>
      <c r="D4522" s="2">
        <v>164</v>
      </c>
    </row>
    <row r="4523" spans="1:4">
      <c r="A4523" s="2" t="s">
        <v>3127</v>
      </c>
      <c r="B4523" s="2" t="s">
        <v>36</v>
      </c>
      <c r="C4523" s="2" t="s">
        <v>36</v>
      </c>
      <c r="D4523" s="2">
        <v>163</v>
      </c>
    </row>
    <row r="4524" spans="1:4">
      <c r="A4524" s="2" t="s">
        <v>3988</v>
      </c>
      <c r="B4524" s="2" t="s">
        <v>36</v>
      </c>
      <c r="C4524" s="2" t="s">
        <v>36</v>
      </c>
      <c r="D4524" s="2">
        <v>163</v>
      </c>
    </row>
    <row r="4525" spans="1:4">
      <c r="A4525" s="2" t="s">
        <v>3087</v>
      </c>
      <c r="B4525" s="2" t="s">
        <v>36</v>
      </c>
      <c r="C4525" s="2" t="s">
        <v>36</v>
      </c>
      <c r="D4525" s="2">
        <v>162</v>
      </c>
    </row>
    <row r="4526" spans="1:4">
      <c r="A4526" s="2" t="s">
        <v>3918</v>
      </c>
      <c r="B4526" s="2" t="s">
        <v>36</v>
      </c>
      <c r="C4526" s="2" t="s">
        <v>36</v>
      </c>
      <c r="D4526" s="2">
        <v>162</v>
      </c>
    </row>
    <row r="4527" spans="1:4">
      <c r="A4527" s="2" t="s">
        <v>2526</v>
      </c>
      <c r="B4527" s="2" t="s">
        <v>36</v>
      </c>
      <c r="C4527" s="2" t="s">
        <v>36</v>
      </c>
      <c r="D4527" s="2">
        <v>162</v>
      </c>
    </row>
    <row r="4528" spans="1:4">
      <c r="A4528" s="2" t="s">
        <v>2030</v>
      </c>
      <c r="B4528" s="2" t="s">
        <v>36</v>
      </c>
      <c r="C4528" s="2" t="s">
        <v>36</v>
      </c>
      <c r="D4528" s="2">
        <v>161</v>
      </c>
    </row>
    <row r="4529" spans="1:4">
      <c r="A4529" s="2" t="s">
        <v>3114</v>
      </c>
      <c r="B4529" s="2" t="s">
        <v>36</v>
      </c>
      <c r="C4529" s="2" t="s">
        <v>36</v>
      </c>
      <c r="D4529" s="2">
        <v>161</v>
      </c>
    </row>
    <row r="4530" spans="1:4">
      <c r="A4530" s="2" t="s">
        <v>1206</v>
      </c>
      <c r="B4530" s="2" t="s">
        <v>36</v>
      </c>
      <c r="C4530" s="2" t="s">
        <v>36</v>
      </c>
      <c r="D4530" s="2">
        <v>160</v>
      </c>
    </row>
    <row r="4531" spans="1:4">
      <c r="A4531" s="2" t="s">
        <v>2548</v>
      </c>
      <c r="B4531" s="2" t="s">
        <v>36</v>
      </c>
      <c r="C4531" s="2" t="s">
        <v>36</v>
      </c>
      <c r="D4531" s="2">
        <v>159</v>
      </c>
    </row>
    <row r="4532" spans="1:4">
      <c r="A4532" s="2" t="s">
        <v>2522</v>
      </c>
      <c r="B4532" s="2" t="s">
        <v>36</v>
      </c>
      <c r="C4532" s="2" t="s">
        <v>36</v>
      </c>
      <c r="D4532" s="2">
        <v>159</v>
      </c>
    </row>
    <row r="4533" spans="1:4">
      <c r="A4533" s="2" t="s">
        <v>1975</v>
      </c>
      <c r="B4533" s="2" t="s">
        <v>36</v>
      </c>
      <c r="C4533" s="2" t="s">
        <v>36</v>
      </c>
      <c r="D4533" s="2">
        <v>159</v>
      </c>
    </row>
    <row r="4534" spans="1:4">
      <c r="A4534" s="2" t="s">
        <v>3560</v>
      </c>
      <c r="B4534" s="2" t="s">
        <v>36</v>
      </c>
      <c r="C4534" s="2" t="s">
        <v>36</v>
      </c>
      <c r="D4534" s="2">
        <v>158</v>
      </c>
    </row>
    <row r="4535" spans="1:4">
      <c r="A4535" s="2" t="s">
        <v>2022</v>
      </c>
      <c r="B4535" s="2" t="s">
        <v>36</v>
      </c>
      <c r="C4535" s="2" t="s">
        <v>36</v>
      </c>
      <c r="D4535" s="2">
        <v>158</v>
      </c>
    </row>
    <row r="4536" spans="1:4">
      <c r="A4536" s="2" t="s">
        <v>4640</v>
      </c>
      <c r="B4536" s="2" t="s">
        <v>36</v>
      </c>
      <c r="C4536" s="2" t="s">
        <v>36</v>
      </c>
      <c r="D4536" s="2">
        <v>157</v>
      </c>
    </row>
    <row r="4537" spans="1:4">
      <c r="A4537" s="2" t="s">
        <v>1645</v>
      </c>
      <c r="B4537" s="2" t="s">
        <v>36</v>
      </c>
      <c r="C4537" s="2" t="s">
        <v>36</v>
      </c>
      <c r="D4537" s="2">
        <v>156</v>
      </c>
    </row>
    <row r="4538" spans="1:4">
      <c r="A4538" s="2" t="s">
        <v>3094</v>
      </c>
      <c r="B4538" s="2" t="s">
        <v>36</v>
      </c>
      <c r="C4538" s="2" t="s">
        <v>36</v>
      </c>
      <c r="D4538" s="2">
        <v>156</v>
      </c>
    </row>
    <row r="4539" spans="1:4">
      <c r="A4539" s="2" t="s">
        <v>4583</v>
      </c>
      <c r="B4539" s="2" t="s">
        <v>36</v>
      </c>
      <c r="C4539" s="2" t="s">
        <v>36</v>
      </c>
      <c r="D4539" s="2">
        <v>156</v>
      </c>
    </row>
    <row r="4540" spans="1:4">
      <c r="A4540" s="2" t="s">
        <v>3928</v>
      </c>
      <c r="B4540" s="2" t="s">
        <v>36</v>
      </c>
      <c r="C4540" s="2" t="s">
        <v>36</v>
      </c>
      <c r="D4540" s="2">
        <v>155</v>
      </c>
    </row>
    <row r="4541" spans="1:4">
      <c r="A4541" s="2" t="s">
        <v>4708</v>
      </c>
      <c r="B4541" s="2" t="s">
        <v>36</v>
      </c>
      <c r="C4541" s="2" t="s">
        <v>36</v>
      </c>
      <c r="D4541" s="2">
        <v>155</v>
      </c>
    </row>
    <row r="4542" spans="1:4">
      <c r="A4542" s="2" t="s">
        <v>2090</v>
      </c>
      <c r="B4542" s="2" t="s">
        <v>36</v>
      </c>
      <c r="C4542" s="2" t="s">
        <v>36</v>
      </c>
      <c r="D4542" s="2">
        <v>155</v>
      </c>
    </row>
    <row r="4543" spans="1:4">
      <c r="A4543" s="2" t="s">
        <v>1194</v>
      </c>
      <c r="B4543" s="2" t="s">
        <v>36</v>
      </c>
      <c r="C4543" s="2" t="s">
        <v>36</v>
      </c>
      <c r="D4543" s="2">
        <v>154</v>
      </c>
    </row>
    <row r="4544" spans="1:4">
      <c r="A4544" s="2" t="s">
        <v>376</v>
      </c>
      <c r="B4544" s="2" t="s">
        <v>36</v>
      </c>
      <c r="C4544" s="2" t="s">
        <v>36</v>
      </c>
      <c r="D4544" s="2">
        <v>154</v>
      </c>
    </row>
    <row r="4545" spans="1:4">
      <c r="A4545" s="2" t="s">
        <v>3098</v>
      </c>
      <c r="B4545" s="2" t="s">
        <v>36</v>
      </c>
      <c r="C4545" s="2" t="s">
        <v>36</v>
      </c>
      <c r="D4545" s="2">
        <v>153</v>
      </c>
    </row>
    <row r="4546" spans="1:4">
      <c r="A4546" s="2" t="s">
        <v>4318</v>
      </c>
      <c r="B4546" s="2" t="s">
        <v>36</v>
      </c>
      <c r="C4546" s="2" t="s">
        <v>36</v>
      </c>
      <c r="D4546" s="2">
        <v>151</v>
      </c>
    </row>
    <row r="4547" spans="1:4">
      <c r="A4547" s="2" t="s">
        <v>4329</v>
      </c>
      <c r="B4547" s="2" t="s">
        <v>36</v>
      </c>
      <c r="C4547" s="2" t="s">
        <v>36</v>
      </c>
      <c r="D4547" s="2">
        <v>151</v>
      </c>
    </row>
    <row r="4548" spans="1:4">
      <c r="A4548" s="2" t="s">
        <v>2042</v>
      </c>
      <c r="B4548" s="2" t="s">
        <v>36</v>
      </c>
      <c r="C4548" s="2" t="s">
        <v>36</v>
      </c>
      <c r="D4548" s="2">
        <v>151</v>
      </c>
    </row>
    <row r="4549" spans="1:4">
      <c r="A4549" s="2" t="s">
        <v>4682</v>
      </c>
      <c r="B4549" s="2" t="s">
        <v>36</v>
      </c>
      <c r="C4549" s="2" t="s">
        <v>36</v>
      </c>
      <c r="D4549" s="2">
        <v>150</v>
      </c>
    </row>
    <row r="4550" spans="1:4">
      <c r="A4550" s="2" t="s">
        <v>4695</v>
      </c>
      <c r="B4550" s="2" t="s">
        <v>36</v>
      </c>
      <c r="C4550" s="2" t="s">
        <v>36</v>
      </c>
      <c r="D4550" s="2">
        <v>150</v>
      </c>
    </row>
    <row r="4551" spans="1:4">
      <c r="A4551" s="2" t="s">
        <v>3065</v>
      </c>
      <c r="B4551" s="2" t="s">
        <v>36</v>
      </c>
      <c r="C4551" s="2" t="s">
        <v>36</v>
      </c>
      <c r="D4551" s="2">
        <v>149</v>
      </c>
    </row>
    <row r="4552" spans="1:4">
      <c r="A4552" s="2" t="s">
        <v>320</v>
      </c>
      <c r="B4552" s="2" t="s">
        <v>36</v>
      </c>
      <c r="C4552" s="2" t="s">
        <v>36</v>
      </c>
      <c r="D4552" s="2">
        <v>149</v>
      </c>
    </row>
    <row r="4553" spans="1:4">
      <c r="A4553" s="2" t="s">
        <v>3940</v>
      </c>
      <c r="B4553" s="2" t="s">
        <v>36</v>
      </c>
      <c r="C4553" s="2" t="s">
        <v>36</v>
      </c>
      <c r="D4553" s="2">
        <v>148</v>
      </c>
    </row>
    <row r="4554" spans="1:4">
      <c r="A4554" s="2" t="s">
        <v>94</v>
      </c>
      <c r="B4554" s="2" t="s">
        <v>36</v>
      </c>
      <c r="C4554" s="2" t="s">
        <v>36</v>
      </c>
      <c r="D4554" s="2">
        <v>148</v>
      </c>
    </row>
    <row r="4555" spans="1:4">
      <c r="A4555" s="2" t="s">
        <v>3513</v>
      </c>
      <c r="B4555" s="2" t="s">
        <v>36</v>
      </c>
      <c r="C4555" s="2" t="s">
        <v>36</v>
      </c>
      <c r="D4555" s="2">
        <v>148</v>
      </c>
    </row>
    <row r="4556" spans="1:4">
      <c r="A4556" s="2" t="s">
        <v>3547</v>
      </c>
      <c r="B4556" s="2" t="s">
        <v>36</v>
      </c>
      <c r="C4556" s="2" t="s">
        <v>36</v>
      </c>
      <c r="D4556" s="2">
        <v>147</v>
      </c>
    </row>
    <row r="4557" spans="1:4">
      <c r="A4557" s="2" t="s">
        <v>1991</v>
      </c>
      <c r="B4557" s="2" t="s">
        <v>36</v>
      </c>
      <c r="C4557" s="2" t="s">
        <v>36</v>
      </c>
      <c r="D4557" s="2">
        <v>146</v>
      </c>
    </row>
    <row r="4558" spans="1:4">
      <c r="A4558" s="2" t="s">
        <v>3505</v>
      </c>
      <c r="B4558" s="2" t="s">
        <v>36</v>
      </c>
      <c r="C4558" s="2" t="s">
        <v>36</v>
      </c>
      <c r="D4558" s="2">
        <v>145</v>
      </c>
    </row>
    <row r="4559" spans="1:4">
      <c r="A4559" s="2" t="s">
        <v>3123</v>
      </c>
      <c r="B4559" s="2" t="s">
        <v>36</v>
      </c>
      <c r="C4559" s="2" t="s">
        <v>36</v>
      </c>
      <c r="D4559" s="2">
        <v>145</v>
      </c>
    </row>
    <row r="4560" spans="1:4">
      <c r="A4560" s="2" t="s">
        <v>1626</v>
      </c>
      <c r="B4560" s="2" t="s">
        <v>36</v>
      </c>
      <c r="C4560" s="2" t="s">
        <v>36</v>
      </c>
      <c r="D4560" s="2">
        <v>145</v>
      </c>
    </row>
    <row r="4561" spans="1:4">
      <c r="A4561" s="2" t="s">
        <v>2524</v>
      </c>
      <c r="B4561" s="2" t="s">
        <v>36</v>
      </c>
      <c r="C4561" s="2" t="s">
        <v>36</v>
      </c>
      <c r="D4561" s="2">
        <v>145</v>
      </c>
    </row>
    <row r="4562" spans="1:4">
      <c r="A4562" s="2" t="s">
        <v>4597</v>
      </c>
      <c r="B4562" s="2" t="s">
        <v>36</v>
      </c>
      <c r="C4562" s="2" t="s">
        <v>36</v>
      </c>
      <c r="D4562" s="2">
        <v>144</v>
      </c>
    </row>
    <row r="4563" spans="1:4">
      <c r="A4563" s="2" t="s">
        <v>2619</v>
      </c>
      <c r="B4563" s="2" t="s">
        <v>36</v>
      </c>
      <c r="C4563" s="2" t="s">
        <v>36</v>
      </c>
      <c r="D4563" s="2">
        <v>143</v>
      </c>
    </row>
    <row r="4564" spans="1:4">
      <c r="A4564" s="2" t="s">
        <v>2053</v>
      </c>
      <c r="B4564" s="2" t="s">
        <v>36</v>
      </c>
      <c r="C4564" s="2" t="s">
        <v>36</v>
      </c>
      <c r="D4564" s="2">
        <v>143</v>
      </c>
    </row>
    <row r="4565" spans="1:4">
      <c r="A4565" s="2" t="s">
        <v>1677</v>
      </c>
      <c r="B4565" s="2" t="s">
        <v>36</v>
      </c>
      <c r="C4565" s="2" t="s">
        <v>36</v>
      </c>
      <c r="D4565" s="2">
        <v>143</v>
      </c>
    </row>
    <row r="4566" spans="1:4">
      <c r="A4566" s="2" t="s">
        <v>3064</v>
      </c>
      <c r="B4566" s="2" t="s">
        <v>36</v>
      </c>
      <c r="C4566" s="2" t="s">
        <v>36</v>
      </c>
      <c r="D4566" s="2">
        <v>141</v>
      </c>
    </row>
    <row r="4567" spans="1:4">
      <c r="A4567" s="2" t="s">
        <v>3495</v>
      </c>
      <c r="B4567" s="2" t="s">
        <v>36</v>
      </c>
      <c r="C4567" s="2" t="s">
        <v>36</v>
      </c>
      <c r="D4567" s="2">
        <v>141</v>
      </c>
    </row>
    <row r="4568" spans="1:4">
      <c r="A4568" s="2" t="s">
        <v>1139</v>
      </c>
      <c r="B4568" s="2" t="s">
        <v>36</v>
      </c>
      <c r="C4568" s="2" t="s">
        <v>36</v>
      </c>
      <c r="D4568" s="2">
        <v>141</v>
      </c>
    </row>
    <row r="4569" spans="1:4">
      <c r="A4569" s="2" t="s">
        <v>3504</v>
      </c>
      <c r="B4569" s="2" t="s">
        <v>36</v>
      </c>
      <c r="C4569" s="2" t="s">
        <v>36</v>
      </c>
      <c r="D4569" s="2">
        <v>141</v>
      </c>
    </row>
    <row r="4570" spans="1:4">
      <c r="A4570" s="2" t="s">
        <v>3923</v>
      </c>
      <c r="B4570" s="2" t="s">
        <v>36</v>
      </c>
      <c r="C4570" s="2" t="s">
        <v>36</v>
      </c>
      <c r="D4570" s="2">
        <v>141</v>
      </c>
    </row>
    <row r="4571" spans="1:4">
      <c r="A4571" s="2" t="s">
        <v>3543</v>
      </c>
      <c r="B4571" s="2" t="s">
        <v>36</v>
      </c>
      <c r="C4571" s="2" t="s">
        <v>36</v>
      </c>
      <c r="D4571" s="2">
        <v>139</v>
      </c>
    </row>
    <row r="4572" spans="1:4">
      <c r="A4572" s="2" t="s">
        <v>4632</v>
      </c>
      <c r="B4572" s="2" t="s">
        <v>36</v>
      </c>
      <c r="C4572" s="2" t="s">
        <v>36</v>
      </c>
      <c r="D4572" s="2">
        <v>138</v>
      </c>
    </row>
    <row r="4573" spans="1:4">
      <c r="A4573" s="2" t="s">
        <v>3018</v>
      </c>
      <c r="B4573" s="2" t="s">
        <v>36</v>
      </c>
      <c r="C4573" s="2" t="s">
        <v>36</v>
      </c>
      <c r="D4573" s="2">
        <v>138</v>
      </c>
    </row>
    <row r="4574" spans="1:4">
      <c r="A4574" s="2" t="s">
        <v>4343</v>
      </c>
      <c r="B4574" s="2" t="s">
        <v>36</v>
      </c>
      <c r="C4574" s="2" t="s">
        <v>36</v>
      </c>
      <c r="D4574" s="2">
        <v>138</v>
      </c>
    </row>
    <row r="4575" spans="1:4">
      <c r="A4575" s="2" t="s">
        <v>4673</v>
      </c>
      <c r="B4575" s="2" t="s">
        <v>36</v>
      </c>
      <c r="C4575" s="2" t="s">
        <v>36</v>
      </c>
      <c r="D4575" s="2">
        <v>137</v>
      </c>
    </row>
    <row r="4576" spans="1:4">
      <c r="A4576" s="2" t="s">
        <v>2059</v>
      </c>
      <c r="B4576" s="2" t="s">
        <v>36</v>
      </c>
      <c r="C4576" s="2" t="s">
        <v>36</v>
      </c>
      <c r="D4576" s="2">
        <v>136</v>
      </c>
    </row>
    <row r="4577" spans="1:4">
      <c r="A4577" s="2" t="s">
        <v>1634</v>
      </c>
      <c r="B4577" s="2" t="s">
        <v>36</v>
      </c>
      <c r="C4577" s="2" t="s">
        <v>36</v>
      </c>
      <c r="D4577" s="2">
        <v>135</v>
      </c>
    </row>
    <row r="4578" spans="1:4">
      <c r="A4578" s="2" t="s">
        <v>2069</v>
      </c>
      <c r="B4578" s="2" t="s">
        <v>36</v>
      </c>
      <c r="C4578" s="2" t="s">
        <v>36</v>
      </c>
      <c r="D4578" s="2">
        <v>135</v>
      </c>
    </row>
    <row r="4579" spans="1:4">
      <c r="A4579" s="2" t="s">
        <v>4315</v>
      </c>
      <c r="B4579" s="2" t="s">
        <v>36</v>
      </c>
      <c r="C4579" s="2" t="s">
        <v>36</v>
      </c>
      <c r="D4579" s="2">
        <v>134</v>
      </c>
    </row>
    <row r="4580" spans="1:4">
      <c r="A4580" s="2" t="s">
        <v>2052</v>
      </c>
      <c r="B4580" s="2" t="s">
        <v>36</v>
      </c>
      <c r="C4580" s="2" t="s">
        <v>36</v>
      </c>
      <c r="D4580" s="2">
        <v>134</v>
      </c>
    </row>
    <row r="4581" spans="1:4">
      <c r="A4581" s="2" t="s">
        <v>4659</v>
      </c>
      <c r="B4581" s="2" t="s">
        <v>36</v>
      </c>
      <c r="C4581" s="2" t="s">
        <v>36</v>
      </c>
      <c r="D4581" s="2">
        <v>134</v>
      </c>
    </row>
    <row r="4582" spans="1:4">
      <c r="A4582" s="2" t="s">
        <v>1966</v>
      </c>
      <c r="B4582" s="2" t="s">
        <v>36</v>
      </c>
      <c r="C4582" s="2" t="s">
        <v>36</v>
      </c>
      <c r="D4582" s="2">
        <v>134</v>
      </c>
    </row>
    <row r="4583" spans="1:4">
      <c r="A4583" s="2" t="s">
        <v>4339</v>
      </c>
      <c r="B4583" s="2" t="s">
        <v>36</v>
      </c>
      <c r="C4583" s="2" t="s">
        <v>36</v>
      </c>
      <c r="D4583" s="2">
        <v>133</v>
      </c>
    </row>
    <row r="4584" spans="1:4">
      <c r="A4584" s="2" t="s">
        <v>1165</v>
      </c>
      <c r="B4584" s="2" t="s">
        <v>36</v>
      </c>
      <c r="C4584" s="2" t="s">
        <v>36</v>
      </c>
      <c r="D4584" s="2">
        <v>132</v>
      </c>
    </row>
    <row r="4585" spans="1:4">
      <c r="A4585" s="2" t="s">
        <v>2636</v>
      </c>
      <c r="B4585" s="2" t="s">
        <v>36</v>
      </c>
      <c r="C4585" s="2" t="s">
        <v>36</v>
      </c>
      <c r="D4585" s="2">
        <v>132</v>
      </c>
    </row>
    <row r="4586" spans="1:4">
      <c r="A4586" s="2" t="s">
        <v>3103</v>
      </c>
      <c r="B4586" s="2" t="s">
        <v>36</v>
      </c>
      <c r="C4586" s="2" t="s">
        <v>36</v>
      </c>
      <c r="D4586" s="2">
        <v>132</v>
      </c>
    </row>
    <row r="4587" spans="1:4">
      <c r="A4587" s="2" t="s">
        <v>4304</v>
      </c>
      <c r="B4587" s="2" t="s">
        <v>36</v>
      </c>
      <c r="C4587" s="2" t="s">
        <v>36</v>
      </c>
      <c r="D4587" s="2">
        <v>132</v>
      </c>
    </row>
    <row r="4588" spans="1:4">
      <c r="A4588" s="2" t="s">
        <v>3510</v>
      </c>
      <c r="B4588" s="2" t="s">
        <v>36</v>
      </c>
      <c r="C4588" s="2" t="s">
        <v>36</v>
      </c>
      <c r="D4588" s="2">
        <v>132</v>
      </c>
    </row>
    <row r="4589" spans="1:4">
      <c r="A4589" s="2" t="s">
        <v>3978</v>
      </c>
      <c r="B4589" s="2" t="s">
        <v>36</v>
      </c>
      <c r="C4589" s="2" t="s">
        <v>36</v>
      </c>
      <c r="D4589" s="2">
        <v>132</v>
      </c>
    </row>
    <row r="4590" spans="1:4">
      <c r="A4590" s="2" t="s">
        <v>1657</v>
      </c>
      <c r="B4590" s="2" t="s">
        <v>36</v>
      </c>
      <c r="C4590" s="2" t="s">
        <v>36</v>
      </c>
      <c r="D4590" s="2">
        <v>131</v>
      </c>
    </row>
    <row r="4591" spans="1:4">
      <c r="A4591" s="2" t="s">
        <v>4288</v>
      </c>
      <c r="B4591" s="2" t="s">
        <v>36</v>
      </c>
      <c r="C4591" s="2" t="s">
        <v>36</v>
      </c>
      <c r="D4591" s="2">
        <v>131</v>
      </c>
    </row>
    <row r="4592" spans="1:4">
      <c r="A4592" s="2" t="s">
        <v>3979</v>
      </c>
      <c r="B4592" s="2" t="s">
        <v>36</v>
      </c>
      <c r="C4592" s="2" t="s">
        <v>36</v>
      </c>
      <c r="D4592" s="2">
        <v>131</v>
      </c>
    </row>
    <row r="4593" spans="1:4">
      <c r="A4593" s="2" t="s">
        <v>4322</v>
      </c>
      <c r="B4593" s="2" t="s">
        <v>36</v>
      </c>
      <c r="C4593" s="2" t="s">
        <v>36</v>
      </c>
      <c r="D4593" s="2">
        <v>130</v>
      </c>
    </row>
    <row r="4594" spans="1:4">
      <c r="A4594" s="2" t="s">
        <v>3898</v>
      </c>
      <c r="B4594" s="2" t="s">
        <v>36</v>
      </c>
      <c r="C4594" s="2" t="s">
        <v>36</v>
      </c>
      <c r="D4594" s="2">
        <v>130</v>
      </c>
    </row>
    <row r="4595" spans="1:4">
      <c r="A4595" s="2" t="s">
        <v>4313</v>
      </c>
      <c r="B4595" s="2" t="s">
        <v>36</v>
      </c>
      <c r="C4595" s="2" t="s">
        <v>36</v>
      </c>
      <c r="D4595" s="2">
        <v>129</v>
      </c>
    </row>
    <row r="4596" spans="1:4">
      <c r="A4596" s="2" t="s">
        <v>1647</v>
      </c>
      <c r="B4596" s="2" t="s">
        <v>36</v>
      </c>
      <c r="C4596" s="2" t="s">
        <v>36</v>
      </c>
      <c r="D4596" s="2">
        <v>129</v>
      </c>
    </row>
    <row r="4597" spans="1:4">
      <c r="A4597" s="2" t="s">
        <v>4623</v>
      </c>
      <c r="B4597" s="2" t="s">
        <v>36</v>
      </c>
      <c r="C4597" s="2" t="s">
        <v>36</v>
      </c>
      <c r="D4597" s="2">
        <v>129</v>
      </c>
    </row>
    <row r="4598" spans="1:4">
      <c r="A4598" s="2" t="s">
        <v>2574</v>
      </c>
      <c r="B4598" s="2" t="s">
        <v>36</v>
      </c>
      <c r="C4598" s="2" t="s">
        <v>36</v>
      </c>
      <c r="D4598" s="2">
        <v>128</v>
      </c>
    </row>
    <row r="4599" spans="1:4">
      <c r="A4599" s="2" t="s">
        <v>4705</v>
      </c>
      <c r="B4599" s="2" t="s">
        <v>36</v>
      </c>
      <c r="C4599" s="2" t="s">
        <v>36</v>
      </c>
      <c r="D4599" s="2">
        <v>128</v>
      </c>
    </row>
    <row r="4600" spans="1:4">
      <c r="A4600" s="2" t="s">
        <v>4300</v>
      </c>
      <c r="B4600" s="2" t="s">
        <v>36</v>
      </c>
      <c r="C4600" s="2" t="s">
        <v>36</v>
      </c>
      <c r="D4600" s="2">
        <v>127</v>
      </c>
    </row>
    <row r="4601" spans="1:4">
      <c r="A4601" s="2" t="s">
        <v>3575</v>
      </c>
      <c r="B4601" s="2" t="s">
        <v>36</v>
      </c>
      <c r="C4601" s="2" t="s">
        <v>36</v>
      </c>
      <c r="D4601" s="2">
        <v>127</v>
      </c>
    </row>
    <row r="4602" spans="1:4">
      <c r="A4602" s="2" t="s">
        <v>4677</v>
      </c>
      <c r="B4602" s="2" t="s">
        <v>36</v>
      </c>
      <c r="C4602" s="2" t="s">
        <v>36</v>
      </c>
      <c r="D4602" s="2">
        <v>126</v>
      </c>
    </row>
    <row r="4603" spans="1:4">
      <c r="A4603" s="2" t="s">
        <v>3494</v>
      </c>
      <c r="B4603" s="2" t="s">
        <v>36</v>
      </c>
      <c r="C4603" s="2" t="s">
        <v>36</v>
      </c>
      <c r="D4603" s="2">
        <v>126</v>
      </c>
    </row>
    <row r="4604" spans="1:4">
      <c r="A4604" s="2" t="s">
        <v>2562</v>
      </c>
      <c r="B4604" s="2" t="s">
        <v>36</v>
      </c>
      <c r="C4604" s="2" t="s">
        <v>36</v>
      </c>
      <c r="D4604" s="2">
        <v>126</v>
      </c>
    </row>
    <row r="4605" spans="1:4">
      <c r="A4605" s="2" t="s">
        <v>1635</v>
      </c>
      <c r="B4605" s="2" t="s">
        <v>36</v>
      </c>
      <c r="C4605" s="2" t="s">
        <v>36</v>
      </c>
      <c r="D4605" s="2">
        <v>126</v>
      </c>
    </row>
    <row r="4606" spans="1:4">
      <c r="A4606" s="2" t="s">
        <v>3057</v>
      </c>
      <c r="B4606" s="2" t="s">
        <v>36</v>
      </c>
      <c r="C4606" s="2" t="s">
        <v>36</v>
      </c>
      <c r="D4606" s="2">
        <v>125</v>
      </c>
    </row>
    <row r="4607" spans="1:4">
      <c r="A4607" s="2" t="s">
        <v>3900</v>
      </c>
      <c r="B4607" s="2" t="s">
        <v>36</v>
      </c>
      <c r="C4607" s="2" t="s">
        <v>36</v>
      </c>
      <c r="D4607" s="2">
        <v>125</v>
      </c>
    </row>
    <row r="4608" spans="1:4">
      <c r="A4608" s="2" t="s">
        <v>368</v>
      </c>
      <c r="B4608" s="2" t="s">
        <v>36</v>
      </c>
      <c r="C4608" s="2" t="s">
        <v>36</v>
      </c>
      <c r="D4608" s="2">
        <v>124</v>
      </c>
    </row>
    <row r="4609" spans="1:4">
      <c r="A4609" s="2" t="s">
        <v>2071</v>
      </c>
      <c r="B4609" s="2" t="s">
        <v>36</v>
      </c>
      <c r="C4609" s="2" t="s">
        <v>36</v>
      </c>
      <c r="D4609" s="2">
        <v>124</v>
      </c>
    </row>
    <row r="4610" spans="1:4">
      <c r="A4610" s="2" t="s">
        <v>422</v>
      </c>
      <c r="B4610" s="2" t="s">
        <v>36</v>
      </c>
      <c r="C4610" s="2" t="s">
        <v>36</v>
      </c>
      <c r="D4610" s="2">
        <v>123</v>
      </c>
    </row>
    <row r="4611" spans="1:4">
      <c r="A4611" s="2" t="s">
        <v>1216</v>
      </c>
      <c r="B4611" s="2" t="s">
        <v>36</v>
      </c>
      <c r="C4611" s="2" t="s">
        <v>36</v>
      </c>
      <c r="D4611" s="2">
        <v>123</v>
      </c>
    </row>
    <row r="4612" spans="1:4">
      <c r="A4612" s="2" t="s">
        <v>3021</v>
      </c>
      <c r="B4612" s="2" t="s">
        <v>36</v>
      </c>
      <c r="C4612" s="2" t="s">
        <v>36</v>
      </c>
      <c r="D4612" s="2">
        <v>123</v>
      </c>
    </row>
    <row r="4613" spans="1:4">
      <c r="A4613" s="2" t="s">
        <v>2070</v>
      </c>
      <c r="B4613" s="2" t="s">
        <v>36</v>
      </c>
      <c r="C4613" s="2" t="s">
        <v>36</v>
      </c>
      <c r="D4613" s="2">
        <v>122</v>
      </c>
    </row>
    <row r="4614" spans="1:4">
      <c r="A4614" s="2" t="s">
        <v>1669</v>
      </c>
      <c r="B4614" s="2" t="s">
        <v>36</v>
      </c>
      <c r="C4614" s="2" t="s">
        <v>36</v>
      </c>
      <c r="D4614" s="2">
        <v>122</v>
      </c>
    </row>
    <row r="4615" spans="1:4">
      <c r="A4615" s="2" t="s">
        <v>2064</v>
      </c>
      <c r="B4615" s="2" t="s">
        <v>36</v>
      </c>
      <c r="C4615" s="2" t="s">
        <v>36</v>
      </c>
      <c r="D4615" s="2">
        <v>121</v>
      </c>
    </row>
    <row r="4616" spans="1:4">
      <c r="A4616" s="2" t="s">
        <v>4004</v>
      </c>
      <c r="B4616" s="2" t="s">
        <v>36</v>
      </c>
      <c r="C4616" s="2" t="s">
        <v>36</v>
      </c>
      <c r="D4616" s="2">
        <v>121</v>
      </c>
    </row>
    <row r="4617" spans="1:4">
      <c r="A4617" s="2" t="s">
        <v>3119</v>
      </c>
      <c r="B4617" s="2" t="s">
        <v>36</v>
      </c>
      <c r="C4617" s="2" t="s">
        <v>36</v>
      </c>
      <c r="D4617" s="2">
        <v>120</v>
      </c>
    </row>
    <row r="4618" spans="1:4">
      <c r="A4618" s="2" t="s">
        <v>2025</v>
      </c>
      <c r="B4618" s="2" t="s">
        <v>36</v>
      </c>
      <c r="C4618" s="2" t="s">
        <v>36</v>
      </c>
      <c r="D4618" s="2">
        <v>119</v>
      </c>
    </row>
    <row r="4619" spans="1:4">
      <c r="A4619" s="2" t="s">
        <v>4611</v>
      </c>
      <c r="B4619" s="2" t="s">
        <v>36</v>
      </c>
      <c r="C4619" s="2" t="s">
        <v>36</v>
      </c>
      <c r="D4619" s="2">
        <v>119</v>
      </c>
    </row>
    <row r="4620" spans="1:4">
      <c r="A4620" s="2" t="s">
        <v>3935</v>
      </c>
      <c r="B4620" s="2" t="s">
        <v>36</v>
      </c>
      <c r="C4620" s="2" t="s">
        <v>36</v>
      </c>
      <c r="D4620" s="2">
        <v>118</v>
      </c>
    </row>
    <row r="4621" spans="1:4">
      <c r="A4621" s="2" t="s">
        <v>4636</v>
      </c>
      <c r="B4621" s="2" t="s">
        <v>36</v>
      </c>
      <c r="C4621" s="2" t="s">
        <v>36</v>
      </c>
      <c r="D4621" s="2">
        <v>118</v>
      </c>
    </row>
    <row r="4622" spans="1:4">
      <c r="A4622" s="2" t="s">
        <v>4649</v>
      </c>
      <c r="B4622" s="2" t="s">
        <v>36</v>
      </c>
      <c r="C4622" s="2" t="s">
        <v>36</v>
      </c>
      <c r="D4622" s="2">
        <v>117</v>
      </c>
    </row>
    <row r="4623" spans="1:4">
      <c r="A4623" s="2" t="s">
        <v>4298</v>
      </c>
      <c r="B4623" s="2" t="s">
        <v>36</v>
      </c>
      <c r="C4623" s="2" t="s">
        <v>36</v>
      </c>
      <c r="D4623" s="2">
        <v>117</v>
      </c>
    </row>
    <row r="4624" spans="1:4">
      <c r="A4624" s="2" t="s">
        <v>3966</v>
      </c>
      <c r="B4624" s="2" t="s">
        <v>36</v>
      </c>
      <c r="C4624" s="2" t="s">
        <v>36</v>
      </c>
      <c r="D4624" s="2">
        <v>117</v>
      </c>
    </row>
    <row r="4625" spans="1:4">
      <c r="A4625" s="2" t="s">
        <v>1115</v>
      </c>
      <c r="B4625" s="2" t="s">
        <v>36</v>
      </c>
      <c r="C4625" s="2" t="s">
        <v>36</v>
      </c>
      <c r="D4625" s="2">
        <v>117</v>
      </c>
    </row>
    <row r="4626" spans="1:4">
      <c r="A4626" s="2" t="s">
        <v>3997</v>
      </c>
      <c r="B4626" s="2" t="s">
        <v>36</v>
      </c>
      <c r="C4626" s="2" t="s">
        <v>36</v>
      </c>
      <c r="D4626" s="2">
        <v>117</v>
      </c>
    </row>
    <row r="4627" spans="1:4">
      <c r="A4627" s="2" t="s">
        <v>3537</v>
      </c>
      <c r="B4627" s="2" t="s">
        <v>36</v>
      </c>
      <c r="C4627" s="2" t="s">
        <v>36</v>
      </c>
      <c r="D4627" s="2">
        <v>117</v>
      </c>
    </row>
    <row r="4628" spans="1:4">
      <c r="A4628" s="2" t="s">
        <v>3519</v>
      </c>
      <c r="B4628" s="2" t="s">
        <v>36</v>
      </c>
      <c r="C4628" s="2" t="s">
        <v>36</v>
      </c>
      <c r="D4628" s="2">
        <v>116</v>
      </c>
    </row>
    <row r="4629" spans="1:4">
      <c r="A4629" s="2" t="s">
        <v>1999</v>
      </c>
      <c r="B4629" s="2" t="s">
        <v>36</v>
      </c>
      <c r="C4629" s="2" t="s">
        <v>36</v>
      </c>
      <c r="D4629" s="2">
        <v>116</v>
      </c>
    </row>
    <row r="4630" spans="1:4">
      <c r="A4630" s="2" t="s">
        <v>2009</v>
      </c>
      <c r="B4630" s="2" t="s">
        <v>36</v>
      </c>
      <c r="C4630" s="2" t="s">
        <v>36</v>
      </c>
      <c r="D4630" s="2">
        <v>116</v>
      </c>
    </row>
    <row r="4631" spans="1:4">
      <c r="A4631" s="2" t="s">
        <v>355</v>
      </c>
      <c r="B4631" s="2" t="s">
        <v>36</v>
      </c>
      <c r="C4631" s="2" t="s">
        <v>36</v>
      </c>
      <c r="D4631" s="2">
        <v>115</v>
      </c>
    </row>
    <row r="4632" spans="1:4">
      <c r="A4632" s="2" t="s">
        <v>1981</v>
      </c>
      <c r="B4632" s="2" t="s">
        <v>36</v>
      </c>
      <c r="C4632" s="2" t="s">
        <v>36</v>
      </c>
      <c r="D4632" s="2">
        <v>115</v>
      </c>
    </row>
    <row r="4633" spans="1:4">
      <c r="A4633" s="2" t="s">
        <v>4601</v>
      </c>
      <c r="B4633" s="2" t="s">
        <v>36</v>
      </c>
      <c r="C4633" s="2" t="s">
        <v>36</v>
      </c>
      <c r="D4633" s="2">
        <v>115</v>
      </c>
    </row>
    <row r="4634" spans="1:4">
      <c r="A4634" s="2" t="s">
        <v>3531</v>
      </c>
      <c r="B4634" s="2" t="s">
        <v>36</v>
      </c>
      <c r="C4634" s="2" t="s">
        <v>36</v>
      </c>
      <c r="D4634" s="2">
        <v>115</v>
      </c>
    </row>
    <row r="4635" spans="1:4">
      <c r="A4635" s="2" t="s">
        <v>2643</v>
      </c>
      <c r="B4635" s="2" t="s">
        <v>36</v>
      </c>
      <c r="C4635" s="2" t="s">
        <v>36</v>
      </c>
      <c r="D4635" s="2">
        <v>114</v>
      </c>
    </row>
    <row r="4636" spans="1:4">
      <c r="A4636" s="2" t="s">
        <v>1113</v>
      </c>
      <c r="B4636" s="2" t="s">
        <v>36</v>
      </c>
      <c r="C4636" s="2" t="s">
        <v>36</v>
      </c>
      <c r="D4636" s="2">
        <v>114</v>
      </c>
    </row>
    <row r="4637" spans="1:4">
      <c r="A4637" s="2" t="s">
        <v>1123</v>
      </c>
      <c r="B4637" s="2" t="s">
        <v>36</v>
      </c>
      <c r="C4637" s="2" t="s">
        <v>36</v>
      </c>
      <c r="D4637" s="2">
        <v>114</v>
      </c>
    </row>
    <row r="4638" spans="1:4">
      <c r="A4638" s="2" t="s">
        <v>4581</v>
      </c>
      <c r="B4638" s="2" t="s">
        <v>36</v>
      </c>
      <c r="C4638" s="2" t="s">
        <v>36</v>
      </c>
      <c r="D4638" s="2">
        <v>114</v>
      </c>
    </row>
    <row r="4639" spans="1:4">
      <c r="A4639" s="2" t="s">
        <v>4346</v>
      </c>
      <c r="B4639" s="2" t="s">
        <v>36</v>
      </c>
      <c r="C4639" s="2" t="s">
        <v>36</v>
      </c>
      <c r="D4639" s="2">
        <v>114</v>
      </c>
    </row>
    <row r="4640" spans="1:4">
      <c r="A4640" s="2" t="s">
        <v>3936</v>
      </c>
      <c r="B4640" s="2" t="s">
        <v>36</v>
      </c>
      <c r="C4640" s="2" t="s">
        <v>36</v>
      </c>
      <c r="D4640" s="2">
        <v>113</v>
      </c>
    </row>
    <row r="4641" spans="1:4">
      <c r="A4641" s="2" t="s">
        <v>1630</v>
      </c>
      <c r="B4641" s="2" t="s">
        <v>36</v>
      </c>
      <c r="C4641" s="2" t="s">
        <v>36</v>
      </c>
      <c r="D4641" s="2">
        <v>113</v>
      </c>
    </row>
    <row r="4642" spans="1:4">
      <c r="A4642" s="2" t="s">
        <v>337</v>
      </c>
      <c r="B4642" s="2" t="s">
        <v>36</v>
      </c>
      <c r="C4642" s="2" t="s">
        <v>36</v>
      </c>
      <c r="D4642" s="2">
        <v>113</v>
      </c>
    </row>
    <row r="4643" spans="1:4">
      <c r="A4643" s="2" t="s">
        <v>3081</v>
      </c>
      <c r="B4643" s="2" t="s">
        <v>36</v>
      </c>
      <c r="C4643" s="2" t="s">
        <v>36</v>
      </c>
      <c r="D4643" s="2">
        <v>113</v>
      </c>
    </row>
    <row r="4644" spans="1:4">
      <c r="A4644" s="2" t="s">
        <v>2089</v>
      </c>
      <c r="B4644" s="2" t="s">
        <v>36</v>
      </c>
      <c r="C4644" s="2" t="s">
        <v>36</v>
      </c>
      <c r="D4644" s="2">
        <v>112</v>
      </c>
    </row>
    <row r="4645" spans="1:4">
      <c r="A4645" s="2" t="s">
        <v>3914</v>
      </c>
      <c r="B4645" s="2" t="s">
        <v>36</v>
      </c>
      <c r="C4645" s="2" t="s">
        <v>36</v>
      </c>
      <c r="D4645" s="2">
        <v>111</v>
      </c>
    </row>
    <row r="4646" spans="1:4">
      <c r="A4646" s="2" t="s">
        <v>3077</v>
      </c>
      <c r="B4646" s="2" t="s">
        <v>36</v>
      </c>
      <c r="C4646" s="2" t="s">
        <v>36</v>
      </c>
      <c r="D4646" s="2">
        <v>111</v>
      </c>
    </row>
    <row r="4647" spans="1:4">
      <c r="A4647" s="2" t="s">
        <v>2072</v>
      </c>
      <c r="B4647" s="2" t="s">
        <v>36</v>
      </c>
      <c r="C4647" s="2" t="s">
        <v>36</v>
      </c>
      <c r="D4647" s="2">
        <v>111</v>
      </c>
    </row>
    <row r="4648" spans="1:4">
      <c r="A4648" s="2" t="s">
        <v>1147</v>
      </c>
      <c r="B4648" s="2" t="s">
        <v>36</v>
      </c>
      <c r="C4648" s="2" t="s">
        <v>36</v>
      </c>
      <c r="D4648" s="2">
        <v>110</v>
      </c>
    </row>
    <row r="4649" spans="1:4">
      <c r="A4649" s="2" t="s">
        <v>410</v>
      </c>
      <c r="B4649" s="2" t="s">
        <v>36</v>
      </c>
      <c r="C4649" s="2" t="s">
        <v>36</v>
      </c>
      <c r="D4649" s="2">
        <v>110</v>
      </c>
    </row>
    <row r="4650" spans="1:4">
      <c r="A4650" s="2" t="s">
        <v>3905</v>
      </c>
      <c r="B4650" s="2" t="s">
        <v>36</v>
      </c>
      <c r="C4650" s="2" t="s">
        <v>36</v>
      </c>
      <c r="D4650" s="2">
        <v>110</v>
      </c>
    </row>
    <row r="4651" spans="1:4">
      <c r="A4651" s="2" t="s">
        <v>3580</v>
      </c>
      <c r="B4651" s="2" t="s">
        <v>36</v>
      </c>
      <c r="C4651" s="2" t="s">
        <v>36</v>
      </c>
      <c r="D4651" s="2">
        <v>110</v>
      </c>
    </row>
    <row r="4652" spans="1:4">
      <c r="A4652" s="2" t="s">
        <v>3937</v>
      </c>
      <c r="B4652" s="2" t="s">
        <v>36</v>
      </c>
      <c r="C4652" s="2" t="s">
        <v>36</v>
      </c>
      <c r="D4652" s="2">
        <v>109</v>
      </c>
    </row>
    <row r="4653" spans="1:4">
      <c r="A4653" s="2" t="s">
        <v>4702</v>
      </c>
      <c r="B4653" s="2" t="s">
        <v>36</v>
      </c>
      <c r="C4653" s="2" t="s">
        <v>36</v>
      </c>
      <c r="D4653" s="2">
        <v>109</v>
      </c>
    </row>
    <row r="4654" spans="1:4">
      <c r="A4654" s="2" t="s">
        <v>389</v>
      </c>
      <c r="B4654" s="2" t="s">
        <v>36</v>
      </c>
      <c r="C4654" s="2" t="s">
        <v>36</v>
      </c>
      <c r="D4654" s="2">
        <v>108</v>
      </c>
    </row>
    <row r="4655" spans="1:4">
      <c r="A4655" s="2" t="s">
        <v>2054</v>
      </c>
      <c r="B4655" s="2" t="s">
        <v>36</v>
      </c>
      <c r="C4655" s="2" t="s">
        <v>36</v>
      </c>
      <c r="D4655" s="2">
        <v>108</v>
      </c>
    </row>
    <row r="4656" spans="1:4">
      <c r="A4656" s="2" t="s">
        <v>4627</v>
      </c>
      <c r="B4656" s="2" t="s">
        <v>36</v>
      </c>
      <c r="C4656" s="2" t="s">
        <v>36</v>
      </c>
      <c r="D4656" s="2">
        <v>108</v>
      </c>
    </row>
    <row r="4657" spans="1:4">
      <c r="A4657" s="2" t="s">
        <v>3556</v>
      </c>
      <c r="B4657" s="2" t="s">
        <v>36</v>
      </c>
      <c r="C4657" s="2" t="s">
        <v>36</v>
      </c>
      <c r="D4657" s="2">
        <v>107</v>
      </c>
    </row>
    <row r="4658" spans="1:4">
      <c r="A4658" s="2" t="s">
        <v>3023</v>
      </c>
      <c r="B4658" s="2" t="s">
        <v>36</v>
      </c>
      <c r="C4658" s="2" t="s">
        <v>36</v>
      </c>
      <c r="D4658" s="2">
        <v>107</v>
      </c>
    </row>
    <row r="4659" spans="1:4">
      <c r="A4659" s="2" t="s">
        <v>2016</v>
      </c>
      <c r="B4659" s="2" t="s">
        <v>36</v>
      </c>
      <c r="C4659" s="2" t="s">
        <v>36</v>
      </c>
      <c r="D4659" s="2">
        <v>107</v>
      </c>
    </row>
    <row r="4660" spans="1:4">
      <c r="A4660" s="2" t="s">
        <v>2539</v>
      </c>
      <c r="B4660" s="2" t="s">
        <v>36</v>
      </c>
      <c r="C4660" s="2" t="s">
        <v>36</v>
      </c>
      <c r="D4660" s="2">
        <v>106</v>
      </c>
    </row>
    <row r="4661" spans="1:4">
      <c r="A4661" s="2" t="s">
        <v>3536</v>
      </c>
      <c r="B4661" s="2" t="s">
        <v>36</v>
      </c>
      <c r="C4661" s="2" t="s">
        <v>36</v>
      </c>
      <c r="D4661" s="2">
        <v>106</v>
      </c>
    </row>
    <row r="4662" spans="1:4">
      <c r="A4662" s="2" t="s">
        <v>1689</v>
      </c>
      <c r="B4662" s="2" t="s">
        <v>36</v>
      </c>
      <c r="C4662" s="2" t="s">
        <v>36</v>
      </c>
      <c r="D4662" s="2">
        <v>106</v>
      </c>
    </row>
    <row r="4663" spans="1:4">
      <c r="A4663" s="2" t="s">
        <v>1646</v>
      </c>
      <c r="B4663" s="2" t="s">
        <v>36</v>
      </c>
      <c r="C4663" s="2" t="s">
        <v>36</v>
      </c>
      <c r="D4663" s="2">
        <v>105</v>
      </c>
    </row>
    <row r="4664" spans="1:4">
      <c r="A4664" s="2" t="s">
        <v>3048</v>
      </c>
      <c r="B4664" s="2" t="s">
        <v>36</v>
      </c>
      <c r="C4664" s="2" t="s">
        <v>36</v>
      </c>
      <c r="D4664" s="2">
        <v>105</v>
      </c>
    </row>
    <row r="4665" spans="1:4">
      <c r="A4665" s="2" t="s">
        <v>3959</v>
      </c>
      <c r="B4665" s="2" t="s">
        <v>36</v>
      </c>
      <c r="C4665" s="2" t="s">
        <v>36</v>
      </c>
      <c r="D4665" s="2">
        <v>105</v>
      </c>
    </row>
    <row r="4666" spans="1:4">
      <c r="A4666" s="2" t="s">
        <v>2032</v>
      </c>
      <c r="B4666" s="2" t="s">
        <v>36</v>
      </c>
      <c r="C4666" s="2" t="s">
        <v>36</v>
      </c>
      <c r="D4666" s="2">
        <v>105</v>
      </c>
    </row>
    <row r="4667" spans="1:4">
      <c r="A4667" s="2" t="s">
        <v>3554</v>
      </c>
      <c r="B4667" s="2" t="s">
        <v>36</v>
      </c>
      <c r="C4667" s="2" t="s">
        <v>36</v>
      </c>
      <c r="D4667" s="2">
        <v>104</v>
      </c>
    </row>
    <row r="4668" spans="1:4">
      <c r="A4668" s="2" t="s">
        <v>2532</v>
      </c>
      <c r="B4668" s="2" t="s">
        <v>36</v>
      </c>
      <c r="C4668" s="2" t="s">
        <v>36</v>
      </c>
      <c r="D4668" s="2">
        <v>103</v>
      </c>
    </row>
    <row r="4669" spans="1:4">
      <c r="A4669" s="2" t="s">
        <v>4616</v>
      </c>
      <c r="B4669" s="2" t="s">
        <v>36</v>
      </c>
      <c r="C4669" s="2" t="s">
        <v>36</v>
      </c>
      <c r="D4669" s="2">
        <v>103</v>
      </c>
    </row>
    <row r="4670" spans="1:4">
      <c r="A4670" s="2" t="s">
        <v>1683</v>
      </c>
      <c r="B4670" s="2" t="s">
        <v>36</v>
      </c>
      <c r="C4670" s="2" t="s">
        <v>36</v>
      </c>
      <c r="D4670" s="2">
        <v>103</v>
      </c>
    </row>
    <row r="4671" spans="1:4">
      <c r="A4671" s="2" t="s">
        <v>4675</v>
      </c>
      <c r="B4671" s="2" t="s">
        <v>36</v>
      </c>
      <c r="C4671" s="2" t="s">
        <v>36</v>
      </c>
      <c r="D4671" s="2">
        <v>102</v>
      </c>
    </row>
    <row r="4672" spans="1:4">
      <c r="A4672" s="2" t="s">
        <v>2632</v>
      </c>
      <c r="B4672" s="2" t="s">
        <v>36</v>
      </c>
      <c r="C4672" s="2" t="s">
        <v>36</v>
      </c>
      <c r="D4672" s="2">
        <v>102</v>
      </c>
    </row>
    <row r="4673" spans="1:4">
      <c r="A4673" s="2" t="s">
        <v>3124</v>
      </c>
      <c r="B4673" s="2" t="s">
        <v>36</v>
      </c>
      <c r="C4673" s="2" t="s">
        <v>36</v>
      </c>
      <c r="D4673" s="2">
        <v>101</v>
      </c>
    </row>
    <row r="4674" spans="1:4">
      <c r="A4674" s="2" t="s">
        <v>385</v>
      </c>
      <c r="B4674" s="2" t="s">
        <v>36</v>
      </c>
      <c r="C4674" s="2" t="s">
        <v>36</v>
      </c>
      <c r="D4674" s="2">
        <v>101</v>
      </c>
    </row>
    <row r="4675" spans="1:4">
      <c r="A4675" s="2" t="s">
        <v>4319</v>
      </c>
      <c r="B4675" s="2" t="s">
        <v>36</v>
      </c>
      <c r="C4675" s="2" t="s">
        <v>36</v>
      </c>
      <c r="D4675" s="2">
        <v>100</v>
      </c>
    </row>
    <row r="4676" spans="1:4">
      <c r="A4676" s="2" t="s">
        <v>3515</v>
      </c>
      <c r="B4676" s="2" t="s">
        <v>36</v>
      </c>
      <c r="C4676" s="2" t="s">
        <v>36</v>
      </c>
      <c r="D4676" s="2">
        <v>99</v>
      </c>
    </row>
    <row r="4677" spans="1:4">
      <c r="A4677" s="2" t="s">
        <v>4320</v>
      </c>
      <c r="B4677" s="2" t="s">
        <v>36</v>
      </c>
      <c r="C4677" s="2" t="s">
        <v>36</v>
      </c>
      <c r="D4677" s="2">
        <v>99</v>
      </c>
    </row>
    <row r="4678" spans="1:4">
      <c r="A4678" s="2" t="s">
        <v>312</v>
      </c>
      <c r="B4678" s="2" t="s">
        <v>36</v>
      </c>
      <c r="C4678" s="2" t="s">
        <v>36</v>
      </c>
      <c r="D4678" s="2">
        <v>99</v>
      </c>
    </row>
    <row r="4679" spans="1:4">
      <c r="A4679" s="2" t="s">
        <v>2028</v>
      </c>
      <c r="B4679" s="2" t="s">
        <v>36</v>
      </c>
      <c r="C4679" s="2" t="s">
        <v>36</v>
      </c>
      <c r="D4679" s="2">
        <v>99</v>
      </c>
    </row>
    <row r="4680" spans="1:4">
      <c r="A4680" s="2" t="s">
        <v>4701</v>
      </c>
      <c r="B4680" s="2" t="s">
        <v>36</v>
      </c>
      <c r="C4680" s="2" t="s">
        <v>36</v>
      </c>
      <c r="D4680" s="2">
        <v>99</v>
      </c>
    </row>
    <row r="4681" spans="1:4">
      <c r="A4681" s="2" t="s">
        <v>4311</v>
      </c>
      <c r="B4681" s="2" t="s">
        <v>36</v>
      </c>
      <c r="C4681" s="2" t="s">
        <v>36</v>
      </c>
      <c r="D4681" s="2">
        <v>98</v>
      </c>
    </row>
    <row r="4682" spans="1:4">
      <c r="A4682" s="2" t="s">
        <v>354</v>
      </c>
      <c r="B4682" s="2" t="s">
        <v>36</v>
      </c>
      <c r="C4682" s="2" t="s">
        <v>36</v>
      </c>
      <c r="D4682" s="2">
        <v>98</v>
      </c>
    </row>
    <row r="4683" spans="1:4">
      <c r="A4683" s="2" t="s">
        <v>1997</v>
      </c>
      <c r="B4683" s="2" t="s">
        <v>36</v>
      </c>
      <c r="C4683" s="2" t="s">
        <v>36</v>
      </c>
      <c r="D4683" s="2">
        <v>98</v>
      </c>
    </row>
    <row r="4684" spans="1:4">
      <c r="A4684" s="2" t="s">
        <v>4652</v>
      </c>
      <c r="B4684" s="2" t="s">
        <v>36</v>
      </c>
      <c r="C4684" s="2" t="s">
        <v>36</v>
      </c>
      <c r="D4684" s="2">
        <v>98</v>
      </c>
    </row>
    <row r="4685" spans="1:4">
      <c r="A4685" s="2" t="s">
        <v>4670</v>
      </c>
      <c r="B4685" s="2" t="s">
        <v>36</v>
      </c>
      <c r="C4685" s="2" t="s">
        <v>36</v>
      </c>
      <c r="D4685" s="2">
        <v>97</v>
      </c>
    </row>
    <row r="4686" spans="1:4">
      <c r="A4686" s="2" t="s">
        <v>4325</v>
      </c>
      <c r="B4686" s="2" t="s">
        <v>36</v>
      </c>
      <c r="C4686" s="2" t="s">
        <v>36</v>
      </c>
      <c r="D4686" s="2">
        <v>97</v>
      </c>
    </row>
    <row r="4687" spans="1:4">
      <c r="A4687" s="2" t="s">
        <v>1138</v>
      </c>
      <c r="B4687" s="2" t="s">
        <v>36</v>
      </c>
      <c r="C4687" s="2" t="s">
        <v>36</v>
      </c>
      <c r="D4687" s="2">
        <v>97</v>
      </c>
    </row>
    <row r="4688" spans="1:4">
      <c r="A4688" s="2" t="s">
        <v>3572</v>
      </c>
      <c r="B4688" s="2" t="s">
        <v>36</v>
      </c>
      <c r="C4688" s="2" t="s">
        <v>36</v>
      </c>
      <c r="D4688" s="2">
        <v>97</v>
      </c>
    </row>
    <row r="4689" spans="1:4">
      <c r="A4689" s="2" t="s">
        <v>2002</v>
      </c>
      <c r="B4689" s="2" t="s">
        <v>36</v>
      </c>
      <c r="C4689" s="2" t="s">
        <v>36</v>
      </c>
      <c r="D4689" s="2">
        <v>97</v>
      </c>
    </row>
    <row r="4690" spans="1:4">
      <c r="A4690" s="2" t="s">
        <v>2544</v>
      </c>
      <c r="B4690" s="2" t="s">
        <v>36</v>
      </c>
      <c r="C4690" s="2" t="s">
        <v>36</v>
      </c>
      <c r="D4690" s="2">
        <v>96</v>
      </c>
    </row>
    <row r="4691" spans="1:4">
      <c r="A4691" s="2" t="s">
        <v>415</v>
      </c>
      <c r="B4691" s="2" t="s">
        <v>36</v>
      </c>
      <c r="C4691" s="2" t="s">
        <v>36</v>
      </c>
      <c r="D4691" s="2">
        <v>96</v>
      </c>
    </row>
    <row r="4692" spans="1:4">
      <c r="A4692" s="2" t="s">
        <v>1988</v>
      </c>
      <c r="B4692" s="2" t="s">
        <v>36</v>
      </c>
      <c r="C4692" s="2" t="s">
        <v>36</v>
      </c>
      <c r="D4692" s="2">
        <v>96</v>
      </c>
    </row>
    <row r="4693" spans="1:4">
      <c r="A4693" s="2" t="s">
        <v>1682</v>
      </c>
      <c r="B4693" s="2" t="s">
        <v>36</v>
      </c>
      <c r="C4693" s="2" t="s">
        <v>36</v>
      </c>
      <c r="D4693" s="2">
        <v>96</v>
      </c>
    </row>
    <row r="4694" spans="1:4">
      <c r="A4694" s="2" t="s">
        <v>3090</v>
      </c>
      <c r="B4694" s="2" t="s">
        <v>36</v>
      </c>
      <c r="C4694" s="2" t="s">
        <v>36</v>
      </c>
      <c r="D4694" s="2">
        <v>95</v>
      </c>
    </row>
    <row r="4695" spans="1:4">
      <c r="A4695" s="2" t="s">
        <v>4685</v>
      </c>
      <c r="B4695" s="2" t="s">
        <v>36</v>
      </c>
      <c r="C4695" s="2" t="s">
        <v>36</v>
      </c>
      <c r="D4695" s="2">
        <v>95</v>
      </c>
    </row>
    <row r="4696" spans="1:4">
      <c r="A4696" s="2" t="s">
        <v>2530</v>
      </c>
      <c r="B4696" s="2" t="s">
        <v>36</v>
      </c>
      <c r="C4696" s="2" t="s">
        <v>36</v>
      </c>
      <c r="D4696" s="2">
        <v>94</v>
      </c>
    </row>
    <row r="4697" spans="1:4">
      <c r="A4697" s="2" t="s">
        <v>4660</v>
      </c>
      <c r="B4697" s="2" t="s">
        <v>36</v>
      </c>
      <c r="C4697" s="2" t="s">
        <v>36</v>
      </c>
      <c r="D4697" s="2">
        <v>94</v>
      </c>
    </row>
    <row r="4698" spans="1:4">
      <c r="A4698" s="2" t="s">
        <v>4271</v>
      </c>
      <c r="B4698" s="2" t="s">
        <v>36</v>
      </c>
      <c r="C4698" s="2" t="s">
        <v>36</v>
      </c>
      <c r="D4698" s="2">
        <v>94</v>
      </c>
    </row>
    <row r="4699" spans="1:4">
      <c r="A4699" s="2" t="s">
        <v>4312</v>
      </c>
      <c r="B4699" s="2" t="s">
        <v>36</v>
      </c>
      <c r="C4699" s="2" t="s">
        <v>36</v>
      </c>
      <c r="D4699" s="2">
        <v>93</v>
      </c>
    </row>
    <row r="4700" spans="1:4">
      <c r="A4700" s="2" t="s">
        <v>1654</v>
      </c>
      <c r="B4700" s="2" t="s">
        <v>36</v>
      </c>
      <c r="C4700" s="2" t="s">
        <v>36</v>
      </c>
      <c r="D4700" s="2">
        <v>93</v>
      </c>
    </row>
    <row r="4701" spans="1:4">
      <c r="A4701" s="2" t="s">
        <v>1175</v>
      </c>
      <c r="B4701" s="2" t="s">
        <v>36</v>
      </c>
      <c r="C4701" s="2" t="s">
        <v>36</v>
      </c>
      <c r="D4701" s="2">
        <v>93</v>
      </c>
    </row>
    <row r="4702" spans="1:4">
      <c r="A4702" s="2" t="s">
        <v>2029</v>
      </c>
      <c r="B4702" s="2" t="s">
        <v>36</v>
      </c>
      <c r="C4702" s="2" t="s">
        <v>36</v>
      </c>
      <c r="D4702" s="2">
        <v>93</v>
      </c>
    </row>
    <row r="4703" spans="1:4">
      <c r="A4703" s="2" t="s">
        <v>3118</v>
      </c>
      <c r="B4703" s="2" t="s">
        <v>36</v>
      </c>
      <c r="C4703" s="2" t="s">
        <v>36</v>
      </c>
      <c r="D4703" s="2">
        <v>93</v>
      </c>
    </row>
    <row r="4704" spans="1:4">
      <c r="A4704" s="2" t="s">
        <v>2040</v>
      </c>
      <c r="B4704" s="2" t="s">
        <v>36</v>
      </c>
      <c r="C4704" s="2" t="s">
        <v>36</v>
      </c>
      <c r="D4704" s="2">
        <v>92</v>
      </c>
    </row>
    <row r="4705" spans="1:4">
      <c r="A4705" s="2" t="s">
        <v>4593</v>
      </c>
      <c r="B4705" s="2" t="s">
        <v>36</v>
      </c>
      <c r="C4705" s="2" t="s">
        <v>36</v>
      </c>
      <c r="D4705" s="2">
        <v>92</v>
      </c>
    </row>
    <row r="4706" spans="1:4">
      <c r="A4706" s="2" t="s">
        <v>2067</v>
      </c>
      <c r="B4706" s="2" t="s">
        <v>36</v>
      </c>
      <c r="C4706" s="2" t="s">
        <v>36</v>
      </c>
      <c r="D4706" s="2">
        <v>91</v>
      </c>
    </row>
    <row r="4707" spans="1:4">
      <c r="A4707" s="2" t="s">
        <v>2008</v>
      </c>
      <c r="B4707" s="2" t="s">
        <v>36</v>
      </c>
      <c r="C4707" s="2" t="s">
        <v>36</v>
      </c>
      <c r="D4707" s="2">
        <v>91</v>
      </c>
    </row>
    <row r="4708" spans="1:4">
      <c r="A4708" s="2" t="s">
        <v>4656</v>
      </c>
      <c r="B4708" s="2" t="s">
        <v>36</v>
      </c>
      <c r="C4708" s="2" t="s">
        <v>36</v>
      </c>
      <c r="D4708" s="2">
        <v>91</v>
      </c>
    </row>
    <row r="4709" spans="1:4">
      <c r="A4709" s="2" t="s">
        <v>3920</v>
      </c>
      <c r="B4709" s="2" t="s">
        <v>36</v>
      </c>
      <c r="C4709" s="2" t="s">
        <v>36</v>
      </c>
      <c r="D4709" s="2">
        <v>91</v>
      </c>
    </row>
    <row r="4710" spans="1:4">
      <c r="A4710" s="2" t="s">
        <v>2634</v>
      </c>
      <c r="B4710" s="2" t="s">
        <v>36</v>
      </c>
      <c r="C4710" s="2" t="s">
        <v>36</v>
      </c>
      <c r="D4710" s="2">
        <v>90</v>
      </c>
    </row>
    <row r="4711" spans="1:4">
      <c r="A4711" s="2" t="s">
        <v>2528</v>
      </c>
      <c r="B4711" s="2" t="s">
        <v>36</v>
      </c>
      <c r="C4711" s="2" t="s">
        <v>36</v>
      </c>
      <c r="D4711" s="2">
        <v>90</v>
      </c>
    </row>
    <row r="4712" spans="1:4">
      <c r="A4712" s="2" t="s">
        <v>2013</v>
      </c>
      <c r="B4712" s="2" t="s">
        <v>36</v>
      </c>
      <c r="C4712" s="2" t="s">
        <v>36</v>
      </c>
      <c r="D4712" s="2">
        <v>90</v>
      </c>
    </row>
    <row r="4713" spans="1:4">
      <c r="A4713" s="2" t="s">
        <v>375</v>
      </c>
      <c r="B4713" s="2" t="s">
        <v>36</v>
      </c>
      <c r="C4713" s="2" t="s">
        <v>36</v>
      </c>
      <c r="D4713" s="2">
        <v>89</v>
      </c>
    </row>
    <row r="4714" spans="1:4">
      <c r="A4714" s="2" t="s">
        <v>1628</v>
      </c>
      <c r="B4714" s="2" t="s">
        <v>36</v>
      </c>
      <c r="C4714" s="2" t="s">
        <v>36</v>
      </c>
      <c r="D4714" s="2">
        <v>89</v>
      </c>
    </row>
    <row r="4715" spans="1:4">
      <c r="A4715" s="2" t="s">
        <v>3521</v>
      </c>
      <c r="B4715" s="2" t="s">
        <v>36</v>
      </c>
      <c r="C4715" s="2" t="s">
        <v>36</v>
      </c>
      <c r="D4715" s="2">
        <v>89</v>
      </c>
    </row>
    <row r="4716" spans="1:4">
      <c r="A4716" s="2" t="s">
        <v>1197</v>
      </c>
      <c r="B4716" s="2" t="s">
        <v>36</v>
      </c>
      <c r="C4716" s="2" t="s">
        <v>36</v>
      </c>
      <c r="D4716" s="2">
        <v>89</v>
      </c>
    </row>
    <row r="4717" spans="1:4">
      <c r="A4717" s="2" t="s">
        <v>2565</v>
      </c>
      <c r="B4717" s="2" t="s">
        <v>36</v>
      </c>
      <c r="C4717" s="2" t="s">
        <v>36</v>
      </c>
      <c r="D4717" s="2">
        <v>88</v>
      </c>
    </row>
    <row r="4718" spans="1:4">
      <c r="A4718" s="2" t="s">
        <v>3063</v>
      </c>
      <c r="B4718" s="2" t="s">
        <v>36</v>
      </c>
      <c r="C4718" s="2" t="s">
        <v>36</v>
      </c>
      <c r="D4718" s="2">
        <v>88</v>
      </c>
    </row>
    <row r="4719" spans="1:4">
      <c r="A4719" s="2" t="s">
        <v>4629</v>
      </c>
      <c r="B4719" s="2" t="s">
        <v>36</v>
      </c>
      <c r="C4719" s="2" t="s">
        <v>36</v>
      </c>
      <c r="D4719" s="2">
        <v>88</v>
      </c>
    </row>
    <row r="4720" spans="1:4">
      <c r="A4720" s="2" t="s">
        <v>2597</v>
      </c>
      <c r="B4720" s="2" t="s">
        <v>36</v>
      </c>
      <c r="C4720" s="2" t="s">
        <v>36</v>
      </c>
      <c r="D4720" s="2">
        <v>87</v>
      </c>
    </row>
    <row r="4721" spans="1:4">
      <c r="A4721" s="2" t="s">
        <v>1636</v>
      </c>
      <c r="B4721" s="2" t="s">
        <v>36</v>
      </c>
      <c r="C4721" s="2" t="s">
        <v>36</v>
      </c>
      <c r="D4721" s="2">
        <v>87</v>
      </c>
    </row>
    <row r="4722" spans="1:4">
      <c r="A4722" s="2" t="s">
        <v>2020</v>
      </c>
      <c r="B4722" s="2" t="s">
        <v>36</v>
      </c>
      <c r="C4722" s="2" t="s">
        <v>36</v>
      </c>
      <c r="D4722" s="2">
        <v>87</v>
      </c>
    </row>
    <row r="4723" spans="1:4">
      <c r="A4723" s="2" t="s">
        <v>3583</v>
      </c>
      <c r="B4723" s="2" t="s">
        <v>36</v>
      </c>
      <c r="C4723" s="2" t="s">
        <v>36</v>
      </c>
      <c r="D4723" s="2">
        <v>87</v>
      </c>
    </row>
    <row r="4724" spans="1:4">
      <c r="A4724" s="2" t="s">
        <v>4684</v>
      </c>
      <c r="B4724" s="2" t="s">
        <v>36</v>
      </c>
      <c r="C4724" s="2" t="s">
        <v>36</v>
      </c>
      <c r="D4724" s="2">
        <v>86</v>
      </c>
    </row>
    <row r="4725" spans="1:4">
      <c r="A4725" s="2" t="s">
        <v>4577</v>
      </c>
      <c r="B4725" s="2" t="s">
        <v>36</v>
      </c>
      <c r="C4725" s="2" t="s">
        <v>36</v>
      </c>
      <c r="D4725" s="2">
        <v>86</v>
      </c>
    </row>
    <row r="4726" spans="1:4">
      <c r="A4726" s="2" t="s">
        <v>3551</v>
      </c>
      <c r="B4726" s="2" t="s">
        <v>36</v>
      </c>
      <c r="C4726" s="2" t="s">
        <v>36</v>
      </c>
      <c r="D4726" s="2">
        <v>85</v>
      </c>
    </row>
    <row r="4727" spans="1:4">
      <c r="A4727" s="2" t="s">
        <v>3525</v>
      </c>
      <c r="B4727" s="2" t="s">
        <v>36</v>
      </c>
      <c r="C4727" s="2" t="s">
        <v>36</v>
      </c>
      <c r="D4727" s="2">
        <v>85</v>
      </c>
    </row>
    <row r="4728" spans="1:4">
      <c r="A4728" s="2" t="s">
        <v>3566</v>
      </c>
      <c r="B4728" s="2" t="s">
        <v>36</v>
      </c>
      <c r="C4728" s="2" t="s">
        <v>36</v>
      </c>
      <c r="D4728" s="2">
        <v>84</v>
      </c>
    </row>
    <row r="4729" spans="1:4">
      <c r="A4729" s="2" t="s">
        <v>2057</v>
      </c>
      <c r="B4729" s="2" t="s">
        <v>36</v>
      </c>
      <c r="C4729" s="2" t="s">
        <v>36</v>
      </c>
      <c r="D4729" s="2">
        <v>84</v>
      </c>
    </row>
    <row r="4730" spans="1:4">
      <c r="A4730" s="2" t="s">
        <v>4342</v>
      </c>
      <c r="B4730" s="2" t="s">
        <v>36</v>
      </c>
      <c r="C4730" s="2" t="s">
        <v>36</v>
      </c>
      <c r="D4730" s="2">
        <v>84</v>
      </c>
    </row>
    <row r="4731" spans="1:4">
      <c r="A4731" s="2" t="s">
        <v>2583</v>
      </c>
      <c r="B4731" s="2" t="s">
        <v>36</v>
      </c>
      <c r="C4731" s="2" t="s">
        <v>36</v>
      </c>
      <c r="D4731" s="2">
        <v>83</v>
      </c>
    </row>
    <row r="4732" spans="1:4">
      <c r="A4732" s="2" t="s">
        <v>4331</v>
      </c>
      <c r="B4732" s="2" t="s">
        <v>36</v>
      </c>
      <c r="C4732" s="2" t="s">
        <v>36</v>
      </c>
      <c r="D4732" s="2">
        <v>83</v>
      </c>
    </row>
    <row r="4733" spans="1:4">
      <c r="A4733" s="2" t="s">
        <v>4599</v>
      </c>
      <c r="B4733" s="2" t="s">
        <v>36</v>
      </c>
      <c r="C4733" s="2" t="s">
        <v>36</v>
      </c>
      <c r="D4733" s="2">
        <v>83</v>
      </c>
    </row>
    <row r="4734" spans="1:4">
      <c r="A4734" s="2" t="s">
        <v>3944</v>
      </c>
      <c r="B4734" s="2" t="s">
        <v>36</v>
      </c>
      <c r="C4734" s="2" t="s">
        <v>36</v>
      </c>
      <c r="D4734" s="2">
        <v>83</v>
      </c>
    </row>
    <row r="4735" spans="1:4">
      <c r="A4735" s="2" t="s">
        <v>2058</v>
      </c>
      <c r="B4735" s="2" t="s">
        <v>36</v>
      </c>
      <c r="C4735" s="2" t="s">
        <v>36</v>
      </c>
      <c r="D4735" s="2">
        <v>82</v>
      </c>
    </row>
    <row r="4736" spans="1:4">
      <c r="A4736" s="2" t="s">
        <v>305</v>
      </c>
      <c r="B4736" s="2" t="s">
        <v>36</v>
      </c>
      <c r="C4736" s="2" t="s">
        <v>36</v>
      </c>
      <c r="D4736" s="2">
        <v>81</v>
      </c>
    </row>
    <row r="4737" spans="1:4">
      <c r="A4737" s="2" t="s">
        <v>3939</v>
      </c>
      <c r="B4737" s="2" t="s">
        <v>36</v>
      </c>
      <c r="C4737" s="2" t="s">
        <v>36</v>
      </c>
      <c r="D4737" s="2">
        <v>80</v>
      </c>
    </row>
    <row r="4738" spans="1:4">
      <c r="A4738" s="2" t="s">
        <v>3524</v>
      </c>
      <c r="B4738" s="2" t="s">
        <v>36</v>
      </c>
      <c r="C4738" s="2" t="s">
        <v>36</v>
      </c>
      <c r="D4738" s="2">
        <v>80</v>
      </c>
    </row>
    <row r="4739" spans="1:4">
      <c r="A4739" s="2" t="s">
        <v>339</v>
      </c>
      <c r="B4739" s="2" t="s">
        <v>36</v>
      </c>
      <c r="C4739" s="2" t="s">
        <v>36</v>
      </c>
      <c r="D4739" s="2">
        <v>80</v>
      </c>
    </row>
    <row r="4740" spans="1:4">
      <c r="A4740" s="2" t="s">
        <v>4693</v>
      </c>
      <c r="B4740" s="2" t="s">
        <v>36</v>
      </c>
      <c r="C4740" s="2" t="s">
        <v>36</v>
      </c>
      <c r="D4740" s="2">
        <v>79</v>
      </c>
    </row>
    <row r="4741" spans="1:4">
      <c r="A4741" s="2" t="s">
        <v>2047</v>
      </c>
      <c r="B4741" s="2" t="s">
        <v>36</v>
      </c>
      <c r="C4741" s="2" t="s">
        <v>36</v>
      </c>
      <c r="D4741" s="2">
        <v>79</v>
      </c>
    </row>
    <row r="4742" spans="1:4">
      <c r="A4742" s="2" t="s">
        <v>4587</v>
      </c>
      <c r="B4742" s="2" t="s">
        <v>36</v>
      </c>
      <c r="C4742" s="2" t="s">
        <v>36</v>
      </c>
      <c r="D4742" s="2">
        <v>79</v>
      </c>
    </row>
    <row r="4743" spans="1:4">
      <c r="A4743" s="2" t="s">
        <v>4296</v>
      </c>
      <c r="B4743" s="2" t="s">
        <v>36</v>
      </c>
      <c r="C4743" s="2" t="s">
        <v>36</v>
      </c>
      <c r="D4743" s="2">
        <v>78</v>
      </c>
    </row>
    <row r="4744" spans="1:4">
      <c r="A4744" s="2" t="s">
        <v>331</v>
      </c>
      <c r="B4744" s="2" t="s">
        <v>36</v>
      </c>
      <c r="C4744" s="2" t="s">
        <v>36</v>
      </c>
      <c r="D4744" s="2">
        <v>78</v>
      </c>
    </row>
    <row r="4745" spans="1:4">
      <c r="A4745" s="2" t="s">
        <v>4579</v>
      </c>
      <c r="B4745" s="2" t="s">
        <v>36</v>
      </c>
      <c r="C4745" s="2" t="s">
        <v>36</v>
      </c>
      <c r="D4745" s="2">
        <v>78</v>
      </c>
    </row>
    <row r="4746" spans="1:4">
      <c r="A4746" s="2" t="s">
        <v>1658</v>
      </c>
      <c r="B4746" s="2" t="s">
        <v>36</v>
      </c>
      <c r="C4746" s="2" t="s">
        <v>36</v>
      </c>
      <c r="D4746" s="2">
        <v>77</v>
      </c>
    </row>
    <row r="4747" spans="1:4">
      <c r="A4747" s="2" t="s">
        <v>2063</v>
      </c>
      <c r="B4747" s="2" t="s">
        <v>36</v>
      </c>
      <c r="C4747" s="2" t="s">
        <v>36</v>
      </c>
      <c r="D4747" s="2">
        <v>77</v>
      </c>
    </row>
    <row r="4748" spans="1:4">
      <c r="A4748" s="2" t="s">
        <v>3545</v>
      </c>
      <c r="B4748" s="2" t="s">
        <v>36</v>
      </c>
      <c r="C4748" s="2" t="s">
        <v>36</v>
      </c>
      <c r="D4748" s="2">
        <v>76</v>
      </c>
    </row>
    <row r="4749" spans="1:4">
      <c r="A4749" s="2" t="s">
        <v>1167</v>
      </c>
      <c r="B4749" s="2" t="s">
        <v>36</v>
      </c>
      <c r="C4749" s="2" t="s">
        <v>36</v>
      </c>
      <c r="D4749" s="2">
        <v>75</v>
      </c>
    </row>
    <row r="4750" spans="1:4">
      <c r="A4750" s="2" t="s">
        <v>360</v>
      </c>
      <c r="B4750" s="2" t="s">
        <v>36</v>
      </c>
      <c r="C4750" s="2" t="s">
        <v>36</v>
      </c>
      <c r="D4750" s="2">
        <v>75</v>
      </c>
    </row>
    <row r="4751" spans="1:4">
      <c r="A4751" s="2" t="s">
        <v>3530</v>
      </c>
      <c r="B4751" s="2" t="s">
        <v>36</v>
      </c>
      <c r="C4751" s="2" t="s">
        <v>36</v>
      </c>
      <c r="D4751" s="2">
        <v>75</v>
      </c>
    </row>
    <row r="4752" spans="1:4">
      <c r="A4752" s="2" t="s">
        <v>4654</v>
      </c>
      <c r="B4752" s="2" t="s">
        <v>36</v>
      </c>
      <c r="C4752" s="2" t="s">
        <v>36</v>
      </c>
      <c r="D4752" s="2">
        <v>75</v>
      </c>
    </row>
    <row r="4753" spans="1:4">
      <c r="A4753" s="2" t="s">
        <v>4643</v>
      </c>
      <c r="B4753" s="2" t="s">
        <v>36</v>
      </c>
      <c r="C4753" s="2" t="s">
        <v>36</v>
      </c>
      <c r="D4753" s="2">
        <v>75</v>
      </c>
    </row>
    <row r="4754" spans="1:4">
      <c r="A4754" s="2" t="s">
        <v>3029</v>
      </c>
      <c r="B4754" s="2" t="s">
        <v>36</v>
      </c>
      <c r="C4754" s="2" t="s">
        <v>36</v>
      </c>
      <c r="D4754" s="2">
        <v>75</v>
      </c>
    </row>
    <row r="4755" spans="1:4">
      <c r="A4755" s="2" t="s">
        <v>2546</v>
      </c>
      <c r="B4755" s="2" t="s">
        <v>36</v>
      </c>
      <c r="C4755" s="2" t="s">
        <v>36</v>
      </c>
      <c r="D4755" s="2">
        <v>74</v>
      </c>
    </row>
    <row r="4756" spans="1:4">
      <c r="A4756" s="2" t="s">
        <v>3930</v>
      </c>
      <c r="B4756" s="2" t="s">
        <v>36</v>
      </c>
      <c r="C4756" s="2" t="s">
        <v>36</v>
      </c>
      <c r="D4756" s="2">
        <v>73</v>
      </c>
    </row>
    <row r="4757" spans="1:4">
      <c r="A4757" s="2" t="s">
        <v>395</v>
      </c>
      <c r="B4757" s="2" t="s">
        <v>36</v>
      </c>
      <c r="C4757" s="2" t="s">
        <v>36</v>
      </c>
      <c r="D4757" s="2">
        <v>73</v>
      </c>
    </row>
    <row r="4758" spans="1:4">
      <c r="A4758" s="2" t="s">
        <v>4665</v>
      </c>
      <c r="B4758" s="2" t="s">
        <v>36</v>
      </c>
      <c r="C4758" s="2" t="s">
        <v>36</v>
      </c>
      <c r="D4758" s="2">
        <v>73</v>
      </c>
    </row>
    <row r="4759" spans="1:4">
      <c r="A4759" s="2" t="s">
        <v>3036</v>
      </c>
      <c r="B4759" s="2" t="s">
        <v>36</v>
      </c>
      <c r="C4759" s="2" t="s">
        <v>36</v>
      </c>
      <c r="D4759" s="2">
        <v>72</v>
      </c>
    </row>
    <row r="4760" spans="1:4">
      <c r="A4760" s="2" t="s">
        <v>4648</v>
      </c>
      <c r="B4760" s="2" t="s">
        <v>36</v>
      </c>
      <c r="C4760" s="2" t="s">
        <v>36</v>
      </c>
      <c r="D4760" s="2">
        <v>72</v>
      </c>
    </row>
    <row r="4761" spans="1:4">
      <c r="A4761" s="2" t="s">
        <v>2078</v>
      </c>
      <c r="B4761" s="2" t="s">
        <v>36</v>
      </c>
      <c r="C4761" s="2" t="s">
        <v>36</v>
      </c>
      <c r="D4761" s="2">
        <v>71</v>
      </c>
    </row>
    <row r="4762" spans="1:4">
      <c r="A4762" s="2" t="s">
        <v>4704</v>
      </c>
      <c r="B4762" s="2" t="s">
        <v>36</v>
      </c>
      <c r="C4762" s="2" t="s">
        <v>36</v>
      </c>
      <c r="D4762" s="2">
        <v>71</v>
      </c>
    </row>
    <row r="4763" spans="1:4">
      <c r="A4763" s="2" t="s">
        <v>2076</v>
      </c>
      <c r="B4763" s="2" t="s">
        <v>36</v>
      </c>
      <c r="C4763" s="2" t="s">
        <v>36</v>
      </c>
      <c r="D4763" s="2">
        <v>70</v>
      </c>
    </row>
    <row r="4764" spans="1:4">
      <c r="A4764" s="2" t="s">
        <v>4589</v>
      </c>
      <c r="B4764" s="2" t="s">
        <v>36</v>
      </c>
      <c r="C4764" s="2" t="s">
        <v>36</v>
      </c>
      <c r="D4764" s="2">
        <v>70</v>
      </c>
    </row>
    <row r="4765" spans="1:4">
      <c r="A4765" s="2" t="s">
        <v>2041</v>
      </c>
      <c r="B4765" s="2" t="s">
        <v>36</v>
      </c>
      <c r="C4765" s="2" t="s">
        <v>36</v>
      </c>
      <c r="D4765" s="2">
        <v>69</v>
      </c>
    </row>
    <row r="4766" spans="1:4">
      <c r="A4766" s="2" t="s">
        <v>3046</v>
      </c>
      <c r="B4766" s="2" t="s">
        <v>36</v>
      </c>
      <c r="C4766" s="2" t="s">
        <v>36</v>
      </c>
      <c r="D4766" s="2">
        <v>68</v>
      </c>
    </row>
    <row r="4767" spans="1:4">
      <c r="A4767" s="2" t="s">
        <v>3511</v>
      </c>
      <c r="B4767" s="2" t="s">
        <v>36</v>
      </c>
      <c r="C4767" s="2" t="s">
        <v>36</v>
      </c>
      <c r="D4767" s="2">
        <v>68</v>
      </c>
    </row>
    <row r="4768" spans="1:4">
      <c r="A4768" s="2" t="s">
        <v>3538</v>
      </c>
      <c r="B4768" s="2" t="s">
        <v>36</v>
      </c>
      <c r="C4768" s="2" t="s">
        <v>36</v>
      </c>
      <c r="D4768" s="2">
        <v>67</v>
      </c>
    </row>
    <row r="4769" spans="1:4">
      <c r="A4769" s="2" t="s">
        <v>3044</v>
      </c>
      <c r="B4769" s="2" t="s">
        <v>36</v>
      </c>
      <c r="C4769" s="2" t="s">
        <v>36</v>
      </c>
      <c r="D4769" s="2">
        <v>67</v>
      </c>
    </row>
    <row r="4770" spans="1:4">
      <c r="A4770" s="2" t="s">
        <v>2017</v>
      </c>
      <c r="B4770" s="2" t="s">
        <v>36</v>
      </c>
      <c r="C4770" s="2" t="s">
        <v>36</v>
      </c>
      <c r="D4770" s="2">
        <v>67</v>
      </c>
    </row>
    <row r="4771" spans="1:4">
      <c r="A4771" s="2" t="s">
        <v>4700</v>
      </c>
      <c r="B4771" s="2" t="s">
        <v>36</v>
      </c>
      <c r="C4771" s="2" t="s">
        <v>36</v>
      </c>
      <c r="D4771" s="2">
        <v>67</v>
      </c>
    </row>
    <row r="4772" spans="1:4">
      <c r="A4772" s="2" t="s">
        <v>3909</v>
      </c>
      <c r="B4772" s="2" t="s">
        <v>36</v>
      </c>
      <c r="C4772" s="2" t="s">
        <v>36</v>
      </c>
      <c r="D4772" s="2">
        <v>67</v>
      </c>
    </row>
    <row r="4773" spans="1:4">
      <c r="A4773" s="2" t="s">
        <v>4595</v>
      </c>
      <c r="B4773" s="2" t="s">
        <v>36</v>
      </c>
      <c r="C4773" s="2" t="s">
        <v>36</v>
      </c>
      <c r="D4773" s="2">
        <v>66</v>
      </c>
    </row>
    <row r="4774" spans="1:4">
      <c r="A4774" s="2" t="s">
        <v>3532</v>
      </c>
      <c r="B4774" s="2" t="s">
        <v>36</v>
      </c>
      <c r="C4774" s="2" t="s">
        <v>36</v>
      </c>
      <c r="D4774" s="2">
        <v>66</v>
      </c>
    </row>
    <row r="4775" spans="1:4">
      <c r="A4775" s="2" t="s">
        <v>3084</v>
      </c>
      <c r="B4775" s="2" t="s">
        <v>36</v>
      </c>
      <c r="C4775" s="2" t="s">
        <v>36</v>
      </c>
      <c r="D4775" s="2">
        <v>65</v>
      </c>
    </row>
    <row r="4776" spans="1:4">
      <c r="A4776" s="2" t="s">
        <v>1127</v>
      </c>
      <c r="B4776" s="2" t="s">
        <v>36</v>
      </c>
      <c r="C4776" s="2" t="s">
        <v>36</v>
      </c>
      <c r="D4776" s="2">
        <v>65</v>
      </c>
    </row>
    <row r="4777" spans="1:4">
      <c r="A4777" s="2" t="s">
        <v>4686</v>
      </c>
      <c r="B4777" s="2" t="s">
        <v>36</v>
      </c>
      <c r="C4777" s="2" t="s">
        <v>36</v>
      </c>
      <c r="D4777" s="2">
        <v>65</v>
      </c>
    </row>
    <row r="4778" spans="1:4">
      <c r="A4778" s="2" t="s">
        <v>3045</v>
      </c>
      <c r="B4778" s="2" t="s">
        <v>36</v>
      </c>
      <c r="C4778" s="2" t="s">
        <v>36</v>
      </c>
      <c r="D4778" s="2">
        <v>64</v>
      </c>
    </row>
    <row r="4779" spans="1:4">
      <c r="A4779" s="2" t="s">
        <v>2599</v>
      </c>
      <c r="B4779" s="2" t="s">
        <v>36</v>
      </c>
      <c r="C4779" s="2" t="s">
        <v>36</v>
      </c>
      <c r="D4779" s="2">
        <v>64</v>
      </c>
    </row>
    <row r="4780" spans="1:4">
      <c r="A4780" s="2" t="s">
        <v>2541</v>
      </c>
      <c r="B4780" s="2" t="s">
        <v>36</v>
      </c>
      <c r="C4780" s="2" t="s">
        <v>36</v>
      </c>
      <c r="D4780" s="2">
        <v>63</v>
      </c>
    </row>
    <row r="4781" spans="1:4">
      <c r="A4781" s="2" t="s">
        <v>1643</v>
      </c>
      <c r="B4781" s="2" t="s">
        <v>36</v>
      </c>
      <c r="C4781" s="2" t="s">
        <v>36</v>
      </c>
      <c r="D4781" s="2">
        <v>63</v>
      </c>
    </row>
    <row r="4782" spans="1:4">
      <c r="A4782" s="2" t="s">
        <v>3926</v>
      </c>
      <c r="B4782" s="2" t="s">
        <v>36</v>
      </c>
      <c r="C4782" s="2" t="s">
        <v>36</v>
      </c>
      <c r="D4782" s="2">
        <v>63</v>
      </c>
    </row>
    <row r="4783" spans="1:4">
      <c r="A4783" s="2" t="s">
        <v>4327</v>
      </c>
      <c r="B4783" s="2" t="s">
        <v>36</v>
      </c>
      <c r="C4783" s="2" t="s">
        <v>36</v>
      </c>
      <c r="D4783" s="2">
        <v>62</v>
      </c>
    </row>
    <row r="4784" spans="1:4">
      <c r="A4784" s="2" t="s">
        <v>3526</v>
      </c>
      <c r="B4784" s="2" t="s">
        <v>36</v>
      </c>
      <c r="C4784" s="2" t="s">
        <v>36</v>
      </c>
      <c r="D4784" s="2">
        <v>62</v>
      </c>
    </row>
    <row r="4785" spans="1:4">
      <c r="A4785" s="2" t="s">
        <v>3025</v>
      </c>
      <c r="B4785" s="2" t="s">
        <v>36</v>
      </c>
      <c r="C4785" s="2" t="s">
        <v>36</v>
      </c>
      <c r="D4785" s="2">
        <v>62</v>
      </c>
    </row>
    <row r="4786" spans="1:4">
      <c r="A4786" s="2" t="s">
        <v>1653</v>
      </c>
      <c r="B4786" s="2" t="s">
        <v>36</v>
      </c>
      <c r="C4786" s="2" t="s">
        <v>36</v>
      </c>
      <c r="D4786" s="2">
        <v>61</v>
      </c>
    </row>
    <row r="4787" spans="1:4">
      <c r="A4787" s="2" t="s">
        <v>1119</v>
      </c>
      <c r="B4787" s="2" t="s">
        <v>36</v>
      </c>
      <c r="C4787" s="2" t="s">
        <v>36</v>
      </c>
      <c r="D4787" s="2">
        <v>61</v>
      </c>
    </row>
    <row r="4788" spans="1:4">
      <c r="A4788" s="2" t="s">
        <v>4585</v>
      </c>
      <c r="B4788" s="2" t="s">
        <v>36</v>
      </c>
      <c r="C4788" s="2" t="s">
        <v>36</v>
      </c>
      <c r="D4788" s="2">
        <v>61</v>
      </c>
    </row>
    <row r="4789" spans="1:4">
      <c r="A4789" s="2" t="s">
        <v>1639</v>
      </c>
      <c r="B4789" s="2" t="s">
        <v>36</v>
      </c>
      <c r="C4789" s="2" t="s">
        <v>36</v>
      </c>
      <c r="D4789" s="2">
        <v>61</v>
      </c>
    </row>
    <row r="4790" spans="1:4">
      <c r="A4790" s="2" t="s">
        <v>4657</v>
      </c>
      <c r="B4790" s="2" t="s">
        <v>36</v>
      </c>
      <c r="C4790" s="2" t="s">
        <v>36</v>
      </c>
      <c r="D4790" s="2">
        <v>60</v>
      </c>
    </row>
    <row r="4791" spans="1:4">
      <c r="A4791" s="2" t="s">
        <v>3096</v>
      </c>
      <c r="B4791" s="2" t="s">
        <v>36</v>
      </c>
      <c r="C4791" s="2" t="s">
        <v>36</v>
      </c>
      <c r="D4791" s="2">
        <v>60</v>
      </c>
    </row>
    <row r="4792" spans="1:4">
      <c r="A4792" s="2" t="s">
        <v>4274</v>
      </c>
      <c r="B4792" s="2" t="s">
        <v>36</v>
      </c>
      <c r="C4792" s="2" t="s">
        <v>36</v>
      </c>
      <c r="D4792" s="2">
        <v>60</v>
      </c>
    </row>
    <row r="4793" spans="1:4">
      <c r="A4793" s="2" t="s">
        <v>1166</v>
      </c>
      <c r="B4793" s="2" t="s">
        <v>36</v>
      </c>
      <c r="C4793" s="2" t="s">
        <v>36</v>
      </c>
      <c r="D4793" s="2">
        <v>59</v>
      </c>
    </row>
    <row r="4794" spans="1:4">
      <c r="A4794" s="2" t="s">
        <v>1179</v>
      </c>
      <c r="B4794" s="2" t="s">
        <v>36</v>
      </c>
      <c r="C4794" s="2" t="s">
        <v>36</v>
      </c>
      <c r="D4794" s="2">
        <v>58</v>
      </c>
    </row>
    <row r="4795" spans="1:4">
      <c r="A4795" s="2" t="s">
        <v>1632</v>
      </c>
      <c r="B4795" s="2" t="s">
        <v>36</v>
      </c>
      <c r="C4795" s="2" t="s">
        <v>36</v>
      </c>
      <c r="D4795" s="2">
        <v>57</v>
      </c>
    </row>
    <row r="4796" spans="1:4">
      <c r="A4796" s="2" t="s">
        <v>2066</v>
      </c>
      <c r="B4796" s="2" t="s">
        <v>36</v>
      </c>
      <c r="C4796" s="2" t="s">
        <v>36</v>
      </c>
      <c r="D4796" s="2">
        <v>57</v>
      </c>
    </row>
    <row r="4797" spans="1:4">
      <c r="A4797" s="2" t="s">
        <v>1177</v>
      </c>
      <c r="B4797" s="2" t="s">
        <v>36</v>
      </c>
      <c r="C4797" s="2" t="s">
        <v>36</v>
      </c>
      <c r="D4797" s="2">
        <v>57</v>
      </c>
    </row>
    <row r="4798" spans="1:4">
      <c r="A4798" s="2" t="s">
        <v>2558</v>
      </c>
      <c r="B4798" s="2" t="s">
        <v>36</v>
      </c>
      <c r="C4798" s="2" t="s">
        <v>36</v>
      </c>
      <c r="D4798" s="2">
        <v>57</v>
      </c>
    </row>
    <row r="4799" spans="1:4">
      <c r="A4799" s="2" t="s">
        <v>4620</v>
      </c>
      <c r="B4799" s="2" t="s">
        <v>36</v>
      </c>
      <c r="C4799" s="2" t="s">
        <v>36</v>
      </c>
      <c r="D4799" s="2">
        <v>56</v>
      </c>
    </row>
    <row r="4800" spans="1:4">
      <c r="A4800" s="2" t="s">
        <v>1152</v>
      </c>
      <c r="B4800" s="2" t="s">
        <v>36</v>
      </c>
      <c r="C4800" s="2" t="s">
        <v>36</v>
      </c>
      <c r="D4800" s="2">
        <v>55</v>
      </c>
    </row>
    <row r="4801" spans="1:4">
      <c r="A4801" s="2" t="s">
        <v>4614</v>
      </c>
      <c r="B4801" s="2" t="s">
        <v>36</v>
      </c>
      <c r="C4801" s="2" t="s">
        <v>36</v>
      </c>
      <c r="D4801" s="2">
        <v>55</v>
      </c>
    </row>
    <row r="4802" spans="1:4">
      <c r="A4802" s="2" t="s">
        <v>4591</v>
      </c>
      <c r="B4802" s="2" t="s">
        <v>36</v>
      </c>
      <c r="C4802" s="2" t="s">
        <v>36</v>
      </c>
      <c r="D4802" s="2">
        <v>55</v>
      </c>
    </row>
    <row r="4803" spans="1:4">
      <c r="A4803" s="2" t="s">
        <v>2550</v>
      </c>
      <c r="B4803" s="2" t="s">
        <v>36</v>
      </c>
      <c r="C4803" s="2" t="s">
        <v>36</v>
      </c>
      <c r="D4803" s="2">
        <v>55</v>
      </c>
    </row>
    <row r="4804" spans="1:4">
      <c r="A4804" s="2" t="s">
        <v>2537</v>
      </c>
      <c r="B4804" s="2" t="s">
        <v>36</v>
      </c>
      <c r="C4804" s="2" t="s">
        <v>36</v>
      </c>
      <c r="D4804" s="2">
        <v>54</v>
      </c>
    </row>
    <row r="4805" spans="1:4">
      <c r="A4805" s="2" t="s">
        <v>2031</v>
      </c>
      <c r="B4805" s="2" t="s">
        <v>36</v>
      </c>
      <c r="C4805" s="2" t="s">
        <v>36</v>
      </c>
      <c r="D4805" s="2">
        <v>54</v>
      </c>
    </row>
    <row r="4806" spans="1:4">
      <c r="A4806" s="2" t="s">
        <v>3037</v>
      </c>
      <c r="B4806" s="2" t="s">
        <v>36</v>
      </c>
      <c r="C4806" s="2" t="s">
        <v>36</v>
      </c>
      <c r="D4806" s="2">
        <v>54</v>
      </c>
    </row>
    <row r="4807" spans="1:4">
      <c r="A4807" s="2" t="s">
        <v>3076</v>
      </c>
      <c r="B4807" s="2" t="s">
        <v>36</v>
      </c>
      <c r="C4807" s="2" t="s">
        <v>36</v>
      </c>
      <c r="D4807" s="2">
        <v>54</v>
      </c>
    </row>
    <row r="4808" spans="1:4">
      <c r="A4808" s="2" t="s">
        <v>3964</v>
      </c>
      <c r="B4808" s="2" t="s">
        <v>36</v>
      </c>
      <c r="C4808" s="2" t="s">
        <v>36</v>
      </c>
      <c r="D4808" s="2">
        <v>53</v>
      </c>
    </row>
    <row r="4809" spans="1:4">
      <c r="A4809" s="2" t="s">
        <v>2605</v>
      </c>
      <c r="B4809" s="2" t="s">
        <v>36</v>
      </c>
      <c r="C4809" s="2" t="s">
        <v>36</v>
      </c>
      <c r="D4809" s="2">
        <v>53</v>
      </c>
    </row>
    <row r="4810" spans="1:4">
      <c r="A4810" s="2" t="s">
        <v>322</v>
      </c>
      <c r="B4810" s="2" t="s">
        <v>36</v>
      </c>
      <c r="C4810" s="2" t="s">
        <v>36</v>
      </c>
      <c r="D4810" s="2">
        <v>52</v>
      </c>
    </row>
    <row r="4811" spans="1:4">
      <c r="A4811" s="2" t="s">
        <v>3078</v>
      </c>
      <c r="B4811" s="2" t="s">
        <v>36</v>
      </c>
      <c r="C4811" s="2" t="s">
        <v>36</v>
      </c>
      <c r="D4811" s="2">
        <v>52</v>
      </c>
    </row>
    <row r="4812" spans="1:4">
      <c r="A4812" s="2" t="s">
        <v>4688</v>
      </c>
      <c r="B4812" s="2" t="s">
        <v>36</v>
      </c>
      <c r="C4812" s="2" t="s">
        <v>36</v>
      </c>
      <c r="D4812" s="2">
        <v>52</v>
      </c>
    </row>
    <row r="4813" spans="1:4">
      <c r="A4813" s="2" t="s">
        <v>1644</v>
      </c>
      <c r="B4813" s="2" t="s">
        <v>36</v>
      </c>
      <c r="C4813" s="2" t="s">
        <v>36</v>
      </c>
      <c r="D4813" s="2">
        <v>51</v>
      </c>
    </row>
    <row r="4814" spans="1:4">
      <c r="A4814" s="2" t="s">
        <v>4680</v>
      </c>
      <c r="B4814" s="2" t="s">
        <v>36</v>
      </c>
      <c r="C4814" s="2" t="s">
        <v>36</v>
      </c>
      <c r="D4814" s="2">
        <v>50</v>
      </c>
    </row>
    <row r="4815" spans="1:4">
      <c r="A4815" s="2" t="s">
        <v>1204</v>
      </c>
      <c r="B4815" s="2" t="s">
        <v>36</v>
      </c>
      <c r="C4815" s="2" t="s">
        <v>36</v>
      </c>
      <c r="D4815" s="2">
        <v>50</v>
      </c>
    </row>
    <row r="4816" spans="1:4">
      <c r="A4816" s="2" t="s">
        <v>1674</v>
      </c>
      <c r="B4816" s="2" t="s">
        <v>36</v>
      </c>
      <c r="C4816" s="2" t="s">
        <v>36</v>
      </c>
      <c r="D4816" s="2">
        <v>50</v>
      </c>
    </row>
    <row r="4817" spans="1:4">
      <c r="A4817" s="2" t="s">
        <v>2075</v>
      </c>
      <c r="B4817" s="2" t="s">
        <v>36</v>
      </c>
      <c r="C4817" s="2" t="s">
        <v>36</v>
      </c>
      <c r="D4817" s="2">
        <v>49</v>
      </c>
    </row>
    <row r="4818" spans="1:4">
      <c r="A4818" s="2" t="s">
        <v>3581</v>
      </c>
      <c r="B4818" s="2" t="s">
        <v>36</v>
      </c>
      <c r="C4818" s="2" t="s">
        <v>36</v>
      </c>
      <c r="D4818" s="2">
        <v>49</v>
      </c>
    </row>
    <row r="4819" spans="1:4">
      <c r="A4819" s="2" t="s">
        <v>4340</v>
      </c>
      <c r="B4819" s="2" t="s">
        <v>36</v>
      </c>
      <c r="C4819" s="2" t="s">
        <v>36</v>
      </c>
      <c r="D4819" s="2">
        <v>49</v>
      </c>
    </row>
    <row r="4820" spans="1:4">
      <c r="A4820" s="2" t="s">
        <v>3950</v>
      </c>
      <c r="B4820" s="2" t="s">
        <v>36</v>
      </c>
      <c r="C4820" s="2" t="s">
        <v>36</v>
      </c>
      <c r="D4820" s="2">
        <v>48</v>
      </c>
    </row>
    <row r="4821" spans="1:4">
      <c r="A4821" s="2" t="s">
        <v>3529</v>
      </c>
      <c r="B4821" s="2" t="s">
        <v>36</v>
      </c>
      <c r="C4821" s="2" t="s">
        <v>36</v>
      </c>
      <c r="D4821" s="2">
        <v>48</v>
      </c>
    </row>
    <row r="4822" spans="1:4">
      <c r="A4822" s="2" t="s">
        <v>2607</v>
      </c>
      <c r="B4822" s="2" t="s">
        <v>36</v>
      </c>
      <c r="C4822" s="2" t="s">
        <v>36</v>
      </c>
      <c r="D4822" s="2">
        <v>48</v>
      </c>
    </row>
    <row r="4823" spans="1:4">
      <c r="A4823" s="2" t="s">
        <v>2082</v>
      </c>
      <c r="B4823" s="2" t="s">
        <v>36</v>
      </c>
      <c r="C4823" s="2" t="s">
        <v>36</v>
      </c>
      <c r="D4823" s="2">
        <v>48</v>
      </c>
    </row>
    <row r="4824" spans="1:4">
      <c r="A4824" s="2" t="s">
        <v>1633</v>
      </c>
      <c r="B4824" s="2" t="s">
        <v>36</v>
      </c>
      <c r="C4824" s="2" t="s">
        <v>36</v>
      </c>
      <c r="D4824" s="2">
        <v>47</v>
      </c>
    </row>
    <row r="4825" spans="1:4">
      <c r="A4825" s="2" t="s">
        <v>3989</v>
      </c>
      <c r="B4825" s="2" t="s">
        <v>36</v>
      </c>
      <c r="C4825" s="2" t="s">
        <v>36</v>
      </c>
      <c r="D4825" s="2">
        <v>47</v>
      </c>
    </row>
    <row r="4826" spans="1:4">
      <c r="A4826" s="2" t="s">
        <v>2609</v>
      </c>
      <c r="B4826" s="2" t="s">
        <v>36</v>
      </c>
      <c r="C4826" s="2" t="s">
        <v>36</v>
      </c>
      <c r="D4826" s="2">
        <v>47</v>
      </c>
    </row>
    <row r="4827" spans="1:4">
      <c r="A4827" s="2" t="s">
        <v>3033</v>
      </c>
      <c r="B4827" s="2" t="s">
        <v>36</v>
      </c>
      <c r="C4827" s="2" t="s">
        <v>36</v>
      </c>
      <c r="D4827" s="2">
        <v>47</v>
      </c>
    </row>
    <row r="4828" spans="1:4">
      <c r="A4828" s="2" t="s">
        <v>2035</v>
      </c>
      <c r="B4828" s="2" t="s">
        <v>36</v>
      </c>
      <c r="C4828" s="2" t="s">
        <v>36</v>
      </c>
      <c r="D4828" s="2">
        <v>47</v>
      </c>
    </row>
    <row r="4829" spans="1:4">
      <c r="A4829" s="2" t="s">
        <v>3485</v>
      </c>
      <c r="B4829" s="2" t="s">
        <v>36</v>
      </c>
      <c r="C4829" s="2" t="s">
        <v>36</v>
      </c>
      <c r="D4829" s="2">
        <v>47</v>
      </c>
    </row>
    <row r="4830" spans="1:4">
      <c r="A4830" s="2" t="s">
        <v>4005</v>
      </c>
      <c r="B4830" s="2" t="s">
        <v>36</v>
      </c>
      <c r="C4830" s="2" t="s">
        <v>36</v>
      </c>
      <c r="D4830" s="2">
        <v>47</v>
      </c>
    </row>
    <row r="4831" spans="1:4">
      <c r="A4831" s="2" t="s">
        <v>4689</v>
      </c>
      <c r="B4831" s="2" t="s">
        <v>36</v>
      </c>
      <c r="C4831" s="2" t="s">
        <v>36</v>
      </c>
      <c r="D4831" s="2">
        <v>46</v>
      </c>
    </row>
    <row r="4832" spans="1:4">
      <c r="A4832" s="2" t="s">
        <v>2060</v>
      </c>
      <c r="B4832" s="2" t="s">
        <v>36</v>
      </c>
      <c r="C4832" s="2" t="s">
        <v>36</v>
      </c>
      <c r="D4832" s="2">
        <v>46</v>
      </c>
    </row>
    <row r="4833" spans="1:4">
      <c r="A4833" s="2" t="s">
        <v>4687</v>
      </c>
      <c r="B4833" s="2" t="s">
        <v>36</v>
      </c>
      <c r="C4833" s="2" t="s">
        <v>36</v>
      </c>
      <c r="D4833" s="2">
        <v>46</v>
      </c>
    </row>
    <row r="4834" spans="1:4">
      <c r="A4834" s="2" t="s">
        <v>1171</v>
      </c>
      <c r="B4834" s="2" t="s">
        <v>36</v>
      </c>
      <c r="C4834" s="2" t="s">
        <v>36</v>
      </c>
      <c r="D4834" s="2">
        <v>45</v>
      </c>
    </row>
    <row r="4835" spans="1:4">
      <c r="A4835" s="2" t="s">
        <v>1208</v>
      </c>
      <c r="B4835" s="2" t="s">
        <v>36</v>
      </c>
      <c r="C4835" s="2" t="s">
        <v>36</v>
      </c>
      <c r="D4835" s="2">
        <v>45</v>
      </c>
    </row>
    <row r="4836" spans="1:4">
      <c r="A4836" s="2" t="s">
        <v>341</v>
      </c>
      <c r="B4836" s="2" t="s">
        <v>36</v>
      </c>
      <c r="C4836" s="2" t="s">
        <v>36</v>
      </c>
      <c r="D4836" s="2">
        <v>45</v>
      </c>
    </row>
    <row r="4837" spans="1:4">
      <c r="A4837" s="2" t="s">
        <v>4667</v>
      </c>
      <c r="B4837" s="2" t="s">
        <v>36</v>
      </c>
      <c r="C4837" s="2" t="s">
        <v>36</v>
      </c>
      <c r="D4837" s="2">
        <v>45</v>
      </c>
    </row>
    <row r="4838" spans="1:4">
      <c r="A4838" s="2" t="s">
        <v>3578</v>
      </c>
      <c r="B4838" s="2" t="s">
        <v>36</v>
      </c>
      <c r="C4838" s="2" t="s">
        <v>36</v>
      </c>
      <c r="D4838" s="2">
        <v>45</v>
      </c>
    </row>
    <row r="4839" spans="1:4">
      <c r="A4839" s="2" t="s">
        <v>4293</v>
      </c>
      <c r="B4839" s="2" t="s">
        <v>36</v>
      </c>
      <c r="C4839" s="2" t="s">
        <v>36</v>
      </c>
      <c r="D4839" s="2">
        <v>44</v>
      </c>
    </row>
    <row r="4840" spans="1:4">
      <c r="A4840" s="2" t="s">
        <v>364</v>
      </c>
      <c r="B4840" s="2" t="s">
        <v>36</v>
      </c>
      <c r="C4840" s="2" t="s">
        <v>36</v>
      </c>
      <c r="D4840" s="2">
        <v>44</v>
      </c>
    </row>
    <row r="4841" spans="1:4">
      <c r="A4841" s="2" t="s">
        <v>2589</v>
      </c>
      <c r="B4841" s="2" t="s">
        <v>36</v>
      </c>
      <c r="C4841" s="2" t="s">
        <v>36</v>
      </c>
      <c r="D4841" s="2">
        <v>44</v>
      </c>
    </row>
    <row r="4842" spans="1:4">
      <c r="A4842" s="2" t="s">
        <v>4625</v>
      </c>
      <c r="B4842" s="2" t="s">
        <v>36</v>
      </c>
      <c r="C4842" s="2" t="s">
        <v>36</v>
      </c>
      <c r="D4842" s="2">
        <v>44</v>
      </c>
    </row>
    <row r="4843" spans="1:4">
      <c r="A4843" s="2" t="s">
        <v>1637</v>
      </c>
      <c r="B4843" s="2" t="s">
        <v>36</v>
      </c>
      <c r="C4843" s="2" t="s">
        <v>36</v>
      </c>
      <c r="D4843" s="2">
        <v>44</v>
      </c>
    </row>
    <row r="4844" spans="1:4">
      <c r="A4844" s="2" t="s">
        <v>3069</v>
      </c>
      <c r="B4844" s="2" t="s">
        <v>36</v>
      </c>
      <c r="C4844" s="2" t="s">
        <v>36</v>
      </c>
      <c r="D4844" s="2">
        <v>44</v>
      </c>
    </row>
    <row r="4845" spans="1:4">
      <c r="A4845" s="2" t="s">
        <v>3916</v>
      </c>
      <c r="B4845" s="2" t="s">
        <v>36</v>
      </c>
      <c r="C4845" s="2" t="s">
        <v>36</v>
      </c>
      <c r="D4845" s="2">
        <v>44</v>
      </c>
    </row>
    <row r="4846" spans="1:4">
      <c r="A4846" s="2" t="s">
        <v>3091</v>
      </c>
      <c r="B4846" s="2" t="s">
        <v>36</v>
      </c>
      <c r="C4846" s="2" t="s">
        <v>36</v>
      </c>
      <c r="D4846" s="2">
        <v>43</v>
      </c>
    </row>
    <row r="4847" spans="1:4">
      <c r="A4847" s="2" t="s">
        <v>3501</v>
      </c>
      <c r="B4847" s="2" t="s">
        <v>36</v>
      </c>
      <c r="C4847" s="2" t="s">
        <v>36</v>
      </c>
      <c r="D4847" s="2">
        <v>43</v>
      </c>
    </row>
    <row r="4848" spans="1:4">
      <c r="A4848" s="2" t="s">
        <v>1641</v>
      </c>
      <c r="B4848" s="2" t="s">
        <v>36</v>
      </c>
      <c r="C4848" s="2" t="s">
        <v>36</v>
      </c>
      <c r="D4848" s="2">
        <v>43</v>
      </c>
    </row>
    <row r="4849" spans="1:4">
      <c r="A4849" s="2" t="s">
        <v>2036</v>
      </c>
      <c r="B4849" s="2" t="s">
        <v>36</v>
      </c>
      <c r="C4849" s="2" t="s">
        <v>36</v>
      </c>
      <c r="D4849" s="2">
        <v>42</v>
      </c>
    </row>
    <row r="4850" spans="1:4">
      <c r="A4850" s="2" t="s">
        <v>2595</v>
      </c>
      <c r="B4850" s="2" t="s">
        <v>36</v>
      </c>
      <c r="C4850" s="2" t="s">
        <v>36</v>
      </c>
      <c r="D4850" s="2">
        <v>42</v>
      </c>
    </row>
    <row r="4851" spans="1:4">
      <c r="A4851" s="2" t="s">
        <v>3563</v>
      </c>
      <c r="B4851" s="2" t="s">
        <v>36</v>
      </c>
      <c r="C4851" s="2" t="s">
        <v>36</v>
      </c>
      <c r="D4851" s="2">
        <v>42</v>
      </c>
    </row>
    <row r="4852" spans="1:4">
      <c r="A4852" s="2" t="s">
        <v>3129</v>
      </c>
      <c r="B4852" s="2" t="s">
        <v>36</v>
      </c>
      <c r="C4852" s="2" t="s">
        <v>36</v>
      </c>
      <c r="D4852" s="2">
        <v>42</v>
      </c>
    </row>
    <row r="4853" spans="1:4">
      <c r="A4853" s="2" t="s">
        <v>3541</v>
      </c>
      <c r="B4853" s="2" t="s">
        <v>36</v>
      </c>
      <c r="C4853" s="2" t="s">
        <v>36</v>
      </c>
      <c r="D4853" s="2">
        <v>41</v>
      </c>
    </row>
    <row r="4854" spans="1:4">
      <c r="A4854" s="2" t="s">
        <v>3041</v>
      </c>
      <c r="B4854" s="2" t="s">
        <v>36</v>
      </c>
      <c r="C4854" s="2" t="s">
        <v>36</v>
      </c>
      <c r="D4854" s="2">
        <v>41</v>
      </c>
    </row>
    <row r="4855" spans="1:4">
      <c r="A4855" s="2" t="s">
        <v>4662</v>
      </c>
      <c r="B4855" s="2" t="s">
        <v>36</v>
      </c>
      <c r="C4855" s="2" t="s">
        <v>36</v>
      </c>
      <c r="D4855" s="2">
        <v>41</v>
      </c>
    </row>
    <row r="4856" spans="1:4">
      <c r="A4856" s="2" t="s">
        <v>1121</v>
      </c>
      <c r="B4856" s="2" t="s">
        <v>36</v>
      </c>
      <c r="C4856" s="2" t="s">
        <v>36</v>
      </c>
      <c r="D4856" s="2">
        <v>41</v>
      </c>
    </row>
    <row r="4857" spans="1:4">
      <c r="A4857" s="2" t="s">
        <v>1660</v>
      </c>
      <c r="B4857" s="2" t="s">
        <v>36</v>
      </c>
      <c r="C4857" s="2" t="s">
        <v>36</v>
      </c>
      <c r="D4857" s="2">
        <v>41</v>
      </c>
    </row>
    <row r="4858" spans="1:4">
      <c r="A4858" s="2" t="s">
        <v>3126</v>
      </c>
      <c r="B4858" s="2" t="s">
        <v>36</v>
      </c>
      <c r="C4858" s="2" t="s">
        <v>36</v>
      </c>
      <c r="D4858" s="2">
        <v>41</v>
      </c>
    </row>
    <row r="4859" spans="1:4">
      <c r="A4859" s="2" t="s">
        <v>2026</v>
      </c>
      <c r="B4859" s="2" t="s">
        <v>36</v>
      </c>
      <c r="C4859" s="2" t="s">
        <v>36</v>
      </c>
      <c r="D4859" s="2">
        <v>40</v>
      </c>
    </row>
    <row r="4860" spans="1:4">
      <c r="A4860" s="2" t="s">
        <v>3570</v>
      </c>
      <c r="B4860" s="2" t="s">
        <v>36</v>
      </c>
      <c r="C4860" s="2" t="s">
        <v>36</v>
      </c>
      <c r="D4860" s="2">
        <v>40</v>
      </c>
    </row>
    <row r="4861" spans="1:4">
      <c r="A4861" s="2" t="s">
        <v>430</v>
      </c>
      <c r="B4861" s="2" t="s">
        <v>36</v>
      </c>
      <c r="C4861" s="2" t="s">
        <v>36</v>
      </c>
      <c r="D4861" s="2">
        <v>40</v>
      </c>
    </row>
    <row r="4862" spans="1:4">
      <c r="A4862" s="2" t="s">
        <v>3497</v>
      </c>
      <c r="B4862" s="2" t="s">
        <v>36</v>
      </c>
      <c r="C4862" s="2" t="s">
        <v>36</v>
      </c>
      <c r="D4862" s="2">
        <v>40</v>
      </c>
    </row>
    <row r="4863" spans="1:4">
      <c r="A4863" s="2" t="s">
        <v>1183</v>
      </c>
      <c r="B4863" s="2" t="s">
        <v>36</v>
      </c>
      <c r="C4863" s="2" t="s">
        <v>36</v>
      </c>
      <c r="D4863" s="2">
        <v>39</v>
      </c>
    </row>
    <row r="4864" spans="1:4">
      <c r="A4864" s="2" t="s">
        <v>2620</v>
      </c>
      <c r="B4864" s="2" t="s">
        <v>36</v>
      </c>
      <c r="C4864" s="2" t="s">
        <v>36</v>
      </c>
      <c r="D4864" s="2">
        <v>39</v>
      </c>
    </row>
    <row r="4865" spans="1:4">
      <c r="A4865" s="2" t="s">
        <v>317</v>
      </c>
      <c r="B4865" s="2" t="s">
        <v>36</v>
      </c>
      <c r="C4865" s="2" t="s">
        <v>36</v>
      </c>
      <c r="D4865" s="2">
        <v>39</v>
      </c>
    </row>
    <row r="4866" spans="1:4">
      <c r="A4866" s="2" t="s">
        <v>2563</v>
      </c>
      <c r="B4866" s="2" t="s">
        <v>36</v>
      </c>
      <c r="C4866" s="2" t="s">
        <v>36</v>
      </c>
      <c r="D4866" s="2">
        <v>38</v>
      </c>
    </row>
    <row r="4867" spans="1:4">
      <c r="A4867" s="2" t="s">
        <v>4332</v>
      </c>
      <c r="B4867" s="2" t="s">
        <v>36</v>
      </c>
      <c r="C4867" s="2" t="s">
        <v>36</v>
      </c>
      <c r="D4867" s="2">
        <v>38</v>
      </c>
    </row>
    <row r="4868" spans="1:4">
      <c r="A4868" s="2" t="s">
        <v>4333</v>
      </c>
      <c r="B4868" s="2" t="s">
        <v>36</v>
      </c>
      <c r="C4868" s="2" t="s">
        <v>36</v>
      </c>
      <c r="D4868" s="2">
        <v>38</v>
      </c>
    </row>
    <row r="4869" spans="1:4">
      <c r="A4869" s="2" t="s">
        <v>3039</v>
      </c>
      <c r="B4869" s="2" t="s">
        <v>36</v>
      </c>
      <c r="C4869" s="2" t="s">
        <v>36</v>
      </c>
      <c r="D4869" s="2">
        <v>38</v>
      </c>
    </row>
    <row r="4870" spans="1:4">
      <c r="A4870" s="2" t="s">
        <v>3985</v>
      </c>
      <c r="B4870" s="2" t="s">
        <v>36</v>
      </c>
      <c r="C4870" s="2" t="s">
        <v>36</v>
      </c>
      <c r="D4870" s="2">
        <v>38</v>
      </c>
    </row>
    <row r="4871" spans="1:4">
      <c r="A4871" s="2" t="s">
        <v>1125</v>
      </c>
      <c r="B4871" s="2" t="s">
        <v>36</v>
      </c>
      <c r="C4871" s="2" t="s">
        <v>36</v>
      </c>
      <c r="D4871" s="2">
        <v>37</v>
      </c>
    </row>
    <row r="4872" spans="1:4">
      <c r="A4872" s="2" t="s">
        <v>1659</v>
      </c>
      <c r="B4872" s="2" t="s">
        <v>36</v>
      </c>
      <c r="C4872" s="2" t="s">
        <v>36</v>
      </c>
      <c r="D4872" s="2">
        <v>37</v>
      </c>
    </row>
    <row r="4873" spans="1:4">
      <c r="A4873" s="2" t="s">
        <v>3969</v>
      </c>
      <c r="B4873" s="2" t="s">
        <v>36</v>
      </c>
      <c r="C4873" s="2" t="s">
        <v>36</v>
      </c>
      <c r="D4873" s="2">
        <v>37</v>
      </c>
    </row>
    <row r="4874" spans="1:4">
      <c r="A4874" s="2" t="s">
        <v>3971</v>
      </c>
      <c r="B4874" s="2" t="s">
        <v>36</v>
      </c>
      <c r="C4874" s="2" t="s">
        <v>36</v>
      </c>
      <c r="D4874" s="2">
        <v>36</v>
      </c>
    </row>
    <row r="4875" spans="1:4">
      <c r="A4875" s="2" t="s">
        <v>3093</v>
      </c>
      <c r="B4875" s="2" t="s">
        <v>36</v>
      </c>
      <c r="C4875" s="2" t="s">
        <v>36</v>
      </c>
      <c r="D4875" s="2">
        <v>36</v>
      </c>
    </row>
    <row r="4876" spans="1:4">
      <c r="A4876" s="2" t="s">
        <v>4674</v>
      </c>
      <c r="B4876" s="2" t="s">
        <v>36</v>
      </c>
      <c r="C4876" s="2" t="s">
        <v>36</v>
      </c>
      <c r="D4876" s="2">
        <v>36</v>
      </c>
    </row>
    <row r="4877" spans="1:4">
      <c r="A4877" s="2" t="s">
        <v>2590</v>
      </c>
      <c r="B4877" s="2" t="s">
        <v>36</v>
      </c>
      <c r="C4877" s="2" t="s">
        <v>36</v>
      </c>
      <c r="D4877" s="2">
        <v>35</v>
      </c>
    </row>
    <row r="4878" spans="1:4">
      <c r="A4878" s="2" t="s">
        <v>3477</v>
      </c>
      <c r="B4878" s="2" t="s">
        <v>36</v>
      </c>
      <c r="C4878" s="2" t="s">
        <v>36</v>
      </c>
      <c r="D4878" s="2">
        <v>35</v>
      </c>
    </row>
    <row r="4879" spans="1:4">
      <c r="A4879" s="2" t="s">
        <v>3488</v>
      </c>
      <c r="B4879" s="2" t="s">
        <v>36</v>
      </c>
      <c r="C4879" s="2" t="s">
        <v>36</v>
      </c>
      <c r="D4879" s="2">
        <v>35</v>
      </c>
    </row>
    <row r="4880" spans="1:4">
      <c r="A4880" s="2" t="s">
        <v>3083</v>
      </c>
      <c r="B4880" s="2" t="s">
        <v>36</v>
      </c>
      <c r="C4880" s="2" t="s">
        <v>36</v>
      </c>
      <c r="D4880" s="2">
        <v>33</v>
      </c>
    </row>
    <row r="4881" spans="1:4">
      <c r="A4881" s="2" t="s">
        <v>1155</v>
      </c>
      <c r="B4881" s="2" t="s">
        <v>36</v>
      </c>
      <c r="C4881" s="2" t="s">
        <v>36</v>
      </c>
      <c r="D4881" s="2">
        <v>33</v>
      </c>
    </row>
    <row r="4882" spans="1:4">
      <c r="A4882" s="2" t="s">
        <v>2591</v>
      </c>
      <c r="B4882" s="2" t="s">
        <v>36</v>
      </c>
      <c r="C4882" s="2" t="s">
        <v>36</v>
      </c>
      <c r="D4882" s="2">
        <v>33</v>
      </c>
    </row>
    <row r="4883" spans="1:4">
      <c r="A4883" s="2" t="s">
        <v>2073</v>
      </c>
      <c r="B4883" s="2" t="s">
        <v>36</v>
      </c>
      <c r="C4883" s="2" t="s">
        <v>36</v>
      </c>
      <c r="D4883" s="2">
        <v>32</v>
      </c>
    </row>
    <row r="4884" spans="1:4">
      <c r="A4884" s="2" t="s">
        <v>4283</v>
      </c>
      <c r="B4884" s="2" t="s">
        <v>36</v>
      </c>
      <c r="C4884" s="2" t="s">
        <v>36</v>
      </c>
      <c r="D4884" s="2">
        <v>32</v>
      </c>
    </row>
    <row r="4885" spans="1:4">
      <c r="A4885" s="2" t="s">
        <v>1137</v>
      </c>
      <c r="B4885" s="2" t="s">
        <v>36</v>
      </c>
      <c r="C4885" s="2" t="s">
        <v>36</v>
      </c>
      <c r="D4885" s="2">
        <v>32</v>
      </c>
    </row>
    <row r="4886" spans="1:4">
      <c r="A4886" s="2" t="s">
        <v>2065</v>
      </c>
      <c r="B4886" s="2" t="s">
        <v>36</v>
      </c>
      <c r="C4886" s="2" t="s">
        <v>36</v>
      </c>
      <c r="D4886" s="2">
        <v>32</v>
      </c>
    </row>
    <row r="4887" spans="1:4">
      <c r="A4887" s="2" t="s">
        <v>3987</v>
      </c>
      <c r="B4887" s="2" t="s">
        <v>36</v>
      </c>
      <c r="C4887" s="2" t="s">
        <v>36</v>
      </c>
      <c r="D4887" s="2">
        <v>31</v>
      </c>
    </row>
    <row r="4888" spans="1:4">
      <c r="A4888" s="2" t="s">
        <v>3481</v>
      </c>
      <c r="B4888" s="2" t="s">
        <v>36</v>
      </c>
      <c r="C4888" s="2" t="s">
        <v>36</v>
      </c>
      <c r="D4888" s="2">
        <v>30</v>
      </c>
    </row>
    <row r="4889" spans="1:4">
      <c r="A4889" s="2" t="s">
        <v>3951</v>
      </c>
      <c r="B4889" s="2" t="s">
        <v>36</v>
      </c>
      <c r="C4889" s="2" t="s">
        <v>36</v>
      </c>
      <c r="D4889" s="2">
        <v>29</v>
      </c>
    </row>
    <row r="4890" spans="1:4">
      <c r="A4890" s="2" t="s">
        <v>3054</v>
      </c>
      <c r="B4890" s="2" t="s">
        <v>36</v>
      </c>
      <c r="C4890" s="2" t="s">
        <v>36</v>
      </c>
      <c r="D4890" s="2">
        <v>28</v>
      </c>
    </row>
    <row r="4891" spans="1:4">
      <c r="A4891" s="2" t="s">
        <v>2644</v>
      </c>
      <c r="B4891" s="2" t="s">
        <v>36</v>
      </c>
      <c r="C4891" s="2" t="s">
        <v>36</v>
      </c>
      <c r="D4891" s="2">
        <v>27</v>
      </c>
    </row>
    <row r="4892" spans="1:4">
      <c r="A4892" s="2" t="s">
        <v>3503</v>
      </c>
      <c r="B4892" s="2" t="s">
        <v>36</v>
      </c>
      <c r="C4892" s="2" t="s">
        <v>36</v>
      </c>
      <c r="D4892" s="2">
        <v>27</v>
      </c>
    </row>
    <row r="4893" spans="1:4">
      <c r="A4893" s="2" t="s">
        <v>4294</v>
      </c>
      <c r="B4893" s="2" t="s">
        <v>36</v>
      </c>
      <c r="C4893" s="2" t="s">
        <v>36</v>
      </c>
      <c r="D4893" s="2">
        <v>26</v>
      </c>
    </row>
    <row r="4894" spans="1:4">
      <c r="A4894" s="2" t="s">
        <v>3952</v>
      </c>
      <c r="B4894" s="2" t="s">
        <v>36</v>
      </c>
      <c r="C4894" s="2" t="s">
        <v>36</v>
      </c>
      <c r="D4894" s="2">
        <v>26</v>
      </c>
    </row>
    <row r="4895" spans="1:4">
      <c r="A4895" s="2" t="s">
        <v>3535</v>
      </c>
      <c r="B4895" s="2" t="s">
        <v>36</v>
      </c>
      <c r="C4895" s="2" t="s">
        <v>36</v>
      </c>
      <c r="D4895" s="2">
        <v>26</v>
      </c>
    </row>
    <row r="4896" spans="1:4">
      <c r="A4896" s="2" t="s">
        <v>3095</v>
      </c>
      <c r="B4896" s="2" t="s">
        <v>36</v>
      </c>
      <c r="C4896" s="2" t="s">
        <v>36</v>
      </c>
      <c r="D4896" s="2">
        <v>25</v>
      </c>
    </row>
    <row r="4897" spans="1:4">
      <c r="A4897" s="2" t="s">
        <v>1158</v>
      </c>
      <c r="B4897" s="2" t="s">
        <v>36</v>
      </c>
      <c r="C4897" s="2" t="s">
        <v>36</v>
      </c>
      <c r="D4897" s="2">
        <v>25</v>
      </c>
    </row>
    <row r="4898" spans="1:4">
      <c r="A4898" s="2" t="s">
        <v>2012</v>
      </c>
      <c r="B4898" s="2" t="s">
        <v>36</v>
      </c>
      <c r="C4898" s="2" t="s">
        <v>36</v>
      </c>
      <c r="D4898" s="2">
        <v>25</v>
      </c>
    </row>
    <row r="4899" spans="1:4">
      <c r="A4899" s="2" t="s">
        <v>3542</v>
      </c>
      <c r="B4899" s="2" t="s">
        <v>36</v>
      </c>
      <c r="C4899" s="2" t="s">
        <v>36</v>
      </c>
      <c r="D4899" s="2">
        <v>24</v>
      </c>
    </row>
    <row r="4900" spans="1:4">
      <c r="A4900" s="2" t="s">
        <v>3564</v>
      </c>
      <c r="B4900" s="2" t="s">
        <v>36</v>
      </c>
      <c r="C4900" s="2" t="s">
        <v>36</v>
      </c>
      <c r="D4900" s="2">
        <v>24</v>
      </c>
    </row>
    <row r="4901" spans="1:4">
      <c r="A4901" s="2" t="s">
        <v>2621</v>
      </c>
      <c r="B4901" s="2" t="s">
        <v>36</v>
      </c>
      <c r="C4901" s="2" t="s">
        <v>36</v>
      </c>
      <c r="D4901" s="2">
        <v>23</v>
      </c>
    </row>
    <row r="4902" spans="1:4">
      <c r="A4902" s="2" t="s">
        <v>1144</v>
      </c>
      <c r="B4902" s="2" t="s">
        <v>36</v>
      </c>
      <c r="C4902" s="2" t="s">
        <v>36</v>
      </c>
      <c r="D4902" s="2">
        <v>23</v>
      </c>
    </row>
    <row r="4903" spans="1:4">
      <c r="A4903" s="2" t="s">
        <v>3571</v>
      </c>
      <c r="B4903" s="2" t="s">
        <v>36</v>
      </c>
      <c r="C4903" s="2" t="s">
        <v>36</v>
      </c>
      <c r="D4903" s="2">
        <v>23</v>
      </c>
    </row>
    <row r="4904" spans="1:4">
      <c r="A4904" s="2" t="s">
        <v>4309</v>
      </c>
      <c r="B4904" s="2" t="s">
        <v>36</v>
      </c>
      <c r="C4904" s="2" t="s">
        <v>36</v>
      </c>
      <c r="D4904" s="2">
        <v>23</v>
      </c>
    </row>
    <row r="4905" spans="1:4">
      <c r="A4905" s="2" t="s">
        <v>2627</v>
      </c>
      <c r="B4905" s="2" t="s">
        <v>36</v>
      </c>
      <c r="C4905" s="2" t="s">
        <v>36</v>
      </c>
      <c r="D4905" s="2">
        <v>22</v>
      </c>
    </row>
    <row r="4906" spans="1:4">
      <c r="A4906" s="2" t="s">
        <v>1187</v>
      </c>
      <c r="B4906" s="2" t="s">
        <v>36</v>
      </c>
      <c r="C4906" s="2" t="s">
        <v>36</v>
      </c>
      <c r="D4906" s="2">
        <v>22</v>
      </c>
    </row>
    <row r="4907" spans="1:4">
      <c r="A4907" s="2" t="s">
        <v>314</v>
      </c>
      <c r="B4907" s="2" t="s">
        <v>36</v>
      </c>
      <c r="C4907" s="2" t="s">
        <v>36</v>
      </c>
      <c r="D4907" s="2">
        <v>21</v>
      </c>
    </row>
    <row r="4908" spans="1:4">
      <c r="A4908" s="2" t="s">
        <v>1156</v>
      </c>
      <c r="B4908" s="2" t="s">
        <v>36</v>
      </c>
      <c r="C4908" s="2" t="s">
        <v>36</v>
      </c>
      <c r="D4908" s="2">
        <v>21</v>
      </c>
    </row>
    <row r="4909" spans="1:4">
      <c r="A4909" s="2" t="s">
        <v>1186</v>
      </c>
      <c r="B4909" s="2" t="s">
        <v>36</v>
      </c>
      <c r="C4909" s="2" t="s">
        <v>36</v>
      </c>
      <c r="D4909" s="2">
        <v>20</v>
      </c>
    </row>
    <row r="4910" spans="1:4">
      <c r="A4910" s="2" t="s">
        <v>1661</v>
      </c>
      <c r="B4910" s="2" t="s">
        <v>36</v>
      </c>
      <c r="C4910" s="2" t="s">
        <v>36</v>
      </c>
      <c r="D4910" s="2">
        <v>20</v>
      </c>
    </row>
    <row r="4911" spans="1:4">
      <c r="A4911" s="2" t="s">
        <v>2570</v>
      </c>
      <c r="B4911" s="2" t="s">
        <v>36</v>
      </c>
      <c r="C4911" s="2" t="s">
        <v>36</v>
      </c>
      <c r="D4911" s="2">
        <v>20</v>
      </c>
    </row>
    <row r="4912" spans="1:4">
      <c r="A4912" s="2" t="s">
        <v>3527</v>
      </c>
      <c r="B4912" s="2" t="s">
        <v>36</v>
      </c>
      <c r="C4912" s="2" t="s">
        <v>36</v>
      </c>
      <c r="D4912" s="2">
        <v>19</v>
      </c>
    </row>
    <row r="4913" spans="1:4">
      <c r="A4913" s="2" t="s">
        <v>3577</v>
      </c>
      <c r="B4913" s="2" t="s">
        <v>36</v>
      </c>
      <c r="C4913" s="2" t="s">
        <v>36</v>
      </c>
      <c r="D4913" s="2">
        <v>19</v>
      </c>
    </row>
    <row r="4914" spans="1:4">
      <c r="A4914" s="2" t="s">
        <v>3976</v>
      </c>
      <c r="B4914" s="2" t="s">
        <v>36</v>
      </c>
      <c r="C4914" s="2" t="s">
        <v>36</v>
      </c>
      <c r="D4914" s="2">
        <v>18</v>
      </c>
    </row>
    <row r="4915" spans="1:4">
      <c r="A4915" s="2" t="s">
        <v>3101</v>
      </c>
      <c r="B4915" s="2" t="s">
        <v>36</v>
      </c>
      <c r="C4915" s="2" t="s">
        <v>36</v>
      </c>
      <c r="D4915" s="2">
        <v>18</v>
      </c>
    </row>
    <row r="4916" spans="1:4">
      <c r="A4916" s="2" t="s">
        <v>3544</v>
      </c>
      <c r="B4916" s="2" t="s">
        <v>36</v>
      </c>
      <c r="C4916" s="2" t="s">
        <v>36</v>
      </c>
      <c r="D4916" s="2">
        <v>17</v>
      </c>
    </row>
    <row r="4917" spans="1:4">
      <c r="A4917" s="2" t="s">
        <v>4664</v>
      </c>
      <c r="B4917" s="2" t="s">
        <v>36</v>
      </c>
      <c r="C4917" s="2" t="s">
        <v>36</v>
      </c>
      <c r="D4917" s="2">
        <v>17</v>
      </c>
    </row>
    <row r="4918" spans="1:4">
      <c r="A4918" s="2" t="s">
        <v>3491</v>
      </c>
      <c r="B4918" s="2" t="s">
        <v>36</v>
      </c>
      <c r="C4918" s="2" t="s">
        <v>36</v>
      </c>
      <c r="D4918" s="2">
        <v>17</v>
      </c>
    </row>
    <row r="4919" spans="1:4">
      <c r="A4919" s="2" t="s">
        <v>1655</v>
      </c>
      <c r="B4919" s="2" t="s">
        <v>36</v>
      </c>
      <c r="C4919" s="2" t="s">
        <v>36</v>
      </c>
      <c r="D4919" s="2">
        <v>15</v>
      </c>
    </row>
    <row r="4920" spans="1:4">
      <c r="A4920" s="2" t="s">
        <v>4299</v>
      </c>
      <c r="B4920" s="2" t="s">
        <v>36</v>
      </c>
      <c r="C4920" s="2" t="s">
        <v>36</v>
      </c>
      <c r="D4920" s="2">
        <v>15</v>
      </c>
    </row>
    <row r="4921" spans="1:4">
      <c r="A4921" s="2" t="s">
        <v>1185</v>
      </c>
      <c r="B4921" s="2" t="s">
        <v>36</v>
      </c>
      <c r="C4921" s="2" t="s">
        <v>36</v>
      </c>
      <c r="D4921" s="2">
        <v>15</v>
      </c>
    </row>
    <row r="4922" spans="1:4">
      <c r="A4922" s="2" t="s">
        <v>1143</v>
      </c>
      <c r="B4922" s="2" t="s">
        <v>36</v>
      </c>
      <c r="C4922" s="2" t="s">
        <v>36</v>
      </c>
      <c r="D4922" s="2">
        <v>15</v>
      </c>
    </row>
    <row r="4923" spans="1:4">
      <c r="A4923" s="2" t="s">
        <v>397</v>
      </c>
      <c r="B4923" s="2" t="s">
        <v>36</v>
      </c>
      <c r="C4923" s="2" t="s">
        <v>36</v>
      </c>
      <c r="D4923" s="2">
        <v>15</v>
      </c>
    </row>
    <row r="4924" spans="1:4">
      <c r="A4924" s="2" t="s">
        <v>2087</v>
      </c>
      <c r="B4924" s="2" t="s">
        <v>36</v>
      </c>
      <c r="C4924" s="2" t="s">
        <v>36</v>
      </c>
      <c r="D4924" s="2">
        <v>15</v>
      </c>
    </row>
    <row r="4925" spans="1:4">
      <c r="A4925" s="2" t="s">
        <v>324</v>
      </c>
      <c r="B4925" s="2" t="s">
        <v>36</v>
      </c>
      <c r="C4925" s="2" t="s">
        <v>36</v>
      </c>
      <c r="D4925" s="2">
        <v>14</v>
      </c>
    </row>
    <row r="4926" spans="1:4">
      <c r="A4926" s="2" t="s">
        <v>1142</v>
      </c>
      <c r="B4926" s="2" t="s">
        <v>36</v>
      </c>
      <c r="C4926" s="2" t="s">
        <v>36</v>
      </c>
      <c r="D4926" s="2">
        <v>13</v>
      </c>
    </row>
    <row r="4927" spans="1:4">
      <c r="A4927" s="2" t="s">
        <v>3104</v>
      </c>
      <c r="B4927" s="2" t="s">
        <v>36</v>
      </c>
      <c r="C4927" s="2" t="s">
        <v>36</v>
      </c>
      <c r="D4927" s="2">
        <v>13</v>
      </c>
    </row>
    <row r="4928" spans="1:4">
      <c r="A4928" s="2" t="s">
        <v>1684</v>
      </c>
      <c r="B4928" s="2" t="s">
        <v>36</v>
      </c>
      <c r="C4928" s="2" t="s">
        <v>36</v>
      </c>
      <c r="D4928" s="2">
        <v>13</v>
      </c>
    </row>
    <row r="4929" spans="1:4">
      <c r="A4929" s="10">
        <v>37135</v>
      </c>
      <c r="B4929" s="2" t="s">
        <v>36</v>
      </c>
      <c r="C4929" s="2" t="s">
        <v>36</v>
      </c>
      <c r="D4929" s="2">
        <v>13</v>
      </c>
    </row>
    <row r="4930" spans="1:4">
      <c r="A4930" s="2" t="s">
        <v>1686</v>
      </c>
      <c r="B4930" s="2" t="s">
        <v>36</v>
      </c>
      <c r="C4930" s="2" t="s">
        <v>36</v>
      </c>
      <c r="D4930" s="2">
        <v>12</v>
      </c>
    </row>
    <row r="4931" spans="1:4">
      <c r="A4931" s="2" t="s">
        <v>1146</v>
      </c>
      <c r="B4931" s="2" t="s">
        <v>36</v>
      </c>
      <c r="C4931" s="2" t="s">
        <v>36</v>
      </c>
      <c r="D4931" s="2">
        <v>10</v>
      </c>
    </row>
    <row r="4932" spans="1:4">
      <c r="A4932" s="2" t="s">
        <v>1132</v>
      </c>
      <c r="B4932" s="2" t="s">
        <v>36</v>
      </c>
      <c r="C4932" s="2" t="s">
        <v>36</v>
      </c>
      <c r="D4932" s="2">
        <v>10</v>
      </c>
    </row>
    <row r="4933" spans="1:4">
      <c r="A4933" s="2" t="s">
        <v>3539</v>
      </c>
      <c r="B4933" s="2" t="s">
        <v>36</v>
      </c>
      <c r="C4933" s="2" t="s">
        <v>36</v>
      </c>
      <c r="D4933" s="2">
        <v>9</v>
      </c>
    </row>
    <row r="4934" spans="1:4">
      <c r="A4934" s="2" t="s">
        <v>3568</v>
      </c>
      <c r="B4934" s="2" t="s">
        <v>36</v>
      </c>
      <c r="C4934" s="2" t="s">
        <v>36</v>
      </c>
      <c r="D4934" s="2">
        <v>9</v>
      </c>
    </row>
    <row r="4935" spans="1:4">
      <c r="A4935" s="2" t="s">
        <v>3561</v>
      </c>
      <c r="B4935" s="2" t="s">
        <v>36</v>
      </c>
      <c r="C4935" s="2" t="s">
        <v>36</v>
      </c>
      <c r="D4935" s="2">
        <v>8</v>
      </c>
    </row>
    <row r="4936" spans="1:4">
      <c r="A4936" s="2" t="s">
        <v>3512</v>
      </c>
      <c r="B4936" s="2" t="s">
        <v>36</v>
      </c>
      <c r="C4936" s="2" t="s">
        <v>36</v>
      </c>
      <c r="D4936" s="2">
        <v>7</v>
      </c>
    </row>
    <row r="4937" spans="1:4">
      <c r="A4937" s="2" t="s">
        <v>1209</v>
      </c>
      <c r="B4937" s="2" t="s">
        <v>36</v>
      </c>
      <c r="C4937" s="2" t="s">
        <v>36</v>
      </c>
      <c r="D4937" s="2">
        <v>6</v>
      </c>
    </row>
    <row r="4938" spans="1:4">
      <c r="A4938" s="2" t="s">
        <v>3517</v>
      </c>
      <c r="B4938" s="2" t="s">
        <v>36</v>
      </c>
      <c r="C4938" s="2" t="s">
        <v>36</v>
      </c>
      <c r="D4938" s="2">
        <v>3</v>
      </c>
    </row>
    <row r="4939" spans="1:4">
      <c r="A4939" s="2" t="s">
        <v>352</v>
      </c>
      <c r="B4939" s="2" t="s">
        <v>36</v>
      </c>
      <c r="C4939" s="2" t="s">
        <v>38</v>
      </c>
      <c r="D4939" s="2">
        <v>448</v>
      </c>
    </row>
    <row r="4940" spans="1:4">
      <c r="A4940" s="2" t="s">
        <v>401</v>
      </c>
      <c r="B4940" s="2" t="s">
        <v>36</v>
      </c>
      <c r="C4940" s="2" t="s">
        <v>38</v>
      </c>
      <c r="D4940" s="2">
        <v>427</v>
      </c>
    </row>
    <row r="4941" spans="1:4">
      <c r="A4941" s="2" t="s">
        <v>358</v>
      </c>
      <c r="B4941" s="2" t="s">
        <v>36</v>
      </c>
      <c r="C4941" s="2" t="s">
        <v>38</v>
      </c>
      <c r="D4941" s="2">
        <v>423</v>
      </c>
    </row>
    <row r="4942" spans="1:4">
      <c r="A4942" s="2" t="s">
        <v>2581</v>
      </c>
      <c r="B4942" s="2" t="s">
        <v>36</v>
      </c>
      <c r="C4942" s="2" t="s">
        <v>38</v>
      </c>
      <c r="D4942" s="2">
        <v>400</v>
      </c>
    </row>
    <row r="4943" spans="1:4">
      <c r="A4943" s="2" t="s">
        <v>2080</v>
      </c>
      <c r="B4943" s="2" t="s">
        <v>36</v>
      </c>
      <c r="C4943" s="2" t="s">
        <v>38</v>
      </c>
      <c r="D4943" s="2">
        <v>399</v>
      </c>
    </row>
    <row r="4944" spans="1:4">
      <c r="A4944" s="2" t="s">
        <v>318</v>
      </c>
      <c r="B4944" s="2" t="s">
        <v>36</v>
      </c>
      <c r="C4944" s="2" t="s">
        <v>38</v>
      </c>
      <c r="D4944" s="2">
        <v>397</v>
      </c>
    </row>
    <row r="4945" spans="1:4">
      <c r="A4945" s="2" t="s">
        <v>393</v>
      </c>
      <c r="B4945" s="2" t="s">
        <v>36</v>
      </c>
      <c r="C4945" s="2" t="s">
        <v>38</v>
      </c>
      <c r="D4945" s="2">
        <v>385</v>
      </c>
    </row>
    <row r="4946" spans="1:4">
      <c r="A4946" s="2" t="s">
        <v>328</v>
      </c>
      <c r="B4946" s="2" t="s">
        <v>36</v>
      </c>
      <c r="C4946" s="2" t="s">
        <v>38</v>
      </c>
      <c r="D4946" s="2">
        <v>384</v>
      </c>
    </row>
    <row r="4947" spans="1:4">
      <c r="A4947" s="2" t="s">
        <v>416</v>
      </c>
      <c r="B4947" s="2" t="s">
        <v>36</v>
      </c>
      <c r="C4947" s="2" t="s">
        <v>38</v>
      </c>
      <c r="D4947" s="2">
        <v>379</v>
      </c>
    </row>
    <row r="4948" spans="1:4">
      <c r="A4948" s="2" t="s">
        <v>1154</v>
      </c>
      <c r="B4948" s="2" t="s">
        <v>36</v>
      </c>
      <c r="C4948" s="2" t="s">
        <v>38</v>
      </c>
      <c r="D4948" s="2">
        <v>377</v>
      </c>
    </row>
    <row r="4949" spans="1:4">
      <c r="A4949" s="2" t="s">
        <v>329</v>
      </c>
      <c r="B4949" s="2" t="s">
        <v>36</v>
      </c>
      <c r="C4949" s="2" t="s">
        <v>38</v>
      </c>
      <c r="D4949" s="2">
        <v>377</v>
      </c>
    </row>
    <row r="4950" spans="1:4">
      <c r="A4950" s="2" t="s">
        <v>1173</v>
      </c>
      <c r="B4950" s="2" t="s">
        <v>36</v>
      </c>
      <c r="C4950" s="2" t="s">
        <v>38</v>
      </c>
      <c r="D4950" s="2">
        <v>372</v>
      </c>
    </row>
    <row r="4951" spans="1:4">
      <c r="A4951" s="2" t="s">
        <v>2602</v>
      </c>
      <c r="B4951" s="2" t="s">
        <v>36</v>
      </c>
      <c r="C4951" s="2" t="s">
        <v>38</v>
      </c>
      <c r="D4951" s="2">
        <v>370</v>
      </c>
    </row>
    <row r="4952" spans="1:4">
      <c r="A4952" s="2" t="s">
        <v>363</v>
      </c>
      <c r="B4952" s="2" t="s">
        <v>36</v>
      </c>
      <c r="C4952" s="2" t="s">
        <v>38</v>
      </c>
      <c r="D4952" s="2">
        <v>367</v>
      </c>
    </row>
    <row r="4953" spans="1:4">
      <c r="A4953" s="2" t="s">
        <v>3059</v>
      </c>
      <c r="B4953" s="2" t="s">
        <v>36</v>
      </c>
      <c r="C4953" s="2" t="s">
        <v>38</v>
      </c>
      <c r="D4953" s="2">
        <v>364</v>
      </c>
    </row>
    <row r="4954" spans="1:4">
      <c r="A4954" s="2" t="s">
        <v>366</v>
      </c>
      <c r="B4954" s="2" t="s">
        <v>36</v>
      </c>
      <c r="C4954" s="2" t="s">
        <v>38</v>
      </c>
      <c r="D4954" s="2">
        <v>355</v>
      </c>
    </row>
    <row r="4955" spans="1:4">
      <c r="A4955" s="2" t="s">
        <v>1168</v>
      </c>
      <c r="B4955" s="2" t="s">
        <v>36</v>
      </c>
      <c r="C4955" s="2" t="s">
        <v>38</v>
      </c>
      <c r="D4955" s="2">
        <v>353</v>
      </c>
    </row>
    <row r="4956" spans="1:4">
      <c r="A4956" s="2" t="s">
        <v>340</v>
      </c>
      <c r="B4956" s="2" t="s">
        <v>36</v>
      </c>
      <c r="C4956" s="2" t="s">
        <v>38</v>
      </c>
      <c r="D4956" s="2">
        <v>353</v>
      </c>
    </row>
    <row r="4957" spans="1:4">
      <c r="A4957" s="2" t="s">
        <v>335</v>
      </c>
      <c r="B4957" s="2" t="s">
        <v>36</v>
      </c>
      <c r="C4957" s="2" t="s">
        <v>38</v>
      </c>
      <c r="D4957" s="2">
        <v>352</v>
      </c>
    </row>
    <row r="4958" spans="1:4">
      <c r="A4958" s="2" t="s">
        <v>3106</v>
      </c>
      <c r="B4958" s="2" t="s">
        <v>36</v>
      </c>
      <c r="C4958" s="2" t="s">
        <v>38</v>
      </c>
      <c r="D4958" s="2">
        <v>351</v>
      </c>
    </row>
    <row r="4959" spans="1:4">
      <c r="A4959" s="2" t="s">
        <v>2576</v>
      </c>
      <c r="B4959" s="2" t="s">
        <v>36</v>
      </c>
      <c r="C4959" s="2" t="s">
        <v>38</v>
      </c>
      <c r="D4959" s="2">
        <v>350</v>
      </c>
    </row>
    <row r="4960" spans="1:4">
      <c r="A4960" s="2" t="s">
        <v>1184</v>
      </c>
      <c r="B4960" s="2" t="s">
        <v>36</v>
      </c>
      <c r="C4960" s="2" t="s">
        <v>38</v>
      </c>
      <c r="D4960" s="2">
        <v>347</v>
      </c>
    </row>
    <row r="4961" spans="1:4">
      <c r="A4961" s="2" t="s">
        <v>1117</v>
      </c>
      <c r="B4961" s="2" t="s">
        <v>36</v>
      </c>
      <c r="C4961" s="2" t="s">
        <v>38</v>
      </c>
      <c r="D4961" s="2">
        <v>343</v>
      </c>
    </row>
    <row r="4962" spans="1:4">
      <c r="A4962" s="2" t="s">
        <v>3984</v>
      </c>
      <c r="B4962" s="2" t="s">
        <v>36</v>
      </c>
      <c r="C4962" s="2" t="s">
        <v>38</v>
      </c>
      <c r="D4962" s="2">
        <v>340</v>
      </c>
    </row>
    <row r="4963" spans="1:4">
      <c r="A4963" s="2" t="s">
        <v>2630</v>
      </c>
      <c r="B4963" s="2" t="s">
        <v>36</v>
      </c>
      <c r="C4963" s="2" t="s">
        <v>38</v>
      </c>
      <c r="D4963" s="2">
        <v>335</v>
      </c>
    </row>
    <row r="4964" spans="1:4">
      <c r="A4964" s="2" t="s">
        <v>381</v>
      </c>
      <c r="B4964" s="2" t="s">
        <v>36</v>
      </c>
      <c r="C4964" s="2" t="s">
        <v>38</v>
      </c>
      <c r="D4964" s="2">
        <v>331</v>
      </c>
    </row>
    <row r="4965" spans="1:4">
      <c r="A4965" s="2" t="s">
        <v>369</v>
      </c>
      <c r="B4965" s="2" t="s">
        <v>36</v>
      </c>
      <c r="C4965" s="2" t="s">
        <v>38</v>
      </c>
      <c r="D4965" s="2">
        <v>327</v>
      </c>
    </row>
    <row r="4966" spans="1:4">
      <c r="A4966" s="2" t="s">
        <v>4707</v>
      </c>
      <c r="B4966" s="2" t="s">
        <v>36</v>
      </c>
      <c r="C4966" s="2" t="s">
        <v>38</v>
      </c>
      <c r="D4966" s="2">
        <v>327</v>
      </c>
    </row>
    <row r="4967" spans="1:4">
      <c r="A4967" s="2" t="s">
        <v>383</v>
      </c>
      <c r="B4967" s="2" t="s">
        <v>36</v>
      </c>
      <c r="C4967" s="2" t="s">
        <v>38</v>
      </c>
      <c r="D4967" s="2">
        <v>321</v>
      </c>
    </row>
    <row r="4968" spans="1:4">
      <c r="A4968" s="2" t="s">
        <v>1188</v>
      </c>
      <c r="B4968" s="2" t="s">
        <v>36</v>
      </c>
      <c r="C4968" s="2" t="s">
        <v>38</v>
      </c>
      <c r="D4968" s="2">
        <v>319</v>
      </c>
    </row>
    <row r="4969" spans="1:4">
      <c r="A4969" s="2" t="s">
        <v>3088</v>
      </c>
      <c r="B4969" s="2" t="s">
        <v>36</v>
      </c>
      <c r="C4969" s="2" t="s">
        <v>38</v>
      </c>
      <c r="D4969" s="2">
        <v>317</v>
      </c>
    </row>
    <row r="4970" spans="1:4">
      <c r="A4970" s="2" t="s">
        <v>429</v>
      </c>
      <c r="B4970" s="2" t="s">
        <v>36</v>
      </c>
      <c r="C4970" s="2" t="s">
        <v>38</v>
      </c>
      <c r="D4970" s="2">
        <v>316</v>
      </c>
    </row>
    <row r="4971" spans="1:4">
      <c r="A4971" s="2" t="s">
        <v>1969</v>
      </c>
      <c r="B4971" s="2" t="s">
        <v>36</v>
      </c>
      <c r="C4971" s="2" t="s">
        <v>38</v>
      </c>
      <c r="D4971" s="2">
        <v>315</v>
      </c>
    </row>
    <row r="4972" spans="1:4">
      <c r="A4972" s="2" t="s">
        <v>3027</v>
      </c>
      <c r="B4972" s="2" t="s">
        <v>36</v>
      </c>
      <c r="C4972" s="2" t="s">
        <v>38</v>
      </c>
      <c r="D4972" s="2">
        <v>315</v>
      </c>
    </row>
    <row r="4973" spans="1:4">
      <c r="A4973" s="2" t="s">
        <v>413</v>
      </c>
      <c r="B4973" s="2" t="s">
        <v>36</v>
      </c>
      <c r="C4973" s="2" t="s">
        <v>38</v>
      </c>
      <c r="D4973" s="2">
        <v>314</v>
      </c>
    </row>
    <row r="4974" spans="1:4">
      <c r="A4974" s="2" t="s">
        <v>390</v>
      </c>
      <c r="B4974" s="2" t="s">
        <v>36</v>
      </c>
      <c r="C4974" s="2" t="s">
        <v>38</v>
      </c>
      <c r="D4974" s="2">
        <v>314</v>
      </c>
    </row>
    <row r="4975" spans="1:4">
      <c r="A4975" s="2" t="s">
        <v>301</v>
      </c>
      <c r="B4975" s="2" t="s">
        <v>36</v>
      </c>
      <c r="C4975" s="2" t="s">
        <v>38</v>
      </c>
      <c r="D4975" s="2">
        <v>312</v>
      </c>
    </row>
    <row r="4976" spans="1:4">
      <c r="A4976" s="2" t="s">
        <v>2603</v>
      </c>
      <c r="B4976" s="2" t="s">
        <v>36</v>
      </c>
      <c r="C4976" s="2" t="s">
        <v>38</v>
      </c>
      <c r="D4976" s="2">
        <v>312</v>
      </c>
    </row>
    <row r="4977" spans="1:4">
      <c r="A4977" s="2" t="s">
        <v>382</v>
      </c>
      <c r="B4977" s="2" t="s">
        <v>36</v>
      </c>
      <c r="C4977" s="2" t="s">
        <v>38</v>
      </c>
      <c r="D4977" s="2">
        <v>310</v>
      </c>
    </row>
    <row r="4978" spans="1:4">
      <c r="A4978" s="2" t="s">
        <v>427</v>
      </c>
      <c r="B4978" s="2" t="s">
        <v>36</v>
      </c>
      <c r="C4978" s="2" t="s">
        <v>38</v>
      </c>
      <c r="D4978" s="2">
        <v>308</v>
      </c>
    </row>
    <row r="4979" spans="1:4">
      <c r="A4979" s="2" t="s">
        <v>391</v>
      </c>
      <c r="B4979" s="2" t="s">
        <v>36</v>
      </c>
      <c r="C4979" s="2" t="s">
        <v>38</v>
      </c>
      <c r="D4979" s="2">
        <v>308</v>
      </c>
    </row>
    <row r="4980" spans="1:4">
      <c r="A4980" s="2" t="s">
        <v>392</v>
      </c>
      <c r="B4980" s="2" t="s">
        <v>36</v>
      </c>
      <c r="C4980" s="2" t="s">
        <v>38</v>
      </c>
      <c r="D4980" s="2">
        <v>306</v>
      </c>
    </row>
    <row r="4981" spans="1:4">
      <c r="A4981" s="2" t="s">
        <v>2582</v>
      </c>
      <c r="B4981" s="2" t="s">
        <v>36</v>
      </c>
      <c r="C4981" s="2" t="s">
        <v>38</v>
      </c>
      <c r="D4981" s="2">
        <v>306</v>
      </c>
    </row>
    <row r="4982" spans="1:4">
      <c r="A4982" s="2" t="s">
        <v>414</v>
      </c>
      <c r="B4982" s="2" t="s">
        <v>36</v>
      </c>
      <c r="C4982" s="2" t="s">
        <v>38</v>
      </c>
      <c r="D4982" s="2">
        <v>305</v>
      </c>
    </row>
    <row r="4983" spans="1:4">
      <c r="A4983" s="2" t="s">
        <v>3122</v>
      </c>
      <c r="B4983" s="2" t="s">
        <v>36</v>
      </c>
      <c r="C4983" s="2" t="s">
        <v>38</v>
      </c>
      <c r="D4983" s="2">
        <v>304</v>
      </c>
    </row>
    <row r="4984" spans="1:4">
      <c r="A4984" s="2" t="s">
        <v>2606</v>
      </c>
      <c r="B4984" s="2" t="s">
        <v>36</v>
      </c>
      <c r="C4984" s="2" t="s">
        <v>38</v>
      </c>
      <c r="D4984" s="2">
        <v>304</v>
      </c>
    </row>
    <row r="4985" spans="1:4">
      <c r="A4985" s="2" t="s">
        <v>2556</v>
      </c>
      <c r="B4985" s="2" t="s">
        <v>36</v>
      </c>
      <c r="C4985" s="2" t="s">
        <v>38</v>
      </c>
      <c r="D4985" s="2">
        <v>304</v>
      </c>
    </row>
    <row r="4986" spans="1:4">
      <c r="A4986" s="2" t="s">
        <v>2646</v>
      </c>
      <c r="B4986" s="2" t="s">
        <v>36</v>
      </c>
      <c r="C4986" s="2" t="s">
        <v>38</v>
      </c>
      <c r="D4986" s="2">
        <v>301</v>
      </c>
    </row>
    <row r="4987" spans="1:4">
      <c r="A4987" s="2" t="s">
        <v>1153</v>
      </c>
      <c r="B4987" s="2" t="s">
        <v>36</v>
      </c>
      <c r="C4987" s="2" t="s">
        <v>38</v>
      </c>
      <c r="D4987" s="2">
        <v>300</v>
      </c>
    </row>
    <row r="4988" spans="1:4">
      <c r="A4988" s="2" t="s">
        <v>3990</v>
      </c>
      <c r="B4988" s="2" t="s">
        <v>36</v>
      </c>
      <c r="C4988" s="2" t="s">
        <v>38</v>
      </c>
      <c r="D4988" s="2">
        <v>300</v>
      </c>
    </row>
    <row r="4989" spans="1:4">
      <c r="A4989" s="2" t="s">
        <v>399</v>
      </c>
      <c r="B4989" s="2" t="s">
        <v>36</v>
      </c>
      <c r="C4989" s="2" t="s">
        <v>38</v>
      </c>
      <c r="D4989" s="2">
        <v>297</v>
      </c>
    </row>
    <row r="4990" spans="1:4">
      <c r="A4990" s="2" t="s">
        <v>3100</v>
      </c>
      <c r="B4990" s="2" t="s">
        <v>36</v>
      </c>
      <c r="C4990" s="2" t="s">
        <v>38</v>
      </c>
      <c r="D4990" s="2">
        <v>296</v>
      </c>
    </row>
    <row r="4991" spans="1:4">
      <c r="A4991" s="2" t="s">
        <v>2585</v>
      </c>
      <c r="B4991" s="2" t="s">
        <v>36</v>
      </c>
      <c r="C4991" s="2" t="s">
        <v>38</v>
      </c>
      <c r="D4991" s="2">
        <v>295</v>
      </c>
    </row>
    <row r="4992" spans="1:4">
      <c r="A4992" s="2" t="s">
        <v>405</v>
      </c>
      <c r="B4992" s="2" t="s">
        <v>36</v>
      </c>
      <c r="C4992" s="2" t="s">
        <v>38</v>
      </c>
      <c r="D4992" s="2">
        <v>295</v>
      </c>
    </row>
    <row r="4993" spans="1:4">
      <c r="A4993" s="2" t="s">
        <v>2062</v>
      </c>
      <c r="B4993" s="2" t="s">
        <v>36</v>
      </c>
      <c r="C4993" s="2" t="s">
        <v>38</v>
      </c>
      <c r="D4993" s="2">
        <v>294</v>
      </c>
    </row>
    <row r="4994" spans="1:4">
      <c r="A4994" s="2" t="s">
        <v>4347</v>
      </c>
      <c r="B4994" s="2" t="s">
        <v>36</v>
      </c>
      <c r="C4994" s="2" t="s">
        <v>38</v>
      </c>
      <c r="D4994" s="2">
        <v>294</v>
      </c>
    </row>
    <row r="4995" spans="1:4">
      <c r="A4995" s="2" t="s">
        <v>310</v>
      </c>
      <c r="B4995" s="2" t="s">
        <v>36</v>
      </c>
      <c r="C4995" s="2" t="s">
        <v>38</v>
      </c>
      <c r="D4995" s="2">
        <v>293</v>
      </c>
    </row>
    <row r="4996" spans="1:4">
      <c r="A4996" s="2" t="s">
        <v>403</v>
      </c>
      <c r="B4996" s="2" t="s">
        <v>36</v>
      </c>
      <c r="C4996" s="2" t="s">
        <v>38</v>
      </c>
      <c r="D4996" s="2">
        <v>291</v>
      </c>
    </row>
    <row r="4997" spans="1:4">
      <c r="A4997" s="2" t="s">
        <v>4310</v>
      </c>
      <c r="B4997" s="2" t="s">
        <v>36</v>
      </c>
      <c r="C4997" s="2" t="s">
        <v>38</v>
      </c>
      <c r="D4997" s="2">
        <v>291</v>
      </c>
    </row>
    <row r="4998" spans="1:4">
      <c r="A4998" s="2" t="s">
        <v>425</v>
      </c>
      <c r="B4998" s="2" t="s">
        <v>36</v>
      </c>
      <c r="C4998" s="2" t="s">
        <v>38</v>
      </c>
      <c r="D4998" s="2">
        <v>289</v>
      </c>
    </row>
    <row r="4999" spans="1:4">
      <c r="A4999" s="2" t="s">
        <v>350</v>
      </c>
      <c r="B4999" s="2" t="s">
        <v>36</v>
      </c>
      <c r="C4999" s="2" t="s">
        <v>38</v>
      </c>
      <c r="D4999" s="2">
        <v>289</v>
      </c>
    </row>
    <row r="5000" spans="1:4">
      <c r="A5000" s="2" t="s">
        <v>297</v>
      </c>
      <c r="B5000" s="2" t="s">
        <v>36</v>
      </c>
      <c r="C5000" s="2" t="s">
        <v>38</v>
      </c>
      <c r="D5000" s="2">
        <v>289</v>
      </c>
    </row>
    <row r="5001" spans="1:4">
      <c r="A5001" s="2" t="s">
        <v>384</v>
      </c>
      <c r="B5001" s="2" t="s">
        <v>36</v>
      </c>
      <c r="C5001" s="2" t="s">
        <v>38</v>
      </c>
      <c r="D5001" s="2">
        <v>288</v>
      </c>
    </row>
    <row r="5002" spans="1:4">
      <c r="A5002" s="2" t="s">
        <v>1135</v>
      </c>
      <c r="B5002" s="2" t="s">
        <v>36</v>
      </c>
      <c r="C5002" s="2" t="s">
        <v>38</v>
      </c>
      <c r="D5002" s="2">
        <v>287</v>
      </c>
    </row>
    <row r="5003" spans="1:4">
      <c r="A5003" s="2" t="s">
        <v>348</v>
      </c>
      <c r="B5003" s="2" t="s">
        <v>36</v>
      </c>
      <c r="C5003" s="2" t="s">
        <v>38</v>
      </c>
      <c r="D5003" s="2">
        <v>286</v>
      </c>
    </row>
    <row r="5004" spans="1:4">
      <c r="A5004" s="2" t="s">
        <v>1199</v>
      </c>
      <c r="B5004" s="2" t="s">
        <v>36</v>
      </c>
      <c r="C5004" s="2" t="s">
        <v>38</v>
      </c>
      <c r="D5004" s="2">
        <v>285</v>
      </c>
    </row>
    <row r="5005" spans="1:4">
      <c r="A5005" s="2" t="s">
        <v>3518</v>
      </c>
      <c r="B5005" s="2" t="s">
        <v>36</v>
      </c>
      <c r="C5005" s="2" t="s">
        <v>38</v>
      </c>
      <c r="D5005" s="2">
        <v>285</v>
      </c>
    </row>
    <row r="5006" spans="1:4">
      <c r="A5006" s="2" t="s">
        <v>1964</v>
      </c>
      <c r="B5006" s="2" t="s">
        <v>36</v>
      </c>
      <c r="C5006" s="2" t="s">
        <v>38</v>
      </c>
      <c r="D5006" s="2">
        <v>285</v>
      </c>
    </row>
    <row r="5007" spans="1:4">
      <c r="A5007" s="2" t="s">
        <v>1983</v>
      </c>
      <c r="B5007" s="2" t="s">
        <v>36</v>
      </c>
      <c r="C5007" s="2" t="s">
        <v>38</v>
      </c>
      <c r="D5007" s="2">
        <v>284</v>
      </c>
    </row>
    <row r="5008" spans="1:4">
      <c r="A5008" s="2" t="s">
        <v>4336</v>
      </c>
      <c r="B5008" s="2" t="s">
        <v>36</v>
      </c>
      <c r="C5008" s="2" t="s">
        <v>38</v>
      </c>
      <c r="D5008" s="2">
        <v>284</v>
      </c>
    </row>
    <row r="5009" spans="1:4">
      <c r="A5009" s="2" t="s">
        <v>1148</v>
      </c>
      <c r="B5009" s="2" t="s">
        <v>36</v>
      </c>
      <c r="C5009" s="2" t="s">
        <v>38</v>
      </c>
      <c r="D5009" s="2">
        <v>283</v>
      </c>
    </row>
    <row r="5010" spans="1:4">
      <c r="A5010" s="2" t="s">
        <v>2048</v>
      </c>
      <c r="B5010" s="2" t="s">
        <v>36</v>
      </c>
      <c r="C5010" s="2" t="s">
        <v>38</v>
      </c>
      <c r="D5010" s="2">
        <v>283</v>
      </c>
    </row>
    <row r="5011" spans="1:4">
      <c r="A5011" s="2" t="s">
        <v>315</v>
      </c>
      <c r="B5011" s="2" t="s">
        <v>36</v>
      </c>
      <c r="C5011" s="2" t="s">
        <v>38</v>
      </c>
      <c r="D5011" s="2">
        <v>282</v>
      </c>
    </row>
    <row r="5012" spans="1:4">
      <c r="A5012" s="2" t="s">
        <v>3498</v>
      </c>
      <c r="B5012" s="2" t="s">
        <v>36</v>
      </c>
      <c r="C5012" s="2" t="s">
        <v>38</v>
      </c>
      <c r="D5012" s="2">
        <v>281</v>
      </c>
    </row>
    <row r="5013" spans="1:4">
      <c r="A5013" s="2" t="s">
        <v>423</v>
      </c>
      <c r="B5013" s="2" t="s">
        <v>36</v>
      </c>
      <c r="C5013" s="2" t="s">
        <v>38</v>
      </c>
      <c r="D5013" s="2">
        <v>280</v>
      </c>
    </row>
    <row r="5014" spans="1:4">
      <c r="A5014" s="2" t="s">
        <v>1668</v>
      </c>
      <c r="B5014" s="2" t="s">
        <v>36</v>
      </c>
      <c r="C5014" s="2" t="s">
        <v>38</v>
      </c>
      <c r="D5014" s="2">
        <v>280</v>
      </c>
    </row>
    <row r="5015" spans="1:4">
      <c r="A5015" s="2" t="s">
        <v>1996</v>
      </c>
      <c r="B5015" s="2" t="s">
        <v>36</v>
      </c>
      <c r="C5015" s="2" t="s">
        <v>38</v>
      </c>
      <c r="D5015" s="2">
        <v>280</v>
      </c>
    </row>
    <row r="5016" spans="1:4">
      <c r="A5016" s="2" t="s">
        <v>3967</v>
      </c>
      <c r="B5016" s="2" t="s">
        <v>36</v>
      </c>
      <c r="C5016" s="2" t="s">
        <v>38</v>
      </c>
      <c r="D5016" s="2">
        <v>278</v>
      </c>
    </row>
    <row r="5017" spans="1:4">
      <c r="A5017" s="2" t="s">
        <v>3111</v>
      </c>
      <c r="B5017" s="2" t="s">
        <v>36</v>
      </c>
      <c r="C5017" s="2" t="s">
        <v>38</v>
      </c>
      <c r="D5017" s="2">
        <v>276</v>
      </c>
    </row>
    <row r="5018" spans="1:4">
      <c r="A5018" s="2" t="s">
        <v>1140</v>
      </c>
      <c r="B5018" s="2" t="s">
        <v>36</v>
      </c>
      <c r="C5018" s="2" t="s">
        <v>38</v>
      </c>
      <c r="D5018" s="2">
        <v>275</v>
      </c>
    </row>
    <row r="5019" spans="1:4">
      <c r="A5019" s="2" t="s">
        <v>3974</v>
      </c>
      <c r="B5019" s="2" t="s">
        <v>36</v>
      </c>
      <c r="C5019" s="2" t="s">
        <v>38</v>
      </c>
      <c r="D5019" s="2">
        <v>275</v>
      </c>
    </row>
    <row r="5020" spans="1:4">
      <c r="A5020" s="2" t="s">
        <v>2578</v>
      </c>
      <c r="B5020" s="2" t="s">
        <v>36</v>
      </c>
      <c r="C5020" s="2" t="s">
        <v>38</v>
      </c>
      <c r="D5020" s="2">
        <v>275</v>
      </c>
    </row>
    <row r="5021" spans="1:4">
      <c r="A5021" s="2" t="s">
        <v>4002</v>
      </c>
      <c r="B5021" s="2" t="s">
        <v>36</v>
      </c>
      <c r="C5021" s="2" t="s">
        <v>38</v>
      </c>
      <c r="D5021" s="2">
        <v>274</v>
      </c>
    </row>
    <row r="5022" spans="1:4">
      <c r="A5022" s="2" t="s">
        <v>1649</v>
      </c>
      <c r="B5022" s="2" t="s">
        <v>36</v>
      </c>
      <c r="C5022" s="2" t="s">
        <v>38</v>
      </c>
      <c r="D5022" s="2">
        <v>274</v>
      </c>
    </row>
    <row r="5023" spans="1:4" ht="15.75" customHeight="1">
      <c r="A5023" t="s">
        <v>299</v>
      </c>
      <c r="B5023" t="s">
        <v>36</v>
      </c>
      <c r="C5023" t="s">
        <v>38</v>
      </c>
      <c r="D5023">
        <v>272</v>
      </c>
    </row>
    <row r="5024" spans="1:4" ht="15.75" customHeight="1">
      <c r="A5024" t="s">
        <v>3050</v>
      </c>
      <c r="B5024" t="s">
        <v>36</v>
      </c>
      <c r="C5024" t="s">
        <v>38</v>
      </c>
      <c r="D5024">
        <v>272</v>
      </c>
    </row>
    <row r="5025" spans="1:4" ht="15.75" customHeight="1">
      <c r="A5025" t="s">
        <v>3534</v>
      </c>
      <c r="B5025" t="s">
        <v>36</v>
      </c>
      <c r="C5025" t="s">
        <v>38</v>
      </c>
      <c r="D5025">
        <v>272</v>
      </c>
    </row>
    <row r="5026" spans="1:4" ht="15.75" customHeight="1">
      <c r="A5026" t="s">
        <v>4280</v>
      </c>
      <c r="B5026" t="s">
        <v>36</v>
      </c>
      <c r="C5026" t="s">
        <v>38</v>
      </c>
      <c r="D5026">
        <v>270</v>
      </c>
    </row>
    <row r="5027" spans="1:4" ht="15.75" customHeight="1">
      <c r="A5027" t="s">
        <v>2055</v>
      </c>
      <c r="B5027" t="s">
        <v>36</v>
      </c>
      <c r="C5027" t="s">
        <v>38</v>
      </c>
      <c r="D5027">
        <v>268</v>
      </c>
    </row>
    <row r="5028" spans="1:4" ht="15.75" customHeight="1">
      <c r="A5028" t="s">
        <v>370</v>
      </c>
      <c r="B5028" t="s">
        <v>36</v>
      </c>
      <c r="C5028" t="s">
        <v>38</v>
      </c>
      <c r="D5028">
        <v>267</v>
      </c>
    </row>
    <row r="5029" spans="1:4" ht="15.75" customHeight="1">
      <c r="A5029" t="s">
        <v>2625</v>
      </c>
      <c r="B5029" t="s">
        <v>36</v>
      </c>
      <c r="C5029" t="s">
        <v>38</v>
      </c>
      <c r="D5029">
        <v>266</v>
      </c>
    </row>
    <row r="5030" spans="1:4" ht="15.75" customHeight="1">
      <c r="A5030" t="s">
        <v>1211</v>
      </c>
      <c r="B5030" t="s">
        <v>36</v>
      </c>
      <c r="C5030" t="s">
        <v>38</v>
      </c>
      <c r="D5030">
        <v>265</v>
      </c>
    </row>
    <row r="5031" spans="1:4" ht="15.75" customHeight="1">
      <c r="A5031" t="s">
        <v>4330</v>
      </c>
      <c r="B5031" t="s">
        <v>36</v>
      </c>
      <c r="C5031" t="s">
        <v>38</v>
      </c>
      <c r="D5031">
        <v>264</v>
      </c>
    </row>
    <row r="5032" spans="1:4" ht="15.75" customHeight="1">
      <c r="A5032" t="s">
        <v>4001</v>
      </c>
      <c r="B5032" t="s">
        <v>36</v>
      </c>
      <c r="C5032" t="s">
        <v>38</v>
      </c>
      <c r="D5032">
        <v>263</v>
      </c>
    </row>
    <row r="5033" spans="1:4" ht="15.75" customHeight="1">
      <c r="A5033" t="s">
        <v>3981</v>
      </c>
      <c r="B5033" t="s">
        <v>36</v>
      </c>
      <c r="C5033" t="s">
        <v>38</v>
      </c>
      <c r="D5033">
        <v>263</v>
      </c>
    </row>
    <row r="5034" spans="1:4" ht="15.75" customHeight="1">
      <c r="A5034" t="s">
        <v>1162</v>
      </c>
      <c r="B5034" t="s">
        <v>36</v>
      </c>
      <c r="C5034" t="s">
        <v>38</v>
      </c>
      <c r="D5034">
        <v>262</v>
      </c>
    </row>
    <row r="5035" spans="1:4" ht="15.75" customHeight="1">
      <c r="A5035" t="s">
        <v>4317</v>
      </c>
      <c r="B5035" t="s">
        <v>36</v>
      </c>
      <c r="C5035" t="s">
        <v>38</v>
      </c>
      <c r="D5035">
        <v>261</v>
      </c>
    </row>
    <row r="5036" spans="1:4" ht="15.75" customHeight="1">
      <c r="A5036" t="s">
        <v>2612</v>
      </c>
      <c r="B5036" t="s">
        <v>36</v>
      </c>
      <c r="C5036" t="s">
        <v>38</v>
      </c>
      <c r="D5036">
        <v>261</v>
      </c>
    </row>
    <row r="5037" spans="1:4" ht="15.75" customHeight="1">
      <c r="A5037" t="s">
        <v>4706</v>
      </c>
      <c r="B5037" t="s">
        <v>36</v>
      </c>
      <c r="C5037" t="s">
        <v>38</v>
      </c>
      <c r="D5037">
        <v>261</v>
      </c>
    </row>
    <row r="5038" spans="1:4" ht="15.75" customHeight="1">
      <c r="A5038" t="s">
        <v>2572</v>
      </c>
      <c r="B5038" t="s">
        <v>36</v>
      </c>
      <c r="C5038" t="s">
        <v>38</v>
      </c>
      <c r="D5038">
        <v>259</v>
      </c>
    </row>
    <row r="5039" spans="1:4" ht="15.75" customHeight="1">
      <c r="A5039" t="s">
        <v>357</v>
      </c>
      <c r="B5039" t="s">
        <v>36</v>
      </c>
      <c r="C5039" t="s">
        <v>38</v>
      </c>
      <c r="D5039">
        <v>258</v>
      </c>
    </row>
    <row r="5040" spans="1:4" ht="15.75" customHeight="1">
      <c r="A5040" t="s">
        <v>4696</v>
      </c>
      <c r="B5040" t="s">
        <v>36</v>
      </c>
      <c r="C5040" t="s">
        <v>38</v>
      </c>
      <c r="D5040">
        <v>258</v>
      </c>
    </row>
    <row r="5041" spans="1:4" ht="15.75" customHeight="1">
      <c r="A5041" t="s">
        <v>3522</v>
      </c>
      <c r="B5041" t="s">
        <v>36</v>
      </c>
      <c r="C5041" t="s">
        <v>38</v>
      </c>
      <c r="D5041">
        <v>257</v>
      </c>
    </row>
    <row r="5042" spans="1:4" ht="15.75" customHeight="1">
      <c r="A5042" t="s">
        <v>308</v>
      </c>
      <c r="B5042" t="s">
        <v>36</v>
      </c>
      <c r="C5042" t="s">
        <v>38</v>
      </c>
      <c r="D5042">
        <v>257</v>
      </c>
    </row>
    <row r="5043" spans="1:4" ht="15.75" customHeight="1">
      <c r="A5043" t="s">
        <v>3068</v>
      </c>
      <c r="B5043" t="s">
        <v>36</v>
      </c>
      <c r="C5043" t="s">
        <v>38</v>
      </c>
      <c r="D5043">
        <v>256</v>
      </c>
    </row>
    <row r="5044" spans="1:4" ht="15.75" customHeight="1">
      <c r="A5044" t="s">
        <v>2647</v>
      </c>
      <c r="B5044" t="s">
        <v>36</v>
      </c>
      <c r="C5044" t="s">
        <v>38</v>
      </c>
      <c r="D5044">
        <v>256</v>
      </c>
    </row>
    <row r="5045" spans="1:4" ht="15.75" customHeight="1">
      <c r="A5045" t="s">
        <v>2010</v>
      </c>
      <c r="B5045" t="s">
        <v>36</v>
      </c>
      <c r="C5045" t="s">
        <v>38</v>
      </c>
      <c r="D5045">
        <v>255</v>
      </c>
    </row>
    <row r="5046" spans="1:4" ht="15.75" customHeight="1">
      <c r="A5046" t="s">
        <v>1962</v>
      </c>
      <c r="B5046" t="s">
        <v>36</v>
      </c>
      <c r="C5046" t="s">
        <v>38</v>
      </c>
      <c r="D5046">
        <v>254</v>
      </c>
    </row>
    <row r="5047" spans="1:4" ht="15.75" customHeight="1">
      <c r="A5047" t="s">
        <v>3956</v>
      </c>
      <c r="B5047" t="s">
        <v>36</v>
      </c>
      <c r="C5047" t="s">
        <v>38</v>
      </c>
      <c r="D5047">
        <v>253</v>
      </c>
    </row>
    <row r="5048" spans="1:4" ht="15.75" customHeight="1">
      <c r="A5048" t="s">
        <v>1190</v>
      </c>
      <c r="B5048" t="s">
        <v>36</v>
      </c>
      <c r="C5048" t="s">
        <v>38</v>
      </c>
      <c r="D5048">
        <v>252</v>
      </c>
    </row>
    <row r="5049" spans="1:4" ht="15.75" customHeight="1">
      <c r="A5049" t="s">
        <v>2611</v>
      </c>
      <c r="B5049" t="s">
        <v>36</v>
      </c>
      <c r="C5049" t="s">
        <v>38</v>
      </c>
      <c r="D5049">
        <v>250</v>
      </c>
    </row>
    <row r="5050" spans="1:4" ht="15.75" customHeight="1">
      <c r="A5050" t="s">
        <v>3489</v>
      </c>
      <c r="B5050" t="s">
        <v>36</v>
      </c>
      <c r="C5050" t="s">
        <v>38</v>
      </c>
      <c r="D5050">
        <v>250</v>
      </c>
    </row>
    <row r="5051" spans="1:4" ht="15.75" customHeight="1">
      <c r="A5051" t="s">
        <v>407</v>
      </c>
      <c r="B5051" t="s">
        <v>36</v>
      </c>
      <c r="C5051" t="s">
        <v>38</v>
      </c>
      <c r="D5051">
        <v>250</v>
      </c>
    </row>
    <row r="5052" spans="1:4" ht="15.75" customHeight="1">
      <c r="A5052" t="s">
        <v>2046</v>
      </c>
      <c r="B5052" t="s">
        <v>36</v>
      </c>
      <c r="C5052" t="s">
        <v>38</v>
      </c>
      <c r="D5052">
        <v>249</v>
      </c>
    </row>
    <row r="5053" spans="1:4" ht="15.75" customHeight="1">
      <c r="A5053" t="s">
        <v>3051</v>
      </c>
      <c r="B5053" t="s">
        <v>36</v>
      </c>
      <c r="C5053" t="s">
        <v>38</v>
      </c>
      <c r="D5053">
        <v>249</v>
      </c>
    </row>
    <row r="5054" spans="1:4" ht="15.75" customHeight="1">
      <c r="A5054" t="s">
        <v>1178</v>
      </c>
      <c r="B5054" t="s">
        <v>36</v>
      </c>
      <c r="C5054" t="s">
        <v>38</v>
      </c>
      <c r="D5054">
        <v>249</v>
      </c>
    </row>
    <row r="5055" spans="1:4" ht="15.75" customHeight="1">
      <c r="A5055" t="s">
        <v>1642</v>
      </c>
      <c r="B5055" t="s">
        <v>36</v>
      </c>
      <c r="C5055" t="s">
        <v>38</v>
      </c>
      <c r="D5055">
        <v>249</v>
      </c>
    </row>
    <row r="5056" spans="1:4" ht="15.75" customHeight="1">
      <c r="A5056" t="s">
        <v>1181</v>
      </c>
      <c r="B5056" t="s">
        <v>36</v>
      </c>
      <c r="C5056" t="s">
        <v>38</v>
      </c>
      <c r="D5056">
        <v>248</v>
      </c>
    </row>
    <row r="5057" spans="1:4" ht="15.75" customHeight="1">
      <c r="A5057" t="s">
        <v>4692</v>
      </c>
      <c r="B5057" t="s">
        <v>36</v>
      </c>
      <c r="C5057" t="s">
        <v>38</v>
      </c>
      <c r="D5057">
        <v>248</v>
      </c>
    </row>
    <row r="5058" spans="1:4" ht="15.75" customHeight="1">
      <c r="A5058" t="s">
        <v>4699</v>
      </c>
      <c r="B5058" t="s">
        <v>36</v>
      </c>
      <c r="C5058" t="s">
        <v>38</v>
      </c>
      <c r="D5058">
        <v>248</v>
      </c>
    </row>
    <row r="5059" spans="1:4" ht="15.75" customHeight="1">
      <c r="A5059" t="s">
        <v>388</v>
      </c>
      <c r="B5059" t="s">
        <v>36</v>
      </c>
      <c r="C5059" t="s">
        <v>38</v>
      </c>
      <c r="D5059">
        <v>247</v>
      </c>
    </row>
    <row r="5060" spans="1:4" ht="15.75" customHeight="1">
      <c r="A5060" t="s">
        <v>1169</v>
      </c>
      <c r="B5060" t="s">
        <v>36</v>
      </c>
      <c r="C5060" t="s">
        <v>38</v>
      </c>
      <c r="D5060">
        <v>246</v>
      </c>
    </row>
    <row r="5061" spans="1:4" ht="15.75" customHeight="1">
      <c r="A5061" t="s">
        <v>412</v>
      </c>
      <c r="B5061" t="s">
        <v>36</v>
      </c>
      <c r="C5061" t="s">
        <v>38</v>
      </c>
      <c r="D5061">
        <v>246</v>
      </c>
    </row>
    <row r="5062" spans="1:4" ht="15.75" customHeight="1">
      <c r="A5062" t="s">
        <v>2084</v>
      </c>
      <c r="B5062" t="s">
        <v>36</v>
      </c>
      <c r="C5062" t="s">
        <v>38</v>
      </c>
      <c r="D5062">
        <v>245</v>
      </c>
    </row>
    <row r="5063" spans="1:4" ht="15.75" customHeight="1">
      <c r="A5063" t="s">
        <v>3957</v>
      </c>
      <c r="B5063" t="s">
        <v>36</v>
      </c>
      <c r="C5063" t="s">
        <v>38</v>
      </c>
      <c r="D5063">
        <v>244</v>
      </c>
    </row>
    <row r="5064" spans="1:4" ht="15.75" customHeight="1">
      <c r="A5064" t="s">
        <v>3105</v>
      </c>
      <c r="B5064" t="s">
        <v>36</v>
      </c>
      <c r="C5064" t="s">
        <v>38</v>
      </c>
      <c r="D5064">
        <v>244</v>
      </c>
    </row>
    <row r="5065" spans="1:4" ht="15.75" customHeight="1">
      <c r="A5065" t="s">
        <v>400</v>
      </c>
      <c r="B5065" t="s">
        <v>36</v>
      </c>
      <c r="C5065" t="s">
        <v>38</v>
      </c>
      <c r="D5065">
        <v>244</v>
      </c>
    </row>
    <row r="5066" spans="1:4" ht="15.75" customHeight="1">
      <c r="A5066" t="s">
        <v>3121</v>
      </c>
      <c r="B5066" t="s">
        <v>36</v>
      </c>
      <c r="C5066" t="s">
        <v>38</v>
      </c>
      <c r="D5066">
        <v>244</v>
      </c>
    </row>
    <row r="5067" spans="1:4" ht="15.75" customHeight="1">
      <c r="A5067" t="s">
        <v>4276</v>
      </c>
      <c r="B5067" t="s">
        <v>36</v>
      </c>
      <c r="C5067" t="s">
        <v>38</v>
      </c>
      <c r="D5067">
        <v>243</v>
      </c>
    </row>
    <row r="5068" spans="1:4" ht="15.75" customHeight="1">
      <c r="A5068" t="s">
        <v>2639</v>
      </c>
      <c r="B5068" t="s">
        <v>36</v>
      </c>
      <c r="C5068" t="s">
        <v>38</v>
      </c>
      <c r="D5068">
        <v>242</v>
      </c>
    </row>
    <row r="5069" spans="1:4" ht="15.75" customHeight="1">
      <c r="A5069" t="s">
        <v>3040</v>
      </c>
      <c r="B5069" t="s">
        <v>36</v>
      </c>
      <c r="C5069" t="s">
        <v>38</v>
      </c>
      <c r="D5069">
        <v>242</v>
      </c>
    </row>
    <row r="5070" spans="1:4" ht="15.75" customHeight="1">
      <c r="A5070" t="s">
        <v>4666</v>
      </c>
      <c r="B5070" t="s">
        <v>36</v>
      </c>
      <c r="C5070" t="s">
        <v>38</v>
      </c>
      <c r="D5070">
        <v>242</v>
      </c>
    </row>
    <row r="5071" spans="1:4" ht="15.75" customHeight="1">
      <c r="A5071" t="s">
        <v>1191</v>
      </c>
      <c r="B5071" t="s">
        <v>36</v>
      </c>
      <c r="C5071" t="s">
        <v>38</v>
      </c>
      <c r="D5071">
        <v>241</v>
      </c>
    </row>
    <row r="5072" spans="1:4" ht="15.75" customHeight="1">
      <c r="A5072" t="s">
        <v>3553</v>
      </c>
      <c r="B5072" t="s">
        <v>36</v>
      </c>
      <c r="C5072" t="s">
        <v>38</v>
      </c>
      <c r="D5072">
        <v>239</v>
      </c>
    </row>
    <row r="5073" spans="1:4" ht="15.75" customHeight="1">
      <c r="A5073" t="s">
        <v>1220</v>
      </c>
      <c r="B5073" t="s">
        <v>36</v>
      </c>
      <c r="C5073" t="s">
        <v>38</v>
      </c>
      <c r="D5073">
        <v>239</v>
      </c>
    </row>
    <row r="5074" spans="1:4" ht="15.75" customHeight="1">
      <c r="A5074" t="s">
        <v>3483</v>
      </c>
      <c r="B5074" t="s">
        <v>36</v>
      </c>
      <c r="C5074" t="s">
        <v>38</v>
      </c>
      <c r="D5074">
        <v>238</v>
      </c>
    </row>
    <row r="5075" spans="1:4" ht="15.75" customHeight="1">
      <c r="A5075" t="s">
        <v>4287</v>
      </c>
      <c r="B5075" t="s">
        <v>36</v>
      </c>
      <c r="C5075" t="s">
        <v>38</v>
      </c>
      <c r="D5075">
        <v>238</v>
      </c>
    </row>
    <row r="5076" spans="1:4" ht="15.75" customHeight="1">
      <c r="A5076" t="s">
        <v>2014</v>
      </c>
      <c r="B5076" t="s">
        <v>36</v>
      </c>
      <c r="C5076" t="s">
        <v>38</v>
      </c>
      <c r="D5076">
        <v>236</v>
      </c>
    </row>
    <row r="5077" spans="1:4" ht="15.75" customHeight="1">
      <c r="A5077" t="s">
        <v>408</v>
      </c>
      <c r="B5077" t="s">
        <v>36</v>
      </c>
      <c r="C5077" t="s">
        <v>38</v>
      </c>
      <c r="D5077">
        <v>235</v>
      </c>
    </row>
    <row r="5078" spans="1:4" ht="15.75" customHeight="1">
      <c r="A5078" t="s">
        <v>1673</v>
      </c>
      <c r="B5078" t="s">
        <v>36</v>
      </c>
      <c r="C5078" t="s">
        <v>38</v>
      </c>
      <c r="D5078">
        <v>235</v>
      </c>
    </row>
    <row r="5079" spans="1:4" ht="15.75" customHeight="1">
      <c r="A5079" t="s">
        <v>2638</v>
      </c>
      <c r="B5079" t="s">
        <v>36</v>
      </c>
      <c r="C5079" t="s">
        <v>38</v>
      </c>
      <c r="D5079">
        <v>234</v>
      </c>
    </row>
    <row r="5080" spans="1:4" ht="15.75" customHeight="1">
      <c r="A5080" t="s">
        <v>1662</v>
      </c>
      <c r="B5080" t="s">
        <v>36</v>
      </c>
      <c r="C5080" t="s">
        <v>38</v>
      </c>
      <c r="D5080">
        <v>234</v>
      </c>
    </row>
    <row r="5081" spans="1:4" ht="15.75" customHeight="1">
      <c r="A5081" t="s">
        <v>1973</v>
      </c>
      <c r="B5081" t="s">
        <v>36</v>
      </c>
      <c r="C5081" t="s">
        <v>38</v>
      </c>
      <c r="D5081">
        <v>233</v>
      </c>
    </row>
    <row r="5082" spans="1:4" ht="15.75" customHeight="1">
      <c r="A5082" t="s">
        <v>3120</v>
      </c>
      <c r="B5082" t="s">
        <v>36</v>
      </c>
      <c r="C5082" t="s">
        <v>38</v>
      </c>
      <c r="D5082">
        <v>232</v>
      </c>
    </row>
    <row r="5083" spans="1:4" ht="15.75" customHeight="1">
      <c r="A5083" t="s">
        <v>3540</v>
      </c>
      <c r="B5083" t="s">
        <v>36</v>
      </c>
      <c r="C5083" t="s">
        <v>38</v>
      </c>
      <c r="D5083">
        <v>230</v>
      </c>
    </row>
    <row r="5084" spans="1:4" ht="15.75" customHeight="1">
      <c r="A5084" t="s">
        <v>3085</v>
      </c>
      <c r="B5084" t="s">
        <v>36</v>
      </c>
      <c r="C5084" t="s">
        <v>38</v>
      </c>
      <c r="D5084">
        <v>230</v>
      </c>
    </row>
    <row r="5085" spans="1:4" ht="15.75" customHeight="1">
      <c r="A5085" t="s">
        <v>2622</v>
      </c>
      <c r="B5085" t="s">
        <v>36</v>
      </c>
      <c r="C5085" t="s">
        <v>38</v>
      </c>
      <c r="D5085">
        <v>230</v>
      </c>
    </row>
    <row r="5086" spans="1:4" ht="15.75" customHeight="1">
      <c r="A5086" t="s">
        <v>1213</v>
      </c>
      <c r="B5086" t="s">
        <v>36</v>
      </c>
      <c r="C5086" t="s">
        <v>38</v>
      </c>
      <c r="D5086">
        <v>230</v>
      </c>
    </row>
    <row r="5087" spans="1:4" ht="15.75" customHeight="1">
      <c r="A5087" t="s">
        <v>1675</v>
      </c>
      <c r="B5087" t="s">
        <v>36</v>
      </c>
      <c r="C5087" t="s">
        <v>38</v>
      </c>
      <c r="D5087">
        <v>230</v>
      </c>
    </row>
    <row r="5088" spans="1:4" ht="15.75" customHeight="1">
      <c r="A5088" t="s">
        <v>417</v>
      </c>
      <c r="B5088" t="s">
        <v>36</v>
      </c>
      <c r="C5088" t="s">
        <v>38</v>
      </c>
      <c r="D5088">
        <v>229</v>
      </c>
    </row>
    <row r="5089" spans="1:4" ht="15.75" customHeight="1">
      <c r="A5089" t="s">
        <v>428</v>
      </c>
      <c r="B5089" t="s">
        <v>36</v>
      </c>
      <c r="C5089" t="s">
        <v>38</v>
      </c>
      <c r="D5089">
        <v>229</v>
      </c>
    </row>
    <row r="5090" spans="1:4" ht="15.75" customHeight="1">
      <c r="A5090" t="s">
        <v>2043</v>
      </c>
      <c r="B5090" t="s">
        <v>36</v>
      </c>
      <c r="C5090" t="s">
        <v>38</v>
      </c>
      <c r="D5090">
        <v>228</v>
      </c>
    </row>
    <row r="5091" spans="1:4" ht="15.75" customHeight="1">
      <c r="A5091" t="s">
        <v>1687</v>
      </c>
      <c r="B5091" t="s">
        <v>36</v>
      </c>
      <c r="C5091" t="s">
        <v>38</v>
      </c>
      <c r="D5091">
        <v>228</v>
      </c>
    </row>
    <row r="5092" spans="1:4" ht="15.75" customHeight="1">
      <c r="A5092" t="s">
        <v>347</v>
      </c>
      <c r="B5092" t="s">
        <v>36</v>
      </c>
      <c r="C5092" t="s">
        <v>38</v>
      </c>
      <c r="D5092">
        <v>227</v>
      </c>
    </row>
    <row r="5093" spans="1:4" ht="15.75" customHeight="1">
      <c r="A5093" t="s">
        <v>2618</v>
      </c>
      <c r="B5093" t="s">
        <v>36</v>
      </c>
      <c r="C5093" t="s">
        <v>38</v>
      </c>
      <c r="D5093">
        <v>227</v>
      </c>
    </row>
    <row r="5094" spans="1:4" ht="15.75" customHeight="1">
      <c r="A5094" t="s">
        <v>1994</v>
      </c>
      <c r="B5094" t="s">
        <v>36</v>
      </c>
      <c r="C5094" t="s">
        <v>38</v>
      </c>
      <c r="D5094">
        <v>226</v>
      </c>
    </row>
    <row r="5095" spans="1:4" ht="15.75" customHeight="1">
      <c r="A5095" t="s">
        <v>4292</v>
      </c>
      <c r="B5095" t="s">
        <v>36</v>
      </c>
      <c r="C5095" t="s">
        <v>38</v>
      </c>
      <c r="D5095">
        <v>225</v>
      </c>
    </row>
    <row r="5096" spans="1:4" ht="15.75" customHeight="1">
      <c r="A5096" t="s">
        <v>4607</v>
      </c>
      <c r="B5096" t="s">
        <v>36</v>
      </c>
      <c r="C5096" t="s">
        <v>38</v>
      </c>
      <c r="D5096">
        <v>224</v>
      </c>
    </row>
    <row r="5097" spans="1:4" ht="15.75" customHeight="1">
      <c r="A5097" t="s">
        <v>2077</v>
      </c>
      <c r="B5097" t="s">
        <v>36</v>
      </c>
      <c r="C5097" t="s">
        <v>38</v>
      </c>
      <c r="D5097">
        <v>224</v>
      </c>
    </row>
    <row r="5098" spans="1:4" ht="15.75" customHeight="1">
      <c r="A5098" t="s">
        <v>3108</v>
      </c>
      <c r="B5098" t="s">
        <v>36</v>
      </c>
      <c r="C5098" t="s">
        <v>38</v>
      </c>
      <c r="D5098">
        <v>224</v>
      </c>
    </row>
    <row r="5099" spans="1:4" ht="15.75" customHeight="1">
      <c r="A5099" t="s">
        <v>3995</v>
      </c>
      <c r="B5099" t="s">
        <v>36</v>
      </c>
      <c r="C5099" t="s">
        <v>38</v>
      </c>
      <c r="D5099">
        <v>224</v>
      </c>
    </row>
    <row r="5100" spans="1:4" ht="15.75" customHeight="1">
      <c r="A5100" t="s">
        <v>2088</v>
      </c>
      <c r="B5100" t="s">
        <v>36</v>
      </c>
      <c r="C5100" t="s">
        <v>38</v>
      </c>
      <c r="D5100">
        <v>224</v>
      </c>
    </row>
    <row r="5101" spans="1:4" ht="15.75" customHeight="1">
      <c r="A5101" t="s">
        <v>2616</v>
      </c>
      <c r="B5101" t="s">
        <v>36</v>
      </c>
      <c r="C5101" t="s">
        <v>38</v>
      </c>
      <c r="D5101">
        <v>223</v>
      </c>
    </row>
    <row r="5102" spans="1:4" ht="15.75" customHeight="1">
      <c r="A5102" t="s">
        <v>3102</v>
      </c>
      <c r="B5102" t="s">
        <v>36</v>
      </c>
      <c r="C5102" t="s">
        <v>38</v>
      </c>
      <c r="D5102">
        <v>222</v>
      </c>
    </row>
    <row r="5103" spans="1:4" ht="15.75" customHeight="1">
      <c r="A5103" t="s">
        <v>3125</v>
      </c>
      <c r="B5103" t="s">
        <v>36</v>
      </c>
      <c r="C5103" t="s">
        <v>38</v>
      </c>
      <c r="D5103">
        <v>222</v>
      </c>
    </row>
    <row r="5104" spans="1:4" ht="15.75" customHeight="1">
      <c r="A5104" t="s">
        <v>1666</v>
      </c>
      <c r="B5104" t="s">
        <v>36</v>
      </c>
      <c r="C5104" t="s">
        <v>38</v>
      </c>
      <c r="D5104">
        <v>222</v>
      </c>
    </row>
    <row r="5105" spans="1:4" ht="15.75" customHeight="1">
      <c r="A5105" t="s">
        <v>1990</v>
      </c>
      <c r="B5105" t="s">
        <v>36</v>
      </c>
      <c r="C5105" t="s">
        <v>38</v>
      </c>
      <c r="D5105">
        <v>222</v>
      </c>
    </row>
    <row r="5106" spans="1:4" ht="15.75" customHeight="1">
      <c r="A5106" t="s">
        <v>1150</v>
      </c>
      <c r="B5106" t="s">
        <v>36</v>
      </c>
      <c r="C5106" t="s">
        <v>38</v>
      </c>
      <c r="D5106">
        <v>221</v>
      </c>
    </row>
    <row r="5107" spans="1:4" ht="15.75" customHeight="1">
      <c r="A5107" t="s">
        <v>1174</v>
      </c>
      <c r="B5107" t="s">
        <v>36</v>
      </c>
      <c r="C5107" t="s">
        <v>38</v>
      </c>
      <c r="D5107">
        <v>220</v>
      </c>
    </row>
    <row r="5108" spans="1:4" ht="15.75" customHeight="1">
      <c r="A5108" t="s">
        <v>3479</v>
      </c>
      <c r="B5108" t="s">
        <v>36</v>
      </c>
      <c r="C5108" t="s">
        <v>38</v>
      </c>
      <c r="D5108">
        <v>219</v>
      </c>
    </row>
    <row r="5109" spans="1:4" ht="15.75" customHeight="1">
      <c r="A5109" t="s">
        <v>3954</v>
      </c>
      <c r="B5109" t="s">
        <v>36</v>
      </c>
      <c r="C5109" t="s">
        <v>38</v>
      </c>
      <c r="D5109">
        <v>219</v>
      </c>
    </row>
    <row r="5110" spans="1:4" ht="15.75" customHeight="1">
      <c r="A5110" t="s">
        <v>1665</v>
      </c>
      <c r="B5110" t="s">
        <v>36</v>
      </c>
      <c r="C5110" t="s">
        <v>38</v>
      </c>
      <c r="D5110">
        <v>219</v>
      </c>
    </row>
    <row r="5111" spans="1:4" ht="15.75" customHeight="1">
      <c r="A5111" t="s">
        <v>4334</v>
      </c>
      <c r="B5111" t="s">
        <v>36</v>
      </c>
      <c r="C5111" t="s">
        <v>38</v>
      </c>
      <c r="D5111">
        <v>219</v>
      </c>
    </row>
    <row r="5112" spans="1:4" ht="15.75" customHeight="1">
      <c r="A5112" t="s">
        <v>1160</v>
      </c>
      <c r="B5112" t="s">
        <v>36</v>
      </c>
      <c r="C5112" t="s">
        <v>38</v>
      </c>
      <c r="D5112">
        <v>219</v>
      </c>
    </row>
    <row r="5113" spans="1:4" ht="15.75" customHeight="1">
      <c r="A5113" t="s">
        <v>4316</v>
      </c>
      <c r="B5113" t="s">
        <v>36</v>
      </c>
      <c r="C5113" t="s">
        <v>38</v>
      </c>
      <c r="D5113">
        <v>218</v>
      </c>
    </row>
    <row r="5114" spans="1:4" ht="15.75" customHeight="1">
      <c r="A5114" t="s">
        <v>2645</v>
      </c>
      <c r="B5114" t="s">
        <v>36</v>
      </c>
      <c r="C5114" t="s">
        <v>38</v>
      </c>
      <c r="D5114">
        <v>218</v>
      </c>
    </row>
    <row r="5115" spans="1:4" ht="15.75" customHeight="1">
      <c r="A5115" t="s">
        <v>1651</v>
      </c>
      <c r="B5115" t="s">
        <v>36</v>
      </c>
      <c r="C5115" t="s">
        <v>38</v>
      </c>
      <c r="D5115">
        <v>217</v>
      </c>
    </row>
    <row r="5116" spans="1:4" ht="15.75" customHeight="1">
      <c r="A5116" t="s">
        <v>3107</v>
      </c>
      <c r="B5116" t="s">
        <v>36</v>
      </c>
      <c r="C5116" t="s">
        <v>38</v>
      </c>
      <c r="D5116">
        <v>217</v>
      </c>
    </row>
    <row r="5117" spans="1:4" ht="15.75" customHeight="1">
      <c r="A5117" t="s">
        <v>1195</v>
      </c>
      <c r="B5117" t="s">
        <v>36</v>
      </c>
      <c r="C5117" t="s">
        <v>38</v>
      </c>
      <c r="D5117">
        <v>217</v>
      </c>
    </row>
    <row r="5118" spans="1:4" ht="15.75" customHeight="1">
      <c r="A5118" t="s">
        <v>1205</v>
      </c>
      <c r="B5118" t="s">
        <v>36</v>
      </c>
      <c r="C5118" t="s">
        <v>38</v>
      </c>
      <c r="D5118">
        <v>216</v>
      </c>
    </row>
    <row r="5119" spans="1:4" ht="15.75" customHeight="1">
      <c r="A5119" t="s">
        <v>4295</v>
      </c>
      <c r="B5119" t="s">
        <v>36</v>
      </c>
      <c r="C5119" t="s">
        <v>38</v>
      </c>
      <c r="D5119">
        <v>216</v>
      </c>
    </row>
    <row r="5120" spans="1:4" ht="15.75" customHeight="1">
      <c r="A5120" t="s">
        <v>971</v>
      </c>
      <c r="B5120" t="s">
        <v>36</v>
      </c>
      <c r="C5120" t="s">
        <v>38</v>
      </c>
      <c r="D5120">
        <v>216</v>
      </c>
    </row>
    <row r="5121" spans="1:4" ht="15.75" customHeight="1">
      <c r="A5121" t="s">
        <v>2600</v>
      </c>
      <c r="B5121" t="s">
        <v>36</v>
      </c>
      <c r="C5121" t="s">
        <v>38</v>
      </c>
      <c r="D5121">
        <v>216</v>
      </c>
    </row>
    <row r="5122" spans="1:4" ht="15.75" customHeight="1">
      <c r="A5122" t="s">
        <v>373</v>
      </c>
      <c r="B5122" t="s">
        <v>36</v>
      </c>
      <c r="C5122" t="s">
        <v>38</v>
      </c>
      <c r="D5122">
        <v>215</v>
      </c>
    </row>
    <row r="5123" spans="1:4" ht="15.75" customHeight="1">
      <c r="A5123" t="s">
        <v>386</v>
      </c>
      <c r="B5123" t="s">
        <v>36</v>
      </c>
      <c r="C5123" t="s">
        <v>38</v>
      </c>
      <c r="D5123">
        <v>215</v>
      </c>
    </row>
    <row r="5124" spans="1:4" ht="15.75" customHeight="1">
      <c r="A5124" t="s">
        <v>2068</v>
      </c>
      <c r="B5124" t="s">
        <v>36</v>
      </c>
      <c r="C5124" t="s">
        <v>38</v>
      </c>
      <c r="D5124">
        <v>215</v>
      </c>
    </row>
    <row r="5125" spans="1:4" ht="15.75" customHeight="1">
      <c r="A5125" t="s">
        <v>3562</v>
      </c>
      <c r="B5125" t="s">
        <v>36</v>
      </c>
      <c r="C5125" t="s">
        <v>38</v>
      </c>
      <c r="D5125">
        <v>215</v>
      </c>
    </row>
    <row r="5126" spans="1:4" ht="15.75" customHeight="1">
      <c r="A5126" t="s">
        <v>3066</v>
      </c>
      <c r="B5126" t="s">
        <v>36</v>
      </c>
      <c r="C5126" t="s">
        <v>38</v>
      </c>
      <c r="D5126">
        <v>213</v>
      </c>
    </row>
    <row r="5127" spans="1:4" ht="15.75" customHeight="1">
      <c r="A5127" t="s">
        <v>3056</v>
      </c>
      <c r="B5127" t="s">
        <v>36</v>
      </c>
      <c r="C5127" t="s">
        <v>38</v>
      </c>
      <c r="D5127">
        <v>213</v>
      </c>
    </row>
    <row r="5128" spans="1:4" ht="15.75" customHeight="1">
      <c r="A5128" t="s">
        <v>3569</v>
      </c>
      <c r="B5128" t="s">
        <v>36</v>
      </c>
      <c r="C5128" t="s">
        <v>38</v>
      </c>
      <c r="D5128">
        <v>213</v>
      </c>
    </row>
    <row r="5129" spans="1:4" ht="15.75" customHeight="1">
      <c r="A5129" t="s">
        <v>4691</v>
      </c>
      <c r="B5129" t="s">
        <v>36</v>
      </c>
      <c r="C5129" t="s">
        <v>38</v>
      </c>
      <c r="D5129">
        <v>212</v>
      </c>
    </row>
    <row r="5130" spans="1:4" ht="15.75" customHeight="1">
      <c r="A5130" t="s">
        <v>3047</v>
      </c>
      <c r="B5130" t="s">
        <v>36</v>
      </c>
      <c r="C5130" t="s">
        <v>38</v>
      </c>
      <c r="D5130">
        <v>211</v>
      </c>
    </row>
    <row r="5131" spans="1:4" ht="15.75" customHeight="1">
      <c r="A5131" t="s">
        <v>1971</v>
      </c>
      <c r="B5131" t="s">
        <v>36</v>
      </c>
      <c r="C5131" t="s">
        <v>38</v>
      </c>
      <c r="D5131">
        <v>209</v>
      </c>
    </row>
    <row r="5132" spans="1:4" ht="15.75" customHeight="1">
      <c r="A5132" t="s">
        <v>387</v>
      </c>
      <c r="B5132" t="s">
        <v>36</v>
      </c>
      <c r="C5132" t="s">
        <v>38</v>
      </c>
      <c r="D5132">
        <v>208</v>
      </c>
    </row>
    <row r="5133" spans="1:4" ht="15.75" customHeight="1">
      <c r="A5133" t="s">
        <v>4338</v>
      </c>
      <c r="B5133" t="s">
        <v>36</v>
      </c>
      <c r="C5133" t="s">
        <v>38</v>
      </c>
      <c r="D5133">
        <v>208</v>
      </c>
    </row>
    <row r="5134" spans="1:4" ht="15.75" customHeight="1">
      <c r="A5134" t="s">
        <v>1987</v>
      </c>
      <c r="B5134" t="s">
        <v>36</v>
      </c>
      <c r="C5134" t="s">
        <v>38</v>
      </c>
      <c r="D5134">
        <v>207</v>
      </c>
    </row>
    <row r="5135" spans="1:4" ht="15.75" customHeight="1">
      <c r="A5135" t="s">
        <v>3053</v>
      </c>
      <c r="B5135" t="s">
        <v>36</v>
      </c>
      <c r="C5135" t="s">
        <v>38</v>
      </c>
      <c r="D5135">
        <v>207</v>
      </c>
    </row>
    <row r="5136" spans="1:4" ht="15.75" customHeight="1">
      <c r="A5136" t="s">
        <v>2633</v>
      </c>
      <c r="B5136" t="s">
        <v>36</v>
      </c>
      <c r="C5136" t="s">
        <v>38</v>
      </c>
      <c r="D5136">
        <v>206</v>
      </c>
    </row>
    <row r="5137" spans="1:4" ht="15.75" customHeight="1">
      <c r="A5137" t="s">
        <v>1690</v>
      </c>
      <c r="B5137" t="s">
        <v>36</v>
      </c>
      <c r="C5137" t="s">
        <v>38</v>
      </c>
      <c r="D5137">
        <v>206</v>
      </c>
    </row>
    <row r="5138" spans="1:4" ht="15.75" customHeight="1">
      <c r="A5138" t="s">
        <v>1648</v>
      </c>
      <c r="B5138" t="s">
        <v>36</v>
      </c>
      <c r="C5138" t="s">
        <v>38</v>
      </c>
      <c r="D5138">
        <v>205</v>
      </c>
    </row>
    <row r="5139" spans="1:4" ht="15.75" customHeight="1">
      <c r="A5139" t="s">
        <v>2560</v>
      </c>
      <c r="B5139" t="s">
        <v>36</v>
      </c>
      <c r="C5139" t="s">
        <v>38</v>
      </c>
      <c r="D5139">
        <v>205</v>
      </c>
    </row>
    <row r="5140" spans="1:4" ht="15.75" customHeight="1">
      <c r="A5140" t="s">
        <v>3031</v>
      </c>
      <c r="B5140" t="s">
        <v>36</v>
      </c>
      <c r="C5140" t="s">
        <v>38</v>
      </c>
      <c r="D5140">
        <v>205</v>
      </c>
    </row>
    <row r="5141" spans="1:4" ht="15.75" customHeight="1">
      <c r="A5141" t="s">
        <v>345</v>
      </c>
      <c r="B5141" t="s">
        <v>36</v>
      </c>
      <c r="C5141" t="s">
        <v>38</v>
      </c>
      <c r="D5141">
        <v>204</v>
      </c>
    </row>
    <row r="5142" spans="1:4" ht="15.75" customHeight="1">
      <c r="A5142" t="s">
        <v>4694</v>
      </c>
      <c r="B5142" t="s">
        <v>36</v>
      </c>
      <c r="C5142" t="s">
        <v>38</v>
      </c>
      <c r="D5142">
        <v>204</v>
      </c>
    </row>
    <row r="5143" spans="1:4" ht="15.75" customHeight="1">
      <c r="A5143" t="s">
        <v>4323</v>
      </c>
      <c r="B5143" t="s">
        <v>36</v>
      </c>
      <c r="C5143" t="s">
        <v>38</v>
      </c>
      <c r="D5143">
        <v>203</v>
      </c>
    </row>
    <row r="5144" spans="1:4" ht="15.75" customHeight="1">
      <c r="A5144" t="s">
        <v>3980</v>
      </c>
      <c r="B5144" t="s">
        <v>36</v>
      </c>
      <c r="C5144" t="s">
        <v>38</v>
      </c>
      <c r="D5144">
        <v>203</v>
      </c>
    </row>
    <row r="5145" spans="1:4" ht="15.75" customHeight="1">
      <c r="A5145" t="s">
        <v>3999</v>
      </c>
      <c r="B5145" t="s">
        <v>36</v>
      </c>
      <c r="C5145" t="s">
        <v>38</v>
      </c>
      <c r="D5145">
        <v>203</v>
      </c>
    </row>
    <row r="5146" spans="1:4" ht="15.75" customHeight="1">
      <c r="A5146" t="s">
        <v>2034</v>
      </c>
      <c r="B5146" t="s">
        <v>36</v>
      </c>
      <c r="C5146" t="s">
        <v>38</v>
      </c>
      <c r="D5146">
        <v>202</v>
      </c>
    </row>
    <row r="5147" spans="1:4" ht="15.75" customHeight="1">
      <c r="A5147" t="s">
        <v>377</v>
      </c>
      <c r="B5147" t="s">
        <v>36</v>
      </c>
      <c r="C5147" t="s">
        <v>38</v>
      </c>
      <c r="D5147">
        <v>202</v>
      </c>
    </row>
    <row r="5148" spans="1:4" ht="15.75" customHeight="1">
      <c r="A5148" t="s">
        <v>2027</v>
      </c>
      <c r="B5148" t="s">
        <v>36</v>
      </c>
      <c r="C5148" t="s">
        <v>38</v>
      </c>
      <c r="D5148">
        <v>202</v>
      </c>
    </row>
    <row r="5149" spans="1:4" ht="15.75" customHeight="1">
      <c r="A5149" t="s">
        <v>3965</v>
      </c>
      <c r="B5149" t="s">
        <v>36</v>
      </c>
      <c r="C5149" t="s">
        <v>38</v>
      </c>
      <c r="D5149">
        <v>201</v>
      </c>
    </row>
    <row r="5150" spans="1:4" ht="15.75" customHeight="1">
      <c r="A5150" t="s">
        <v>4306</v>
      </c>
      <c r="B5150" t="s">
        <v>36</v>
      </c>
      <c r="C5150" t="s">
        <v>38</v>
      </c>
      <c r="D5150">
        <v>200</v>
      </c>
    </row>
    <row r="5151" spans="1:4" ht="15.75" customHeight="1">
      <c r="A5151" t="s">
        <v>3998</v>
      </c>
      <c r="B5151" t="s">
        <v>36</v>
      </c>
      <c r="C5151" t="s">
        <v>38</v>
      </c>
      <c r="D5151">
        <v>200</v>
      </c>
    </row>
    <row r="5152" spans="1:4" ht="15.75" customHeight="1">
      <c r="A5152" t="s">
        <v>2592</v>
      </c>
      <c r="B5152" t="s">
        <v>36</v>
      </c>
      <c r="C5152" t="s">
        <v>38</v>
      </c>
      <c r="D5152">
        <v>199</v>
      </c>
    </row>
    <row r="5153" spans="1:4" ht="15.75" customHeight="1">
      <c r="A5153" t="s">
        <v>3513</v>
      </c>
      <c r="B5153" t="s">
        <v>36</v>
      </c>
      <c r="C5153" t="s">
        <v>38</v>
      </c>
      <c r="D5153">
        <v>199</v>
      </c>
    </row>
    <row r="5154" spans="1:4" ht="15.75" customHeight="1">
      <c r="A5154" t="s">
        <v>361</v>
      </c>
      <c r="B5154" t="s">
        <v>36</v>
      </c>
      <c r="C5154" t="s">
        <v>38</v>
      </c>
      <c r="D5154">
        <v>198</v>
      </c>
    </row>
    <row r="5155" spans="1:4" ht="15.75" customHeight="1">
      <c r="A5155" t="s">
        <v>1670</v>
      </c>
      <c r="B5155" t="s">
        <v>36</v>
      </c>
      <c r="C5155" t="s">
        <v>38</v>
      </c>
      <c r="D5155">
        <v>198</v>
      </c>
    </row>
    <row r="5156" spans="1:4" ht="15.75" customHeight="1">
      <c r="A5156" t="s">
        <v>2586</v>
      </c>
      <c r="B5156" t="s">
        <v>36</v>
      </c>
      <c r="C5156" t="s">
        <v>38</v>
      </c>
      <c r="D5156">
        <v>197</v>
      </c>
    </row>
    <row r="5157" spans="1:4" ht="15.75" customHeight="1">
      <c r="A5157" t="s">
        <v>1214</v>
      </c>
      <c r="B5157" t="s">
        <v>36</v>
      </c>
      <c r="C5157" t="s">
        <v>38</v>
      </c>
      <c r="D5157">
        <v>197</v>
      </c>
    </row>
    <row r="5158" spans="1:4" ht="15.75" customHeight="1">
      <c r="A5158" t="s">
        <v>2053</v>
      </c>
      <c r="B5158" t="s">
        <v>36</v>
      </c>
      <c r="C5158" t="s">
        <v>38</v>
      </c>
      <c r="D5158">
        <v>196</v>
      </c>
    </row>
    <row r="5159" spans="1:4" ht="15.75" customHeight="1">
      <c r="A5159" t="s">
        <v>2628</v>
      </c>
      <c r="B5159" t="s">
        <v>36</v>
      </c>
      <c r="C5159" t="s">
        <v>38</v>
      </c>
      <c r="D5159">
        <v>195</v>
      </c>
    </row>
    <row r="5160" spans="1:4" ht="15.75" customHeight="1">
      <c r="A5160" t="s">
        <v>1615</v>
      </c>
      <c r="B5160" t="s">
        <v>36</v>
      </c>
      <c r="C5160" t="s">
        <v>38</v>
      </c>
      <c r="D5160">
        <v>195</v>
      </c>
    </row>
    <row r="5161" spans="1:4" ht="15.75" customHeight="1">
      <c r="A5161" t="s">
        <v>4642</v>
      </c>
      <c r="B5161" t="s">
        <v>36</v>
      </c>
      <c r="C5161" t="s">
        <v>38</v>
      </c>
      <c r="D5161">
        <v>194</v>
      </c>
    </row>
    <row r="5162" spans="1:4" ht="15.75" customHeight="1">
      <c r="A5162" t="s">
        <v>1667</v>
      </c>
      <c r="B5162" t="s">
        <v>36</v>
      </c>
      <c r="C5162" t="s">
        <v>38</v>
      </c>
      <c r="D5162">
        <v>194</v>
      </c>
    </row>
    <row r="5163" spans="1:4" ht="15.75" customHeight="1">
      <c r="A5163" t="s">
        <v>1656</v>
      </c>
      <c r="B5163" t="s">
        <v>36</v>
      </c>
      <c r="C5163" t="s">
        <v>38</v>
      </c>
      <c r="D5163">
        <v>193</v>
      </c>
    </row>
    <row r="5164" spans="1:4" ht="15.75" customHeight="1">
      <c r="A5164" t="s">
        <v>2039</v>
      </c>
      <c r="B5164" t="s">
        <v>36</v>
      </c>
      <c r="C5164" t="s">
        <v>38</v>
      </c>
      <c r="D5164">
        <v>192</v>
      </c>
    </row>
    <row r="5165" spans="1:4" ht="15.75" customHeight="1">
      <c r="A5165" t="s">
        <v>3116</v>
      </c>
      <c r="B5165" t="s">
        <v>36</v>
      </c>
      <c r="C5165" t="s">
        <v>38</v>
      </c>
      <c r="D5165">
        <v>191</v>
      </c>
    </row>
    <row r="5166" spans="1:4" ht="15.75" customHeight="1">
      <c r="A5166" t="s">
        <v>3049</v>
      </c>
      <c r="B5166" t="s">
        <v>36</v>
      </c>
      <c r="C5166" t="s">
        <v>38</v>
      </c>
      <c r="D5166">
        <v>191</v>
      </c>
    </row>
    <row r="5167" spans="1:4" ht="15.75" customHeight="1">
      <c r="A5167" t="s">
        <v>2568</v>
      </c>
      <c r="B5167" t="s">
        <v>36</v>
      </c>
      <c r="C5167" t="s">
        <v>38</v>
      </c>
      <c r="D5167">
        <v>191</v>
      </c>
    </row>
    <row r="5168" spans="1:4" ht="15.75" customHeight="1">
      <c r="A5168" t="s">
        <v>4698</v>
      </c>
      <c r="B5168" t="s">
        <v>36</v>
      </c>
      <c r="C5168" t="s">
        <v>38</v>
      </c>
      <c r="D5168">
        <v>190</v>
      </c>
    </row>
    <row r="5169" spans="1:4" ht="15.75" customHeight="1">
      <c r="A5169" t="s">
        <v>3942</v>
      </c>
      <c r="B5169" t="s">
        <v>36</v>
      </c>
      <c r="C5169" t="s">
        <v>38</v>
      </c>
      <c r="D5169">
        <v>190</v>
      </c>
    </row>
    <row r="5170" spans="1:4" ht="15.75" customHeight="1">
      <c r="A5170" t="s">
        <v>4328</v>
      </c>
      <c r="B5170" t="s">
        <v>36</v>
      </c>
      <c r="C5170" t="s">
        <v>38</v>
      </c>
      <c r="D5170">
        <v>189</v>
      </c>
    </row>
    <row r="5171" spans="1:4" ht="15.75" customHeight="1">
      <c r="A5171" t="s">
        <v>1218</v>
      </c>
      <c r="B5171" t="s">
        <v>36</v>
      </c>
      <c r="C5171" t="s">
        <v>38</v>
      </c>
      <c r="D5171">
        <v>189</v>
      </c>
    </row>
    <row r="5172" spans="1:4" ht="15.75" customHeight="1">
      <c r="A5172" t="s">
        <v>4337</v>
      </c>
      <c r="B5172" t="s">
        <v>36</v>
      </c>
      <c r="C5172" t="s">
        <v>38</v>
      </c>
      <c r="D5172">
        <v>189</v>
      </c>
    </row>
    <row r="5173" spans="1:4" ht="15.75" customHeight="1">
      <c r="A5173" t="s">
        <v>1201</v>
      </c>
      <c r="B5173" t="s">
        <v>36</v>
      </c>
      <c r="C5173" t="s">
        <v>38</v>
      </c>
      <c r="D5173">
        <v>188</v>
      </c>
    </row>
    <row r="5174" spans="1:4" ht="15.75" customHeight="1">
      <c r="A5174" t="s">
        <v>378</v>
      </c>
      <c r="B5174" t="s">
        <v>36</v>
      </c>
      <c r="C5174" t="s">
        <v>38</v>
      </c>
      <c r="D5174">
        <v>188</v>
      </c>
    </row>
    <row r="5175" spans="1:4" ht="15.75" customHeight="1">
      <c r="A5175" t="s">
        <v>398</v>
      </c>
      <c r="B5175" t="s">
        <v>36</v>
      </c>
      <c r="C5175" t="s">
        <v>38</v>
      </c>
      <c r="D5175">
        <v>188</v>
      </c>
    </row>
    <row r="5176" spans="1:4" ht="15.75" customHeight="1">
      <c r="A5176" t="s">
        <v>3977</v>
      </c>
      <c r="B5176" t="s">
        <v>36</v>
      </c>
      <c r="C5176" t="s">
        <v>38</v>
      </c>
      <c r="D5176">
        <v>186</v>
      </c>
    </row>
    <row r="5177" spans="1:4" ht="15.75" customHeight="1">
      <c r="A5177" t="s">
        <v>294</v>
      </c>
      <c r="B5177" t="s">
        <v>36</v>
      </c>
      <c r="C5177" t="s">
        <v>38</v>
      </c>
      <c r="D5177">
        <v>185</v>
      </c>
    </row>
    <row r="5178" spans="1:4" ht="15.75" customHeight="1">
      <c r="A5178" t="s">
        <v>4321</v>
      </c>
      <c r="B5178" t="s">
        <v>36</v>
      </c>
      <c r="C5178" t="s">
        <v>38</v>
      </c>
      <c r="D5178">
        <v>185</v>
      </c>
    </row>
    <row r="5179" spans="1:4" ht="15.75" customHeight="1">
      <c r="A5179" t="s">
        <v>3127</v>
      </c>
      <c r="B5179" t="s">
        <v>36</v>
      </c>
      <c r="C5179" t="s">
        <v>38</v>
      </c>
      <c r="D5179">
        <v>185</v>
      </c>
    </row>
    <row r="5180" spans="1:4" ht="15.75" customHeight="1">
      <c r="A5180" t="s">
        <v>418</v>
      </c>
      <c r="B5180" t="s">
        <v>36</v>
      </c>
      <c r="C5180" t="s">
        <v>38</v>
      </c>
      <c r="D5180">
        <v>185</v>
      </c>
    </row>
    <row r="5181" spans="1:4" ht="15.75" customHeight="1">
      <c r="A5181" t="s">
        <v>3968</v>
      </c>
      <c r="B5181" t="s">
        <v>36</v>
      </c>
      <c r="C5181" t="s">
        <v>38</v>
      </c>
      <c r="D5181">
        <v>183</v>
      </c>
    </row>
    <row r="5182" spans="1:4" ht="15.75" customHeight="1">
      <c r="A5182" t="s">
        <v>1678</v>
      </c>
      <c r="B5182" t="s">
        <v>36</v>
      </c>
      <c r="C5182" t="s">
        <v>38</v>
      </c>
      <c r="D5182">
        <v>183</v>
      </c>
    </row>
    <row r="5183" spans="1:4" ht="15.75" customHeight="1">
      <c r="A5183" t="s">
        <v>967</v>
      </c>
      <c r="B5183" t="s">
        <v>36</v>
      </c>
      <c r="C5183" t="s">
        <v>38</v>
      </c>
      <c r="D5183">
        <v>182</v>
      </c>
    </row>
    <row r="5184" spans="1:4" ht="15.75" customHeight="1">
      <c r="A5184" t="s">
        <v>2629</v>
      </c>
      <c r="B5184" t="s">
        <v>36</v>
      </c>
      <c r="C5184" t="s">
        <v>38</v>
      </c>
      <c r="D5184">
        <v>182</v>
      </c>
    </row>
    <row r="5185" spans="1:4" ht="15.75" customHeight="1">
      <c r="A5185" t="s">
        <v>4302</v>
      </c>
      <c r="B5185" t="s">
        <v>36</v>
      </c>
      <c r="C5185" t="s">
        <v>38</v>
      </c>
      <c r="D5185">
        <v>180</v>
      </c>
    </row>
    <row r="5186" spans="1:4" ht="15.75" customHeight="1">
      <c r="A5186" t="s">
        <v>1192</v>
      </c>
      <c r="B5186" t="s">
        <v>36</v>
      </c>
      <c r="C5186" t="s">
        <v>38</v>
      </c>
      <c r="D5186">
        <v>180</v>
      </c>
    </row>
    <row r="5187" spans="1:4" ht="15.75" customHeight="1">
      <c r="A5187" t="s">
        <v>1163</v>
      </c>
      <c r="B5187" t="s">
        <v>36</v>
      </c>
      <c r="C5187" t="s">
        <v>38</v>
      </c>
      <c r="D5187">
        <v>179</v>
      </c>
    </row>
    <row r="5188" spans="1:4" ht="15.75" customHeight="1">
      <c r="A5188" t="s">
        <v>2518</v>
      </c>
      <c r="B5188" t="s">
        <v>36</v>
      </c>
      <c r="C5188" t="s">
        <v>38</v>
      </c>
      <c r="D5188">
        <v>179</v>
      </c>
    </row>
    <row r="5189" spans="1:4" ht="15.75" customHeight="1">
      <c r="A5189" t="s">
        <v>402</v>
      </c>
      <c r="B5189" t="s">
        <v>36</v>
      </c>
      <c r="C5189" t="s">
        <v>38</v>
      </c>
      <c r="D5189">
        <v>179</v>
      </c>
    </row>
    <row r="5190" spans="1:4" ht="15.75" customHeight="1">
      <c r="A5190" t="s">
        <v>2049</v>
      </c>
      <c r="B5190" t="s">
        <v>36</v>
      </c>
      <c r="C5190" t="s">
        <v>38</v>
      </c>
      <c r="D5190">
        <v>179</v>
      </c>
    </row>
    <row r="5191" spans="1:4" ht="15.75" customHeight="1">
      <c r="A5191" t="s">
        <v>3948</v>
      </c>
      <c r="B5191" t="s">
        <v>36</v>
      </c>
      <c r="C5191" t="s">
        <v>38</v>
      </c>
      <c r="D5191">
        <v>179</v>
      </c>
    </row>
    <row r="5192" spans="1:4" ht="15.75" customHeight="1">
      <c r="A5192" t="s">
        <v>4308</v>
      </c>
      <c r="B5192" t="s">
        <v>36</v>
      </c>
      <c r="C5192" t="s">
        <v>38</v>
      </c>
      <c r="D5192">
        <v>178</v>
      </c>
    </row>
    <row r="5193" spans="1:4" ht="15.75" customHeight="1">
      <c r="A5193" t="s">
        <v>1650</v>
      </c>
      <c r="B5193" t="s">
        <v>36</v>
      </c>
      <c r="C5193" t="s">
        <v>38</v>
      </c>
      <c r="D5193">
        <v>177</v>
      </c>
    </row>
    <row r="5194" spans="1:4" ht="15.75" customHeight="1">
      <c r="A5194" t="s">
        <v>3567</v>
      </c>
      <c r="B5194" t="s">
        <v>36</v>
      </c>
      <c r="C5194" t="s">
        <v>38</v>
      </c>
      <c r="D5194">
        <v>177</v>
      </c>
    </row>
    <row r="5195" spans="1:4" ht="15.75" customHeight="1">
      <c r="A5195" t="s">
        <v>2081</v>
      </c>
      <c r="B5195" t="s">
        <v>36</v>
      </c>
      <c r="C5195" t="s">
        <v>38</v>
      </c>
      <c r="D5195">
        <v>177</v>
      </c>
    </row>
    <row r="5196" spans="1:4" ht="15.75" customHeight="1">
      <c r="A5196" t="s">
        <v>421</v>
      </c>
      <c r="B5196" t="s">
        <v>36</v>
      </c>
      <c r="C5196" t="s">
        <v>38</v>
      </c>
      <c r="D5196">
        <v>177</v>
      </c>
    </row>
    <row r="5197" spans="1:4" ht="15.75" customHeight="1">
      <c r="A5197" t="s">
        <v>2604</v>
      </c>
      <c r="B5197" t="s">
        <v>36</v>
      </c>
      <c r="C5197" t="s">
        <v>38</v>
      </c>
      <c r="D5197">
        <v>176</v>
      </c>
    </row>
    <row r="5198" spans="1:4" ht="15.75" customHeight="1">
      <c r="A5198" t="s">
        <v>4697</v>
      </c>
      <c r="B5198" t="s">
        <v>36</v>
      </c>
      <c r="C5198" t="s">
        <v>38</v>
      </c>
      <c r="D5198">
        <v>176</v>
      </c>
    </row>
    <row r="5199" spans="1:4" ht="15.75" customHeight="1">
      <c r="A5199" t="s">
        <v>4604</v>
      </c>
      <c r="B5199" t="s">
        <v>36</v>
      </c>
      <c r="C5199" t="s">
        <v>38</v>
      </c>
      <c r="D5199">
        <v>176</v>
      </c>
    </row>
    <row r="5200" spans="1:4" ht="15.75" customHeight="1">
      <c r="A5200" t="s">
        <v>2520</v>
      </c>
      <c r="B5200" t="s">
        <v>36</v>
      </c>
      <c r="C5200" t="s">
        <v>38</v>
      </c>
      <c r="D5200">
        <v>175</v>
      </c>
    </row>
    <row r="5201" spans="1:4" ht="15.75" customHeight="1">
      <c r="A5201" t="s">
        <v>3075</v>
      </c>
      <c r="B5201" t="s">
        <v>36</v>
      </c>
      <c r="C5201" t="s">
        <v>38</v>
      </c>
      <c r="D5201">
        <v>175</v>
      </c>
    </row>
    <row r="5202" spans="1:4" ht="15.75" customHeight="1">
      <c r="A5202" t="s">
        <v>420</v>
      </c>
      <c r="B5202" t="s">
        <v>36</v>
      </c>
      <c r="C5202" t="s">
        <v>38</v>
      </c>
      <c r="D5202">
        <v>175</v>
      </c>
    </row>
    <row r="5203" spans="1:4" ht="15.75" customHeight="1">
      <c r="A5203" t="s">
        <v>1149</v>
      </c>
      <c r="B5203" t="s">
        <v>36</v>
      </c>
      <c r="C5203" t="s">
        <v>38</v>
      </c>
      <c r="D5203">
        <v>174</v>
      </c>
    </row>
    <row r="5204" spans="1:4" ht="15.75" customHeight="1">
      <c r="A5204" t="s">
        <v>2085</v>
      </c>
      <c r="B5204" t="s">
        <v>36</v>
      </c>
      <c r="C5204" t="s">
        <v>38</v>
      </c>
      <c r="D5204">
        <v>174</v>
      </c>
    </row>
    <row r="5205" spans="1:4" ht="15.75" customHeight="1">
      <c r="A5205" t="s">
        <v>1219</v>
      </c>
      <c r="B5205" t="s">
        <v>36</v>
      </c>
      <c r="C5205" t="s">
        <v>38</v>
      </c>
      <c r="D5205">
        <v>174</v>
      </c>
    </row>
    <row r="5206" spans="1:4" ht="15.75" customHeight="1">
      <c r="A5206" t="s">
        <v>3097</v>
      </c>
      <c r="B5206" t="s">
        <v>36</v>
      </c>
      <c r="C5206" t="s">
        <v>38</v>
      </c>
      <c r="D5206">
        <v>173</v>
      </c>
    </row>
    <row r="5207" spans="1:4" ht="15.75" customHeight="1">
      <c r="A5207" t="s">
        <v>2631</v>
      </c>
      <c r="B5207" t="s">
        <v>36</v>
      </c>
      <c r="C5207" t="s">
        <v>38</v>
      </c>
      <c r="D5207">
        <v>173</v>
      </c>
    </row>
    <row r="5208" spans="1:4" ht="15.75" customHeight="1">
      <c r="A5208" t="s">
        <v>380</v>
      </c>
      <c r="B5208" t="s">
        <v>36</v>
      </c>
      <c r="C5208" t="s">
        <v>38</v>
      </c>
      <c r="D5208">
        <v>173</v>
      </c>
    </row>
    <row r="5209" spans="1:4" ht="15.75" customHeight="1">
      <c r="A5209" t="s">
        <v>3533</v>
      </c>
      <c r="B5209" t="s">
        <v>36</v>
      </c>
      <c r="C5209" t="s">
        <v>38</v>
      </c>
      <c r="D5209">
        <v>172</v>
      </c>
    </row>
    <row r="5210" spans="1:4" ht="15.75" customHeight="1">
      <c r="A5210" t="s">
        <v>2554</v>
      </c>
      <c r="B5210" t="s">
        <v>36</v>
      </c>
      <c r="C5210" t="s">
        <v>38</v>
      </c>
      <c r="D5210">
        <v>171</v>
      </c>
    </row>
    <row r="5211" spans="1:4" ht="15.75" customHeight="1">
      <c r="A5211" t="s">
        <v>3079</v>
      </c>
      <c r="B5211" t="s">
        <v>36</v>
      </c>
      <c r="C5211" t="s">
        <v>38</v>
      </c>
      <c r="D5211">
        <v>171</v>
      </c>
    </row>
    <row r="5212" spans="1:4" ht="15.75" customHeight="1">
      <c r="A5212" t="s">
        <v>2588</v>
      </c>
      <c r="B5212" t="s">
        <v>36</v>
      </c>
      <c r="C5212" t="s">
        <v>38</v>
      </c>
      <c r="D5212">
        <v>170</v>
      </c>
    </row>
    <row r="5213" spans="1:4" ht="15.75" customHeight="1">
      <c r="A5213" t="s">
        <v>3918</v>
      </c>
      <c r="B5213" t="s">
        <v>36</v>
      </c>
      <c r="C5213" t="s">
        <v>38</v>
      </c>
      <c r="D5213">
        <v>170</v>
      </c>
    </row>
    <row r="5214" spans="1:4" ht="15.75" customHeight="1">
      <c r="A5214" t="s">
        <v>3558</v>
      </c>
      <c r="B5214" t="s">
        <v>36</v>
      </c>
      <c r="C5214" t="s">
        <v>38</v>
      </c>
      <c r="D5214">
        <v>170</v>
      </c>
    </row>
    <row r="5215" spans="1:4" ht="15.75" customHeight="1">
      <c r="A5215" t="s">
        <v>1681</v>
      </c>
      <c r="B5215" t="s">
        <v>36</v>
      </c>
      <c r="C5215" t="s">
        <v>38</v>
      </c>
      <c r="D5215">
        <v>169</v>
      </c>
    </row>
    <row r="5216" spans="1:4" ht="15.75" customHeight="1">
      <c r="A5216" t="s">
        <v>2050</v>
      </c>
      <c r="B5216" t="s">
        <v>36</v>
      </c>
      <c r="C5216" t="s">
        <v>38</v>
      </c>
      <c r="D5216">
        <v>168</v>
      </c>
    </row>
    <row r="5217" spans="1:4" ht="15.75" customHeight="1">
      <c r="A5217" t="s">
        <v>419</v>
      </c>
      <c r="B5217" t="s">
        <v>36</v>
      </c>
      <c r="C5217" t="s">
        <v>38</v>
      </c>
      <c r="D5217">
        <v>168</v>
      </c>
    </row>
    <row r="5218" spans="1:4" ht="15.75" customHeight="1">
      <c r="A5218" t="s">
        <v>3535</v>
      </c>
      <c r="B5218" t="s">
        <v>36</v>
      </c>
      <c r="C5218" t="s">
        <v>38</v>
      </c>
      <c r="D5218">
        <v>168</v>
      </c>
    </row>
    <row r="5219" spans="1:4" ht="15.75" customHeight="1">
      <c r="A5219" t="s">
        <v>396</v>
      </c>
      <c r="B5219" t="s">
        <v>36</v>
      </c>
      <c r="C5219" t="s">
        <v>38</v>
      </c>
      <c r="D5219">
        <v>167</v>
      </c>
    </row>
    <row r="5220" spans="1:4" ht="15.75" customHeight="1">
      <c r="A5220" t="s">
        <v>2024</v>
      </c>
      <c r="B5220" t="s">
        <v>36</v>
      </c>
      <c r="C5220" t="s">
        <v>38</v>
      </c>
      <c r="D5220">
        <v>167</v>
      </c>
    </row>
    <row r="5221" spans="1:4" ht="15.75" customHeight="1">
      <c r="A5221" t="s">
        <v>4290</v>
      </c>
      <c r="B5221" t="s">
        <v>36</v>
      </c>
      <c r="C5221" t="s">
        <v>38</v>
      </c>
      <c r="D5221">
        <v>167</v>
      </c>
    </row>
    <row r="5222" spans="1:4" ht="15.75" customHeight="1">
      <c r="A5222" t="s">
        <v>2000</v>
      </c>
      <c r="B5222" t="s">
        <v>36</v>
      </c>
      <c r="C5222" t="s">
        <v>38</v>
      </c>
      <c r="D5222">
        <v>166</v>
      </c>
    </row>
    <row r="5223" spans="1:4" ht="15.75" customHeight="1">
      <c r="A5223" t="s">
        <v>4326</v>
      </c>
      <c r="B5223" t="s">
        <v>36</v>
      </c>
      <c r="C5223" t="s">
        <v>38</v>
      </c>
      <c r="D5223">
        <v>166</v>
      </c>
    </row>
    <row r="5224" spans="1:4" ht="15.75" customHeight="1">
      <c r="A5224" t="s">
        <v>3113</v>
      </c>
      <c r="B5224" t="s">
        <v>36</v>
      </c>
      <c r="C5224" t="s">
        <v>38</v>
      </c>
      <c r="D5224">
        <v>166</v>
      </c>
    </row>
    <row r="5225" spans="1:4" ht="15.75" customHeight="1">
      <c r="A5225" t="s">
        <v>3035</v>
      </c>
      <c r="B5225" t="s">
        <v>36</v>
      </c>
      <c r="C5225" t="s">
        <v>38</v>
      </c>
      <c r="D5225">
        <v>165</v>
      </c>
    </row>
    <row r="5226" spans="1:4" ht="15.75" customHeight="1">
      <c r="A5226" t="s">
        <v>1172</v>
      </c>
      <c r="B5226" t="s">
        <v>36</v>
      </c>
      <c r="C5226" t="s">
        <v>38</v>
      </c>
      <c r="D5226">
        <v>165</v>
      </c>
    </row>
    <row r="5227" spans="1:4" ht="15.75" customHeight="1">
      <c r="A5227" t="s">
        <v>2054</v>
      </c>
      <c r="B5227" t="s">
        <v>36</v>
      </c>
      <c r="C5227" t="s">
        <v>38</v>
      </c>
      <c r="D5227">
        <v>165</v>
      </c>
    </row>
    <row r="5228" spans="1:4" ht="15.75" customHeight="1">
      <c r="A5228" t="s">
        <v>394</v>
      </c>
      <c r="B5228" t="s">
        <v>36</v>
      </c>
      <c r="C5228" t="s">
        <v>38</v>
      </c>
      <c r="D5228">
        <v>165</v>
      </c>
    </row>
    <row r="5229" spans="1:4" ht="15.75" customHeight="1">
      <c r="A5229" t="s">
        <v>4303</v>
      </c>
      <c r="B5229" t="s">
        <v>36</v>
      </c>
      <c r="C5229" t="s">
        <v>38</v>
      </c>
      <c r="D5229">
        <v>165</v>
      </c>
    </row>
    <row r="5230" spans="1:4" ht="15.75" customHeight="1">
      <c r="A5230" t="s">
        <v>4305</v>
      </c>
      <c r="B5230" t="s">
        <v>36</v>
      </c>
      <c r="C5230" t="s">
        <v>38</v>
      </c>
      <c r="D5230">
        <v>165</v>
      </c>
    </row>
    <row r="5231" spans="1:4" ht="15.75" customHeight="1">
      <c r="A5231" t="s">
        <v>3507</v>
      </c>
      <c r="B5231" t="s">
        <v>36</v>
      </c>
      <c r="C5231" t="s">
        <v>38</v>
      </c>
      <c r="D5231">
        <v>164</v>
      </c>
    </row>
    <row r="5232" spans="1:4" ht="15.75" customHeight="1">
      <c r="A5232" t="s">
        <v>3923</v>
      </c>
      <c r="B5232" t="s">
        <v>36</v>
      </c>
      <c r="C5232" t="s">
        <v>38</v>
      </c>
      <c r="D5232">
        <v>164</v>
      </c>
    </row>
    <row r="5233" spans="1:4" ht="15.75" customHeight="1">
      <c r="A5233" t="s">
        <v>3932</v>
      </c>
      <c r="B5233" t="s">
        <v>36</v>
      </c>
      <c r="C5233" t="s">
        <v>38</v>
      </c>
      <c r="D5233">
        <v>163</v>
      </c>
    </row>
    <row r="5234" spans="1:4" ht="15.75" customHeight="1">
      <c r="A5234" t="s">
        <v>1993</v>
      </c>
      <c r="B5234" t="s">
        <v>36</v>
      </c>
      <c r="C5234" t="s">
        <v>38</v>
      </c>
      <c r="D5234">
        <v>163</v>
      </c>
    </row>
    <row r="5235" spans="1:4" ht="15.75" customHeight="1">
      <c r="A5235" t="s">
        <v>3549</v>
      </c>
      <c r="B5235" t="s">
        <v>36</v>
      </c>
      <c r="C5235" t="s">
        <v>38</v>
      </c>
      <c r="D5235">
        <v>162</v>
      </c>
    </row>
    <row r="5236" spans="1:4" ht="15.75" customHeight="1">
      <c r="A5236" t="s">
        <v>3996</v>
      </c>
      <c r="B5236" t="s">
        <v>36</v>
      </c>
      <c r="C5236" t="s">
        <v>38</v>
      </c>
      <c r="D5236">
        <v>162</v>
      </c>
    </row>
    <row r="5237" spans="1:4" ht="15.75" customHeight="1">
      <c r="A5237" t="s">
        <v>1676</v>
      </c>
      <c r="B5237" t="s">
        <v>36</v>
      </c>
      <c r="C5237" t="s">
        <v>38</v>
      </c>
      <c r="D5237">
        <v>162</v>
      </c>
    </row>
    <row r="5238" spans="1:4" ht="15.75" customHeight="1">
      <c r="A5238" t="s">
        <v>3493</v>
      </c>
      <c r="B5238" t="s">
        <v>36</v>
      </c>
      <c r="C5238" t="s">
        <v>38</v>
      </c>
      <c r="D5238">
        <v>161</v>
      </c>
    </row>
    <row r="5239" spans="1:4" ht="15.75" customHeight="1">
      <c r="A5239" t="s">
        <v>3994</v>
      </c>
      <c r="B5239" t="s">
        <v>36</v>
      </c>
      <c r="C5239" t="s">
        <v>38</v>
      </c>
      <c r="D5239">
        <v>161</v>
      </c>
    </row>
    <row r="5240" spans="1:4" ht="15.75" customHeight="1">
      <c r="A5240" t="s">
        <v>3043</v>
      </c>
      <c r="B5240" t="s">
        <v>36</v>
      </c>
      <c r="C5240" t="s">
        <v>38</v>
      </c>
      <c r="D5240">
        <v>161</v>
      </c>
    </row>
    <row r="5241" spans="1:4" ht="15.75" customHeight="1">
      <c r="A5241" t="s">
        <v>3573</v>
      </c>
      <c r="B5241" t="s">
        <v>36</v>
      </c>
      <c r="C5241" t="s">
        <v>38</v>
      </c>
      <c r="D5241">
        <v>161</v>
      </c>
    </row>
    <row r="5242" spans="1:4" ht="15.75" customHeight="1">
      <c r="A5242" t="s">
        <v>3902</v>
      </c>
      <c r="B5242" t="s">
        <v>36</v>
      </c>
      <c r="C5242" t="s">
        <v>38</v>
      </c>
      <c r="D5242">
        <v>161</v>
      </c>
    </row>
    <row r="5243" spans="1:4" ht="15.75" customHeight="1">
      <c r="A5243" t="s">
        <v>1977</v>
      </c>
      <c r="B5243" t="s">
        <v>36</v>
      </c>
      <c r="C5243" t="s">
        <v>38</v>
      </c>
      <c r="D5243">
        <v>160</v>
      </c>
    </row>
    <row r="5244" spans="1:4" ht="15.75" customHeight="1">
      <c r="A5244" t="s">
        <v>2083</v>
      </c>
      <c r="B5244" t="s">
        <v>36</v>
      </c>
      <c r="C5244" t="s">
        <v>38</v>
      </c>
      <c r="D5244">
        <v>160</v>
      </c>
    </row>
    <row r="5245" spans="1:4" ht="15.75" customHeight="1">
      <c r="A5245" t="s">
        <v>2004</v>
      </c>
      <c r="B5245" t="s">
        <v>36</v>
      </c>
      <c r="C5245" t="s">
        <v>38</v>
      </c>
      <c r="D5245">
        <v>160</v>
      </c>
    </row>
    <row r="5246" spans="1:4" ht="15.75" customHeight="1">
      <c r="A5246" t="s">
        <v>3584</v>
      </c>
      <c r="B5246" t="s">
        <v>36</v>
      </c>
      <c r="C5246" t="s">
        <v>38</v>
      </c>
      <c r="D5246">
        <v>160</v>
      </c>
    </row>
    <row r="5247" spans="1:4" ht="15.75" customHeight="1">
      <c r="A5247" t="s">
        <v>3500</v>
      </c>
      <c r="B5247" t="s">
        <v>36</v>
      </c>
      <c r="C5247" t="s">
        <v>38</v>
      </c>
      <c r="D5247">
        <v>159</v>
      </c>
    </row>
    <row r="5248" spans="1:4" ht="15.75" customHeight="1">
      <c r="A5248" t="s">
        <v>2623</v>
      </c>
      <c r="B5248" t="s">
        <v>36</v>
      </c>
      <c r="C5248" t="s">
        <v>38</v>
      </c>
      <c r="D5248">
        <v>159</v>
      </c>
    </row>
    <row r="5249" spans="1:4" ht="15.75" customHeight="1">
      <c r="A5249" t="s">
        <v>3579</v>
      </c>
      <c r="B5249" t="s">
        <v>36</v>
      </c>
      <c r="C5249" t="s">
        <v>38</v>
      </c>
      <c r="D5249">
        <v>159</v>
      </c>
    </row>
    <row r="5250" spans="1:4" ht="15.75" customHeight="1">
      <c r="A5250" t="s">
        <v>3514</v>
      </c>
      <c r="B5250" t="s">
        <v>36</v>
      </c>
      <c r="C5250" t="s">
        <v>38</v>
      </c>
      <c r="D5250">
        <v>159</v>
      </c>
    </row>
    <row r="5251" spans="1:4" ht="15.75" customHeight="1">
      <c r="A5251" t="s">
        <v>4639</v>
      </c>
      <c r="B5251" t="s">
        <v>36</v>
      </c>
      <c r="C5251" t="s">
        <v>38</v>
      </c>
      <c r="D5251">
        <v>158</v>
      </c>
    </row>
    <row r="5252" spans="1:4" ht="15.75" customHeight="1">
      <c r="A5252" t="s">
        <v>4318</v>
      </c>
      <c r="B5252" t="s">
        <v>36</v>
      </c>
      <c r="C5252" t="s">
        <v>38</v>
      </c>
      <c r="D5252">
        <v>158</v>
      </c>
    </row>
    <row r="5253" spans="1:4" ht="15.75" customHeight="1">
      <c r="A5253" t="s">
        <v>3991</v>
      </c>
      <c r="B5253" t="s">
        <v>36</v>
      </c>
      <c r="C5253" t="s">
        <v>38</v>
      </c>
      <c r="D5253">
        <v>158</v>
      </c>
    </row>
    <row r="5254" spans="1:4" ht="15.75" customHeight="1">
      <c r="A5254" t="s">
        <v>1193</v>
      </c>
      <c r="B5254" t="s">
        <v>36</v>
      </c>
      <c r="C5254" t="s">
        <v>38</v>
      </c>
      <c r="D5254">
        <v>158</v>
      </c>
    </row>
    <row r="5255" spans="1:4" ht="15.75" customHeight="1">
      <c r="A5255" t="s">
        <v>1176</v>
      </c>
      <c r="B5255" t="s">
        <v>36</v>
      </c>
      <c r="C5255" t="s">
        <v>38</v>
      </c>
      <c r="D5255">
        <v>157</v>
      </c>
    </row>
    <row r="5256" spans="1:4" ht="15.75" customHeight="1">
      <c r="A5256" t="s">
        <v>2594</v>
      </c>
      <c r="B5256" t="s">
        <v>36</v>
      </c>
      <c r="C5256" t="s">
        <v>38</v>
      </c>
      <c r="D5256">
        <v>156</v>
      </c>
    </row>
    <row r="5257" spans="1:4" ht="15.75" customHeight="1">
      <c r="A5257" t="s">
        <v>3508</v>
      </c>
      <c r="B5257" t="s">
        <v>36</v>
      </c>
      <c r="C5257" t="s">
        <v>38</v>
      </c>
      <c r="D5257">
        <v>156</v>
      </c>
    </row>
    <row r="5258" spans="1:4" ht="15.75" customHeight="1">
      <c r="A5258" t="s">
        <v>1663</v>
      </c>
      <c r="B5258" t="s">
        <v>36</v>
      </c>
      <c r="C5258" t="s">
        <v>38</v>
      </c>
      <c r="D5258">
        <v>156</v>
      </c>
    </row>
    <row r="5259" spans="1:4" ht="15.75" customHeight="1">
      <c r="A5259" t="s">
        <v>2648</v>
      </c>
      <c r="B5259" t="s">
        <v>36</v>
      </c>
      <c r="C5259" t="s">
        <v>38</v>
      </c>
      <c r="D5259">
        <v>156</v>
      </c>
    </row>
    <row r="5260" spans="1:4" ht="15.75" customHeight="1">
      <c r="A5260" t="s">
        <v>1115</v>
      </c>
      <c r="B5260" t="s">
        <v>36</v>
      </c>
      <c r="C5260" t="s">
        <v>38</v>
      </c>
      <c r="D5260">
        <v>155</v>
      </c>
    </row>
    <row r="5261" spans="1:4" ht="15.75" customHeight="1">
      <c r="A5261" t="s">
        <v>426</v>
      </c>
      <c r="B5261" t="s">
        <v>36</v>
      </c>
      <c r="C5261" t="s">
        <v>38</v>
      </c>
      <c r="D5261">
        <v>155</v>
      </c>
    </row>
    <row r="5262" spans="1:4" ht="15.75" customHeight="1">
      <c r="A5262" t="s">
        <v>1638</v>
      </c>
      <c r="B5262" t="s">
        <v>36</v>
      </c>
      <c r="C5262" t="s">
        <v>38</v>
      </c>
      <c r="D5262">
        <v>154</v>
      </c>
    </row>
    <row r="5263" spans="1:4" ht="15.75" customHeight="1">
      <c r="A5263" t="s">
        <v>1680</v>
      </c>
      <c r="B5263" t="s">
        <v>36</v>
      </c>
      <c r="C5263" t="s">
        <v>38</v>
      </c>
      <c r="D5263">
        <v>154</v>
      </c>
    </row>
    <row r="5264" spans="1:4" ht="15.75" customHeight="1">
      <c r="A5264" t="s">
        <v>2044</v>
      </c>
      <c r="B5264" t="s">
        <v>36</v>
      </c>
      <c r="C5264" t="s">
        <v>38</v>
      </c>
      <c r="D5264">
        <v>153</v>
      </c>
    </row>
    <row r="5265" spans="1:4" ht="15.75" customHeight="1">
      <c r="A5265" t="s">
        <v>3495</v>
      </c>
      <c r="B5265" t="s">
        <v>36</v>
      </c>
      <c r="C5265" t="s">
        <v>38</v>
      </c>
      <c r="D5265">
        <v>153</v>
      </c>
    </row>
    <row r="5266" spans="1:4" ht="15.75" customHeight="1">
      <c r="A5266" t="s">
        <v>1624</v>
      </c>
      <c r="B5266" t="s">
        <v>36</v>
      </c>
      <c r="C5266" t="s">
        <v>38</v>
      </c>
      <c r="D5266">
        <v>152</v>
      </c>
    </row>
    <row r="5267" spans="1:4" ht="15.75" customHeight="1">
      <c r="A5267" t="s">
        <v>1979</v>
      </c>
      <c r="B5267" t="s">
        <v>36</v>
      </c>
      <c r="C5267" t="s">
        <v>38</v>
      </c>
      <c r="D5267">
        <v>152</v>
      </c>
    </row>
    <row r="5268" spans="1:4" ht="15.75" customHeight="1">
      <c r="A5268" t="s">
        <v>3103</v>
      </c>
      <c r="B5268" t="s">
        <v>36</v>
      </c>
      <c r="C5268" t="s">
        <v>38</v>
      </c>
      <c r="D5268">
        <v>151</v>
      </c>
    </row>
    <row r="5269" spans="1:4" ht="15.75" customHeight="1">
      <c r="A5269" t="s">
        <v>3993</v>
      </c>
      <c r="B5269" t="s">
        <v>36</v>
      </c>
      <c r="C5269" t="s">
        <v>38</v>
      </c>
      <c r="D5269">
        <v>151</v>
      </c>
    </row>
    <row r="5270" spans="1:4" ht="15.75" customHeight="1">
      <c r="A5270" t="s">
        <v>3900</v>
      </c>
      <c r="B5270" t="s">
        <v>36</v>
      </c>
      <c r="C5270" t="s">
        <v>38</v>
      </c>
      <c r="D5270">
        <v>151</v>
      </c>
    </row>
    <row r="5271" spans="1:4" ht="15.75" customHeight="1">
      <c r="A5271" t="s">
        <v>2608</v>
      </c>
      <c r="B5271" t="s">
        <v>36</v>
      </c>
      <c r="C5271" t="s">
        <v>38</v>
      </c>
      <c r="D5271">
        <v>151</v>
      </c>
    </row>
    <row r="5272" spans="1:4" ht="15.75" customHeight="1">
      <c r="A5272" t="s">
        <v>3112</v>
      </c>
      <c r="B5272" t="s">
        <v>36</v>
      </c>
      <c r="C5272" t="s">
        <v>38</v>
      </c>
      <c r="D5272">
        <v>150</v>
      </c>
    </row>
    <row r="5273" spans="1:4" ht="15.75" customHeight="1">
      <c r="A5273" t="s">
        <v>1688</v>
      </c>
      <c r="B5273" t="s">
        <v>36</v>
      </c>
      <c r="C5273" t="s">
        <v>38</v>
      </c>
      <c r="D5273">
        <v>150</v>
      </c>
    </row>
    <row r="5274" spans="1:4" ht="15.75" customHeight="1">
      <c r="A5274" t="s">
        <v>1133</v>
      </c>
      <c r="B5274" t="s">
        <v>36</v>
      </c>
      <c r="C5274" t="s">
        <v>38</v>
      </c>
      <c r="D5274">
        <v>149</v>
      </c>
    </row>
    <row r="5275" spans="1:4" ht="15.75" customHeight="1">
      <c r="A5275" t="s">
        <v>4304</v>
      </c>
      <c r="B5275" t="s">
        <v>36</v>
      </c>
      <c r="C5275" t="s">
        <v>38</v>
      </c>
      <c r="D5275">
        <v>149</v>
      </c>
    </row>
    <row r="5276" spans="1:4" ht="15.75" customHeight="1">
      <c r="A5276" t="s">
        <v>3092</v>
      </c>
      <c r="B5276" t="s">
        <v>36</v>
      </c>
      <c r="C5276" t="s">
        <v>38</v>
      </c>
      <c r="D5276">
        <v>148</v>
      </c>
    </row>
    <row r="5277" spans="1:4" ht="15.75" customHeight="1">
      <c r="A5277" t="s">
        <v>1622</v>
      </c>
      <c r="B5277" t="s">
        <v>36</v>
      </c>
      <c r="C5277" t="s">
        <v>38</v>
      </c>
      <c r="D5277">
        <v>148</v>
      </c>
    </row>
    <row r="5278" spans="1:4" ht="15.75" customHeight="1">
      <c r="A5278" t="s">
        <v>3511</v>
      </c>
      <c r="B5278" t="s">
        <v>36</v>
      </c>
      <c r="C5278" t="s">
        <v>38</v>
      </c>
      <c r="D5278">
        <v>148</v>
      </c>
    </row>
    <row r="5279" spans="1:4" ht="15.75" customHeight="1">
      <c r="A5279" t="s">
        <v>3572</v>
      </c>
      <c r="B5279" t="s">
        <v>36</v>
      </c>
      <c r="C5279" t="s">
        <v>38</v>
      </c>
      <c r="D5279">
        <v>148</v>
      </c>
    </row>
    <row r="5280" spans="1:4" ht="15.75" customHeight="1">
      <c r="A5280" t="s">
        <v>2021</v>
      </c>
      <c r="B5280" t="s">
        <v>36</v>
      </c>
      <c r="C5280" t="s">
        <v>38</v>
      </c>
      <c r="D5280">
        <v>148</v>
      </c>
    </row>
    <row r="5281" spans="1:4" ht="15.75" customHeight="1">
      <c r="A5281" t="s">
        <v>3894</v>
      </c>
      <c r="B5281" t="s">
        <v>36</v>
      </c>
      <c r="C5281" t="s">
        <v>38</v>
      </c>
      <c r="D5281">
        <v>148</v>
      </c>
    </row>
    <row r="5282" spans="1:4" ht="15.75" customHeight="1">
      <c r="A5282" t="s">
        <v>376</v>
      </c>
      <c r="B5282" t="s">
        <v>36</v>
      </c>
      <c r="C5282" t="s">
        <v>38</v>
      </c>
      <c r="D5282">
        <v>148</v>
      </c>
    </row>
    <row r="5283" spans="1:4" ht="15.75" customHeight="1">
      <c r="A5283" t="s">
        <v>3978</v>
      </c>
      <c r="B5283" t="s">
        <v>36</v>
      </c>
      <c r="C5283" t="s">
        <v>38</v>
      </c>
      <c r="D5283">
        <v>147</v>
      </c>
    </row>
    <row r="5284" spans="1:4" ht="15.75" customHeight="1">
      <c r="A5284" t="s">
        <v>2624</v>
      </c>
      <c r="B5284" t="s">
        <v>36</v>
      </c>
      <c r="C5284" t="s">
        <v>38</v>
      </c>
      <c r="D5284">
        <v>146</v>
      </c>
    </row>
    <row r="5285" spans="1:4" ht="15.75" customHeight="1">
      <c r="A5285" t="s">
        <v>1664</v>
      </c>
      <c r="B5285" t="s">
        <v>36</v>
      </c>
      <c r="C5285" t="s">
        <v>38</v>
      </c>
      <c r="D5285">
        <v>144</v>
      </c>
    </row>
    <row r="5286" spans="1:4" ht="15.75" customHeight="1">
      <c r="A5286" t="s">
        <v>1212</v>
      </c>
      <c r="B5286" t="s">
        <v>36</v>
      </c>
      <c r="C5286" t="s">
        <v>38</v>
      </c>
      <c r="D5286">
        <v>143</v>
      </c>
    </row>
    <row r="5287" spans="1:4" ht="15.75" customHeight="1">
      <c r="A5287" t="s">
        <v>3559</v>
      </c>
      <c r="B5287" t="s">
        <v>36</v>
      </c>
      <c r="C5287" t="s">
        <v>38</v>
      </c>
      <c r="D5287">
        <v>143</v>
      </c>
    </row>
    <row r="5288" spans="1:4" ht="15.75" customHeight="1">
      <c r="A5288" t="s">
        <v>2613</v>
      </c>
      <c r="B5288" t="s">
        <v>36</v>
      </c>
      <c r="C5288" t="s">
        <v>38</v>
      </c>
      <c r="D5288">
        <v>143</v>
      </c>
    </row>
    <row r="5289" spans="1:4" ht="15.75" customHeight="1">
      <c r="A5289" t="s">
        <v>4297</v>
      </c>
      <c r="B5289" t="s">
        <v>36</v>
      </c>
      <c r="C5289" t="s">
        <v>38</v>
      </c>
      <c r="D5289">
        <v>142</v>
      </c>
    </row>
    <row r="5290" spans="1:4" ht="15.75" customHeight="1">
      <c r="A5290" t="s">
        <v>2643</v>
      </c>
      <c r="B5290" t="s">
        <v>36</v>
      </c>
      <c r="C5290" t="s">
        <v>38</v>
      </c>
      <c r="D5290">
        <v>142</v>
      </c>
    </row>
    <row r="5291" spans="1:4" ht="15.75" customHeight="1">
      <c r="A5291" t="s">
        <v>2522</v>
      </c>
      <c r="B5291" t="s">
        <v>36</v>
      </c>
      <c r="C5291" t="s">
        <v>38</v>
      </c>
      <c r="D5291">
        <v>141</v>
      </c>
    </row>
    <row r="5292" spans="1:4" ht="15.75" customHeight="1">
      <c r="A5292" t="s">
        <v>1645</v>
      </c>
      <c r="B5292" t="s">
        <v>36</v>
      </c>
      <c r="C5292" t="s">
        <v>38</v>
      </c>
      <c r="D5292">
        <v>140</v>
      </c>
    </row>
    <row r="5293" spans="1:4" ht="15.75" customHeight="1">
      <c r="A5293" t="s">
        <v>4006</v>
      </c>
      <c r="B5293" t="s">
        <v>36</v>
      </c>
      <c r="C5293" t="s">
        <v>38</v>
      </c>
      <c r="D5293">
        <v>140</v>
      </c>
    </row>
    <row r="5294" spans="1:4" ht="15.75" customHeight="1">
      <c r="A5294" t="s">
        <v>2076</v>
      </c>
      <c r="B5294" t="s">
        <v>36</v>
      </c>
      <c r="C5294" t="s">
        <v>38</v>
      </c>
      <c r="D5294">
        <v>139</v>
      </c>
    </row>
    <row r="5295" spans="1:4" ht="15.75" customHeight="1">
      <c r="A5295" t="s">
        <v>1111</v>
      </c>
      <c r="B5295" t="s">
        <v>36</v>
      </c>
      <c r="C5295" t="s">
        <v>38</v>
      </c>
      <c r="D5295">
        <v>139</v>
      </c>
    </row>
    <row r="5296" spans="1:4" ht="15.75" customHeight="1">
      <c r="A5296" t="s">
        <v>395</v>
      </c>
      <c r="B5296" t="s">
        <v>36</v>
      </c>
      <c r="C5296" t="s">
        <v>38</v>
      </c>
      <c r="D5296">
        <v>139</v>
      </c>
    </row>
    <row r="5297" spans="1:4" ht="15.75" customHeight="1">
      <c r="A5297" t="s">
        <v>3555</v>
      </c>
      <c r="B5297" t="s">
        <v>36</v>
      </c>
      <c r="C5297" t="s">
        <v>38</v>
      </c>
      <c r="D5297">
        <v>138</v>
      </c>
    </row>
    <row r="5298" spans="1:4" ht="15.75" customHeight="1">
      <c r="A5298" t="s">
        <v>4301</v>
      </c>
      <c r="B5298" t="s">
        <v>36</v>
      </c>
      <c r="C5298" t="s">
        <v>38</v>
      </c>
      <c r="D5298">
        <v>138</v>
      </c>
    </row>
    <row r="5299" spans="1:4" ht="15.75" customHeight="1">
      <c r="A5299" t="s">
        <v>4004</v>
      </c>
      <c r="B5299" t="s">
        <v>36</v>
      </c>
      <c r="C5299" t="s">
        <v>38</v>
      </c>
      <c r="D5299">
        <v>138</v>
      </c>
    </row>
    <row r="5300" spans="1:4" ht="15.75" customHeight="1">
      <c r="A5300" t="s">
        <v>2006</v>
      </c>
      <c r="B5300" t="s">
        <v>36</v>
      </c>
      <c r="C5300" t="s">
        <v>38</v>
      </c>
      <c r="D5300">
        <v>137</v>
      </c>
    </row>
    <row r="5301" spans="1:4" ht="15.75" customHeight="1">
      <c r="A5301" t="s">
        <v>3098</v>
      </c>
      <c r="B5301" t="s">
        <v>36</v>
      </c>
      <c r="C5301" t="s">
        <v>38</v>
      </c>
      <c r="D5301">
        <v>137</v>
      </c>
    </row>
    <row r="5302" spans="1:4" ht="15.75" customHeight="1">
      <c r="A5302" t="s">
        <v>1215</v>
      </c>
      <c r="B5302" t="s">
        <v>36</v>
      </c>
      <c r="C5302" t="s">
        <v>38</v>
      </c>
      <c r="D5302">
        <v>137</v>
      </c>
    </row>
    <row r="5303" spans="1:4" ht="15.75" customHeight="1">
      <c r="A5303" t="s">
        <v>2019</v>
      </c>
      <c r="B5303" t="s">
        <v>36</v>
      </c>
      <c r="C5303" t="s">
        <v>38</v>
      </c>
      <c r="D5303">
        <v>137</v>
      </c>
    </row>
    <row r="5304" spans="1:4" ht="15.75" customHeight="1">
      <c r="A5304" t="s">
        <v>3087</v>
      </c>
      <c r="B5304" t="s">
        <v>36</v>
      </c>
      <c r="C5304" t="s">
        <v>38</v>
      </c>
      <c r="D5304">
        <v>136</v>
      </c>
    </row>
    <row r="5305" spans="1:4" ht="15.75" customHeight="1">
      <c r="A5305" t="s">
        <v>2626</v>
      </c>
      <c r="B5305" t="s">
        <v>36</v>
      </c>
      <c r="C5305" t="s">
        <v>38</v>
      </c>
      <c r="D5305">
        <v>136</v>
      </c>
    </row>
    <row r="5306" spans="1:4" ht="15.75" customHeight="1">
      <c r="A5306" t="s">
        <v>3912</v>
      </c>
      <c r="B5306" t="s">
        <v>36</v>
      </c>
      <c r="C5306" t="s">
        <v>38</v>
      </c>
      <c r="D5306">
        <v>135</v>
      </c>
    </row>
    <row r="5307" spans="1:4" ht="15.75" customHeight="1">
      <c r="A5307" t="s">
        <v>4003</v>
      </c>
      <c r="B5307" t="s">
        <v>36</v>
      </c>
      <c r="C5307" t="s">
        <v>38</v>
      </c>
      <c r="D5307">
        <v>135</v>
      </c>
    </row>
    <row r="5308" spans="1:4" ht="15.75" customHeight="1">
      <c r="A5308" t="s">
        <v>143</v>
      </c>
      <c r="B5308" t="s">
        <v>36</v>
      </c>
      <c r="C5308" t="s">
        <v>38</v>
      </c>
      <c r="D5308">
        <v>135</v>
      </c>
    </row>
    <row r="5309" spans="1:4" ht="15.75" customHeight="1">
      <c r="A5309" t="s">
        <v>3504</v>
      </c>
      <c r="B5309" t="s">
        <v>36</v>
      </c>
      <c r="C5309" t="s">
        <v>38</v>
      </c>
      <c r="D5309">
        <v>135</v>
      </c>
    </row>
    <row r="5310" spans="1:4" ht="15.75" customHeight="1">
      <c r="A5310" t="s">
        <v>1165</v>
      </c>
      <c r="B5310" t="s">
        <v>36</v>
      </c>
      <c r="C5310" t="s">
        <v>38</v>
      </c>
      <c r="D5310">
        <v>134</v>
      </c>
    </row>
    <row r="5311" spans="1:4" ht="15.75" customHeight="1">
      <c r="A5311" t="s">
        <v>3060</v>
      </c>
      <c r="B5311" t="s">
        <v>36</v>
      </c>
      <c r="C5311" t="s">
        <v>38</v>
      </c>
      <c r="D5311">
        <v>134</v>
      </c>
    </row>
    <row r="5312" spans="1:4" ht="15.75" customHeight="1">
      <c r="A5312" t="s">
        <v>1647</v>
      </c>
      <c r="B5312" t="s">
        <v>36</v>
      </c>
      <c r="C5312" t="s">
        <v>38</v>
      </c>
      <c r="D5312">
        <v>134</v>
      </c>
    </row>
    <row r="5313" spans="1:4" ht="15.75" customHeight="1">
      <c r="A5313" t="s">
        <v>3062</v>
      </c>
      <c r="B5313" t="s">
        <v>36</v>
      </c>
      <c r="C5313" t="s">
        <v>38</v>
      </c>
      <c r="D5313">
        <v>133</v>
      </c>
    </row>
    <row r="5314" spans="1:4" ht="15.75" customHeight="1">
      <c r="A5314" t="s">
        <v>55</v>
      </c>
      <c r="B5314" t="s">
        <v>36</v>
      </c>
      <c r="C5314" t="s">
        <v>38</v>
      </c>
      <c r="D5314">
        <v>133</v>
      </c>
    </row>
    <row r="5315" spans="1:4" ht="15.75" customHeight="1">
      <c r="A5315" t="s">
        <v>1194</v>
      </c>
      <c r="B5315" t="s">
        <v>36</v>
      </c>
      <c r="C5315" t="s">
        <v>38</v>
      </c>
      <c r="D5315">
        <v>133</v>
      </c>
    </row>
    <row r="5316" spans="1:4" ht="15.75" customHeight="1">
      <c r="A5316" t="s">
        <v>4668</v>
      </c>
      <c r="B5316" t="s">
        <v>36</v>
      </c>
      <c r="C5316" t="s">
        <v>38</v>
      </c>
      <c r="D5316">
        <v>133</v>
      </c>
    </row>
    <row r="5317" spans="1:4" ht="15.75" customHeight="1">
      <c r="A5317" t="s">
        <v>1221</v>
      </c>
      <c r="B5317" t="s">
        <v>36</v>
      </c>
      <c r="C5317" t="s">
        <v>38</v>
      </c>
      <c r="D5317">
        <v>133</v>
      </c>
    </row>
    <row r="5318" spans="1:4" ht="15.75" customHeight="1">
      <c r="A5318" t="s">
        <v>3896</v>
      </c>
      <c r="B5318" t="s">
        <v>36</v>
      </c>
      <c r="C5318" t="s">
        <v>38</v>
      </c>
      <c r="D5318">
        <v>132</v>
      </c>
    </row>
    <row r="5319" spans="1:4" ht="15.75" customHeight="1">
      <c r="A5319" t="s">
        <v>3055</v>
      </c>
      <c r="B5319" t="s">
        <v>36</v>
      </c>
      <c r="C5319" t="s">
        <v>38</v>
      </c>
      <c r="D5319">
        <v>132</v>
      </c>
    </row>
    <row r="5320" spans="1:4" ht="15.75" customHeight="1">
      <c r="A5320" t="s">
        <v>1217</v>
      </c>
      <c r="B5320" t="s">
        <v>36</v>
      </c>
      <c r="C5320" t="s">
        <v>38</v>
      </c>
      <c r="D5320">
        <v>132</v>
      </c>
    </row>
    <row r="5321" spans="1:4" ht="15.75" customHeight="1">
      <c r="A5321" t="s">
        <v>3914</v>
      </c>
      <c r="B5321" t="s">
        <v>36</v>
      </c>
      <c r="C5321" t="s">
        <v>38</v>
      </c>
      <c r="D5321">
        <v>131</v>
      </c>
    </row>
    <row r="5322" spans="1:4" ht="15.75" customHeight="1">
      <c r="A5322" t="s">
        <v>2601</v>
      </c>
      <c r="B5322" t="s">
        <v>36</v>
      </c>
      <c r="C5322" t="s">
        <v>38</v>
      </c>
      <c r="D5322">
        <v>131</v>
      </c>
    </row>
    <row r="5323" spans="1:4" ht="15.75" customHeight="1">
      <c r="A5323" t="s">
        <v>320</v>
      </c>
      <c r="B5323" t="s">
        <v>36</v>
      </c>
      <c r="C5323" t="s">
        <v>38</v>
      </c>
      <c r="D5323">
        <v>131</v>
      </c>
    </row>
    <row r="5324" spans="1:4" ht="15.75" customHeight="1">
      <c r="A5324" t="s">
        <v>303</v>
      </c>
      <c r="B5324" t="s">
        <v>36</v>
      </c>
      <c r="C5324" t="s">
        <v>38</v>
      </c>
      <c r="D5324">
        <v>131</v>
      </c>
    </row>
    <row r="5325" spans="1:4" ht="15.75" customHeight="1">
      <c r="A5325" t="s">
        <v>1196</v>
      </c>
      <c r="B5325" t="s">
        <v>36</v>
      </c>
      <c r="C5325" t="s">
        <v>38</v>
      </c>
      <c r="D5325">
        <v>131</v>
      </c>
    </row>
    <row r="5326" spans="1:4" ht="15.75" customHeight="1">
      <c r="A5326" t="s">
        <v>3560</v>
      </c>
      <c r="B5326" t="s">
        <v>36</v>
      </c>
      <c r="C5326" t="s">
        <v>38</v>
      </c>
      <c r="D5326">
        <v>130</v>
      </c>
    </row>
    <row r="5327" spans="1:4" ht="15.75" customHeight="1">
      <c r="A5327" t="s">
        <v>4000</v>
      </c>
      <c r="B5327" t="s">
        <v>36</v>
      </c>
      <c r="C5327" t="s">
        <v>38</v>
      </c>
      <c r="D5327">
        <v>130</v>
      </c>
    </row>
    <row r="5328" spans="1:4" ht="15.75" customHeight="1">
      <c r="A5328" t="s">
        <v>3086</v>
      </c>
      <c r="B5328" t="s">
        <v>36</v>
      </c>
      <c r="C5328" t="s">
        <v>38</v>
      </c>
      <c r="D5328">
        <v>129</v>
      </c>
    </row>
    <row r="5329" spans="1:4" ht="15.75" customHeight="1">
      <c r="A5329" t="s">
        <v>4324</v>
      </c>
      <c r="B5329" t="s">
        <v>36</v>
      </c>
      <c r="C5329" t="s">
        <v>38</v>
      </c>
      <c r="D5329">
        <v>129</v>
      </c>
    </row>
    <row r="5330" spans="1:4" ht="15.75" customHeight="1">
      <c r="A5330" t="s">
        <v>1170</v>
      </c>
      <c r="B5330" t="s">
        <v>36</v>
      </c>
      <c r="C5330" t="s">
        <v>38</v>
      </c>
      <c r="D5330">
        <v>129</v>
      </c>
    </row>
    <row r="5331" spans="1:4" ht="15.75" customHeight="1">
      <c r="A5331" t="s">
        <v>2051</v>
      </c>
      <c r="B5331" t="s">
        <v>36</v>
      </c>
      <c r="C5331" t="s">
        <v>38</v>
      </c>
      <c r="D5331">
        <v>129</v>
      </c>
    </row>
    <row r="5332" spans="1:4" ht="15.75" customHeight="1">
      <c r="A5332" t="s">
        <v>3552</v>
      </c>
      <c r="B5332" t="s">
        <v>36</v>
      </c>
      <c r="C5332" t="s">
        <v>38</v>
      </c>
      <c r="D5332">
        <v>128</v>
      </c>
    </row>
    <row r="5333" spans="1:4" ht="15.75" customHeight="1">
      <c r="A5333" t="s">
        <v>2526</v>
      </c>
      <c r="B5333" t="s">
        <v>36</v>
      </c>
      <c r="C5333" t="s">
        <v>38</v>
      </c>
      <c r="D5333">
        <v>127</v>
      </c>
    </row>
    <row r="5334" spans="1:4" ht="15.75" customHeight="1">
      <c r="A5334" t="s">
        <v>3099</v>
      </c>
      <c r="B5334" t="s">
        <v>36</v>
      </c>
      <c r="C5334" t="s">
        <v>38</v>
      </c>
      <c r="D5334">
        <v>127</v>
      </c>
    </row>
    <row r="5335" spans="1:4" ht="15.75" customHeight="1">
      <c r="A5335" t="s">
        <v>94</v>
      </c>
      <c r="B5335" t="s">
        <v>36</v>
      </c>
      <c r="C5335" t="s">
        <v>38</v>
      </c>
      <c r="D5335">
        <v>127</v>
      </c>
    </row>
    <row r="5336" spans="1:4" ht="15.75" customHeight="1">
      <c r="A5336" t="s">
        <v>4339</v>
      </c>
      <c r="B5336" t="s">
        <v>36</v>
      </c>
      <c r="C5336" t="s">
        <v>38</v>
      </c>
      <c r="D5336">
        <v>127</v>
      </c>
    </row>
    <row r="5337" spans="1:4" ht="15.75" customHeight="1">
      <c r="A5337" t="s">
        <v>1210</v>
      </c>
      <c r="B5337" t="s">
        <v>36</v>
      </c>
      <c r="C5337" t="s">
        <v>38</v>
      </c>
      <c r="D5337">
        <v>126</v>
      </c>
    </row>
    <row r="5338" spans="1:4" ht="15.75" customHeight="1">
      <c r="A5338" t="s">
        <v>2056</v>
      </c>
      <c r="B5338" t="s">
        <v>36</v>
      </c>
      <c r="C5338" t="s">
        <v>38</v>
      </c>
      <c r="D5338">
        <v>125</v>
      </c>
    </row>
    <row r="5339" spans="1:4" ht="15.75" customHeight="1">
      <c r="A5339" t="s">
        <v>3582</v>
      </c>
      <c r="B5339" t="s">
        <v>36</v>
      </c>
      <c r="C5339" t="s">
        <v>38</v>
      </c>
      <c r="D5339">
        <v>125</v>
      </c>
    </row>
    <row r="5340" spans="1:4" ht="15.75" customHeight="1">
      <c r="A5340" t="s">
        <v>2086</v>
      </c>
      <c r="B5340" t="s">
        <v>36</v>
      </c>
      <c r="C5340" t="s">
        <v>38</v>
      </c>
      <c r="D5340">
        <v>124</v>
      </c>
    </row>
    <row r="5341" spans="1:4" ht="15.75" customHeight="1">
      <c r="A5341" t="s">
        <v>3499</v>
      </c>
      <c r="B5341" t="s">
        <v>36</v>
      </c>
      <c r="C5341" t="s">
        <v>38</v>
      </c>
      <c r="D5341">
        <v>123</v>
      </c>
    </row>
    <row r="5342" spans="1:4" ht="15.75" customHeight="1">
      <c r="A5342" t="s">
        <v>3575</v>
      </c>
      <c r="B5342" t="s">
        <v>36</v>
      </c>
      <c r="C5342" t="s">
        <v>38</v>
      </c>
      <c r="D5342">
        <v>123</v>
      </c>
    </row>
    <row r="5343" spans="1:4" ht="15.75" customHeight="1">
      <c r="A5343" t="s">
        <v>3988</v>
      </c>
      <c r="B5343" t="s">
        <v>36</v>
      </c>
      <c r="C5343" t="s">
        <v>38</v>
      </c>
      <c r="D5343">
        <v>123</v>
      </c>
    </row>
    <row r="5344" spans="1:4" ht="15.75" customHeight="1">
      <c r="A5344" t="s">
        <v>1182</v>
      </c>
      <c r="B5344" t="s">
        <v>36</v>
      </c>
      <c r="C5344" t="s">
        <v>38</v>
      </c>
      <c r="D5344">
        <v>122</v>
      </c>
    </row>
    <row r="5345" spans="1:4" ht="15.75" customHeight="1">
      <c r="A5345" t="s">
        <v>2637</v>
      </c>
      <c r="B5345" t="s">
        <v>36</v>
      </c>
      <c r="C5345" t="s">
        <v>38</v>
      </c>
      <c r="D5345">
        <v>122</v>
      </c>
    </row>
    <row r="5346" spans="1:4" ht="15.75" customHeight="1">
      <c r="A5346" t="s">
        <v>3124</v>
      </c>
      <c r="B5346" t="s">
        <v>36</v>
      </c>
      <c r="C5346" t="s">
        <v>38</v>
      </c>
      <c r="D5346">
        <v>122</v>
      </c>
    </row>
    <row r="5347" spans="1:4" ht="15.75" customHeight="1">
      <c r="A5347" t="s">
        <v>372</v>
      </c>
      <c r="B5347" t="s">
        <v>36</v>
      </c>
      <c r="C5347" t="s">
        <v>38</v>
      </c>
      <c r="D5347">
        <v>122</v>
      </c>
    </row>
    <row r="5348" spans="1:4" ht="15.75" customHeight="1">
      <c r="A5348" t="s">
        <v>1207</v>
      </c>
      <c r="B5348" t="s">
        <v>36</v>
      </c>
      <c r="C5348" t="s">
        <v>38</v>
      </c>
      <c r="D5348">
        <v>122</v>
      </c>
    </row>
    <row r="5349" spans="1:4" ht="15.75" customHeight="1">
      <c r="A5349" t="s">
        <v>3960</v>
      </c>
      <c r="B5349" t="s">
        <v>36</v>
      </c>
      <c r="C5349" t="s">
        <v>38</v>
      </c>
      <c r="D5349">
        <v>122</v>
      </c>
    </row>
    <row r="5350" spans="1:4" ht="15.75" customHeight="1">
      <c r="A5350" t="s">
        <v>1203</v>
      </c>
      <c r="B5350" t="s">
        <v>36</v>
      </c>
      <c r="C5350" t="s">
        <v>38</v>
      </c>
      <c r="D5350">
        <v>121</v>
      </c>
    </row>
    <row r="5351" spans="1:4" ht="15.75" customHeight="1">
      <c r="A5351" t="s">
        <v>3510</v>
      </c>
      <c r="B5351" t="s">
        <v>36</v>
      </c>
      <c r="C5351" t="s">
        <v>38</v>
      </c>
      <c r="D5351">
        <v>121</v>
      </c>
    </row>
    <row r="5352" spans="1:4" ht="15.75" customHeight="1">
      <c r="A5352" t="s">
        <v>3520</v>
      </c>
      <c r="B5352" t="s">
        <v>36</v>
      </c>
      <c r="C5352" t="s">
        <v>38</v>
      </c>
      <c r="D5352">
        <v>120</v>
      </c>
    </row>
    <row r="5353" spans="1:4" ht="15.75" customHeight="1">
      <c r="A5353" t="s">
        <v>1619</v>
      </c>
      <c r="B5353" t="s">
        <v>36</v>
      </c>
      <c r="C5353" t="s">
        <v>38</v>
      </c>
      <c r="D5353">
        <v>120</v>
      </c>
    </row>
    <row r="5354" spans="1:4" ht="15.75" customHeight="1">
      <c r="A5354" t="s">
        <v>3494</v>
      </c>
      <c r="B5354" t="s">
        <v>36</v>
      </c>
      <c r="C5354" t="s">
        <v>38</v>
      </c>
      <c r="D5354">
        <v>119</v>
      </c>
    </row>
    <row r="5355" spans="1:4" ht="15.75" customHeight="1">
      <c r="A5355" t="s">
        <v>3128</v>
      </c>
      <c r="B5355" t="s">
        <v>36</v>
      </c>
      <c r="C5355" t="s">
        <v>38</v>
      </c>
      <c r="D5355">
        <v>119</v>
      </c>
    </row>
    <row r="5356" spans="1:4" ht="15.75" customHeight="1">
      <c r="A5356" t="s">
        <v>1981</v>
      </c>
      <c r="B5356" t="s">
        <v>36</v>
      </c>
      <c r="C5356" t="s">
        <v>38</v>
      </c>
      <c r="D5356">
        <v>118</v>
      </c>
    </row>
    <row r="5357" spans="1:4" ht="15.75" customHeight="1">
      <c r="A5357" t="s">
        <v>3021</v>
      </c>
      <c r="B5357" t="s">
        <v>36</v>
      </c>
      <c r="C5357" t="s">
        <v>38</v>
      </c>
      <c r="D5357">
        <v>118</v>
      </c>
    </row>
    <row r="5358" spans="1:4" ht="15.75" customHeight="1">
      <c r="A5358" t="s">
        <v>3082</v>
      </c>
      <c r="B5358" t="s">
        <v>36</v>
      </c>
      <c r="C5358" t="s">
        <v>38</v>
      </c>
      <c r="D5358">
        <v>117</v>
      </c>
    </row>
    <row r="5359" spans="1:4" ht="15.75" customHeight="1">
      <c r="A5359" t="s">
        <v>2052</v>
      </c>
      <c r="B5359" t="s">
        <v>36</v>
      </c>
      <c r="C5359" t="s">
        <v>38</v>
      </c>
      <c r="D5359">
        <v>117</v>
      </c>
    </row>
    <row r="5360" spans="1:4" ht="15.75" customHeight="1">
      <c r="A5360" t="s">
        <v>3109</v>
      </c>
      <c r="B5360" t="s">
        <v>36</v>
      </c>
      <c r="C5360" t="s">
        <v>38</v>
      </c>
      <c r="D5360">
        <v>117</v>
      </c>
    </row>
    <row r="5361" spans="1:4" ht="15.75" customHeight="1">
      <c r="A5361" t="s">
        <v>3898</v>
      </c>
      <c r="B5361" t="s">
        <v>36</v>
      </c>
      <c r="C5361" t="s">
        <v>38</v>
      </c>
      <c r="D5361">
        <v>116</v>
      </c>
    </row>
    <row r="5362" spans="1:4" ht="15.75" customHeight="1">
      <c r="A5362" t="s">
        <v>3061</v>
      </c>
      <c r="B5362" t="s">
        <v>36</v>
      </c>
      <c r="C5362" t="s">
        <v>38</v>
      </c>
      <c r="D5362">
        <v>115</v>
      </c>
    </row>
    <row r="5363" spans="1:4" ht="15.75" customHeight="1">
      <c r="A5363" t="s">
        <v>4329</v>
      </c>
      <c r="B5363" t="s">
        <v>36</v>
      </c>
      <c r="C5363" t="s">
        <v>38</v>
      </c>
      <c r="D5363">
        <v>115</v>
      </c>
    </row>
    <row r="5364" spans="1:4" ht="15.75" customHeight="1">
      <c r="A5364" t="s">
        <v>3077</v>
      </c>
      <c r="B5364" t="s">
        <v>36</v>
      </c>
      <c r="C5364" t="s">
        <v>38</v>
      </c>
      <c r="D5364">
        <v>115</v>
      </c>
    </row>
    <row r="5365" spans="1:4" ht="15.75" customHeight="1">
      <c r="A5365" t="s">
        <v>3536</v>
      </c>
      <c r="B5365" t="s">
        <v>36</v>
      </c>
      <c r="C5365" t="s">
        <v>38</v>
      </c>
      <c r="D5365">
        <v>115</v>
      </c>
    </row>
    <row r="5366" spans="1:4" ht="15.75" customHeight="1">
      <c r="A5366" t="s">
        <v>3970</v>
      </c>
      <c r="B5366" t="s">
        <v>36</v>
      </c>
      <c r="C5366" t="s">
        <v>38</v>
      </c>
      <c r="D5366">
        <v>115</v>
      </c>
    </row>
    <row r="5367" spans="1:4" ht="15.75" customHeight="1">
      <c r="A5367" t="s">
        <v>3505</v>
      </c>
      <c r="B5367" t="s">
        <v>36</v>
      </c>
      <c r="C5367" t="s">
        <v>38</v>
      </c>
      <c r="D5367">
        <v>114</v>
      </c>
    </row>
    <row r="5368" spans="1:4" ht="15.75" customHeight="1">
      <c r="A5368" t="s">
        <v>3924</v>
      </c>
      <c r="B5368" t="s">
        <v>36</v>
      </c>
      <c r="C5368" t="s">
        <v>38</v>
      </c>
      <c r="D5368">
        <v>114</v>
      </c>
    </row>
    <row r="5369" spans="1:4" ht="15.75" customHeight="1">
      <c r="A5369" t="s">
        <v>4335</v>
      </c>
      <c r="B5369" t="s">
        <v>36</v>
      </c>
      <c r="C5369" t="s">
        <v>38</v>
      </c>
      <c r="D5369">
        <v>114</v>
      </c>
    </row>
    <row r="5370" spans="1:4" ht="15.75" customHeight="1">
      <c r="A5370" t="s">
        <v>3547</v>
      </c>
      <c r="B5370" t="s">
        <v>36</v>
      </c>
      <c r="C5370" t="s">
        <v>38</v>
      </c>
      <c r="D5370">
        <v>113</v>
      </c>
    </row>
    <row r="5371" spans="1:4" ht="15.75" customHeight="1">
      <c r="A5371" t="s">
        <v>3550</v>
      </c>
      <c r="B5371" t="s">
        <v>36</v>
      </c>
      <c r="C5371" t="s">
        <v>38</v>
      </c>
      <c r="D5371">
        <v>113</v>
      </c>
    </row>
    <row r="5372" spans="1:4" ht="15.75" customHeight="1">
      <c r="A5372" t="s">
        <v>3556</v>
      </c>
      <c r="B5372" t="s">
        <v>36</v>
      </c>
      <c r="C5372" t="s">
        <v>38</v>
      </c>
      <c r="D5372">
        <v>113</v>
      </c>
    </row>
    <row r="5373" spans="1:4" ht="15.75" customHeight="1">
      <c r="A5373" t="s">
        <v>3018</v>
      </c>
      <c r="B5373" t="s">
        <v>36</v>
      </c>
      <c r="C5373" t="s">
        <v>38</v>
      </c>
      <c r="D5373">
        <v>113</v>
      </c>
    </row>
    <row r="5374" spans="1:4" ht="15.75" customHeight="1">
      <c r="A5374" t="s">
        <v>1200</v>
      </c>
      <c r="B5374" t="s">
        <v>36</v>
      </c>
      <c r="C5374" t="s">
        <v>38</v>
      </c>
      <c r="D5374">
        <v>112</v>
      </c>
    </row>
    <row r="5375" spans="1:4" ht="15.75" customHeight="1">
      <c r="A5375" t="s">
        <v>1672</v>
      </c>
      <c r="B5375" t="s">
        <v>36</v>
      </c>
      <c r="C5375" t="s">
        <v>38</v>
      </c>
      <c r="D5375">
        <v>112</v>
      </c>
    </row>
    <row r="5376" spans="1:4" ht="15.75" customHeight="1">
      <c r="A5376" t="s">
        <v>3052</v>
      </c>
      <c r="B5376" t="s">
        <v>36</v>
      </c>
      <c r="C5376" t="s">
        <v>38</v>
      </c>
      <c r="D5376">
        <v>112</v>
      </c>
    </row>
    <row r="5377" spans="1:4" ht="15.75" customHeight="1">
      <c r="A5377" t="s">
        <v>3586</v>
      </c>
      <c r="B5377" t="s">
        <v>36</v>
      </c>
      <c r="C5377" t="s">
        <v>38</v>
      </c>
      <c r="D5377">
        <v>112</v>
      </c>
    </row>
    <row r="5378" spans="1:4" ht="15.75" customHeight="1">
      <c r="A5378" t="s">
        <v>326</v>
      </c>
      <c r="B5378" t="s">
        <v>36</v>
      </c>
      <c r="C5378" t="s">
        <v>38</v>
      </c>
      <c r="D5378">
        <v>111</v>
      </c>
    </row>
    <row r="5379" spans="1:4" ht="15.75" customHeight="1">
      <c r="A5379" t="s">
        <v>3516</v>
      </c>
      <c r="B5379" t="s">
        <v>36</v>
      </c>
      <c r="C5379" t="s">
        <v>38</v>
      </c>
      <c r="D5379">
        <v>111</v>
      </c>
    </row>
    <row r="5380" spans="1:4" ht="15.75" customHeight="1">
      <c r="A5380" t="s">
        <v>4344</v>
      </c>
      <c r="B5380" t="s">
        <v>36</v>
      </c>
      <c r="C5380" t="s">
        <v>38</v>
      </c>
      <c r="D5380">
        <v>111</v>
      </c>
    </row>
    <row r="5381" spans="1:4" ht="15.75" customHeight="1">
      <c r="A5381" t="s">
        <v>4670</v>
      </c>
      <c r="B5381" t="s">
        <v>36</v>
      </c>
      <c r="C5381" t="s">
        <v>38</v>
      </c>
      <c r="D5381">
        <v>110</v>
      </c>
    </row>
    <row r="5382" spans="1:4" ht="15.75" customHeight="1">
      <c r="A5382" t="s">
        <v>4653</v>
      </c>
      <c r="B5382" t="s">
        <v>36</v>
      </c>
      <c r="C5382" t="s">
        <v>38</v>
      </c>
      <c r="D5382">
        <v>110</v>
      </c>
    </row>
    <row r="5383" spans="1:4" ht="15.75" customHeight="1">
      <c r="A5383" t="s">
        <v>3519</v>
      </c>
      <c r="B5383" t="s">
        <v>36</v>
      </c>
      <c r="C5383" t="s">
        <v>38</v>
      </c>
      <c r="D5383">
        <v>110</v>
      </c>
    </row>
    <row r="5384" spans="1:4" ht="15.75" customHeight="1">
      <c r="A5384" t="s">
        <v>3071</v>
      </c>
      <c r="B5384" t="s">
        <v>36</v>
      </c>
      <c r="C5384" t="s">
        <v>38</v>
      </c>
      <c r="D5384">
        <v>110</v>
      </c>
    </row>
    <row r="5385" spans="1:4" ht="15.75" customHeight="1">
      <c r="A5385" t="s">
        <v>2016</v>
      </c>
      <c r="B5385" t="s">
        <v>36</v>
      </c>
      <c r="C5385" t="s">
        <v>38</v>
      </c>
      <c r="D5385">
        <v>110</v>
      </c>
    </row>
    <row r="5386" spans="1:4" ht="15.75" customHeight="1">
      <c r="A5386" t="s">
        <v>4331</v>
      </c>
      <c r="B5386" t="s">
        <v>36</v>
      </c>
      <c r="C5386" t="s">
        <v>38</v>
      </c>
      <c r="D5386">
        <v>109</v>
      </c>
    </row>
    <row r="5387" spans="1:4" ht="15.75" customHeight="1">
      <c r="A5387" t="s">
        <v>2090</v>
      </c>
      <c r="B5387" t="s">
        <v>36</v>
      </c>
      <c r="C5387" t="s">
        <v>38</v>
      </c>
      <c r="D5387">
        <v>109</v>
      </c>
    </row>
    <row r="5388" spans="1:4" ht="15.75" customHeight="1">
      <c r="A5388" t="s">
        <v>4286</v>
      </c>
      <c r="B5388" t="s">
        <v>36</v>
      </c>
      <c r="C5388" t="s">
        <v>38</v>
      </c>
      <c r="D5388">
        <v>108</v>
      </c>
    </row>
    <row r="5389" spans="1:4" ht="15.75" customHeight="1">
      <c r="A5389" t="s">
        <v>3566</v>
      </c>
      <c r="B5389" t="s">
        <v>36</v>
      </c>
      <c r="C5389" t="s">
        <v>38</v>
      </c>
      <c r="D5389">
        <v>108</v>
      </c>
    </row>
    <row r="5390" spans="1:4" ht="15.75" customHeight="1">
      <c r="A5390" t="s">
        <v>3119</v>
      </c>
      <c r="B5390" t="s">
        <v>36</v>
      </c>
      <c r="C5390" t="s">
        <v>38</v>
      </c>
      <c r="D5390">
        <v>107</v>
      </c>
    </row>
    <row r="5391" spans="1:4" ht="15.75" customHeight="1">
      <c r="A5391" t="s">
        <v>1198</v>
      </c>
      <c r="B5391" t="s">
        <v>36</v>
      </c>
      <c r="C5391" t="s">
        <v>38</v>
      </c>
      <c r="D5391">
        <v>106</v>
      </c>
    </row>
    <row r="5392" spans="1:4" ht="15.75" customHeight="1">
      <c r="A5392" t="s">
        <v>1202</v>
      </c>
      <c r="B5392" t="s">
        <v>36</v>
      </c>
      <c r="C5392" t="s">
        <v>38</v>
      </c>
      <c r="D5392">
        <v>106</v>
      </c>
    </row>
    <row r="5393" spans="1:4" ht="15.75" customHeight="1">
      <c r="A5393" t="s">
        <v>3048</v>
      </c>
      <c r="B5393" t="s">
        <v>36</v>
      </c>
      <c r="C5393" t="s">
        <v>38</v>
      </c>
      <c r="D5393">
        <v>106</v>
      </c>
    </row>
    <row r="5394" spans="1:4" ht="15.75" customHeight="1">
      <c r="A5394" t="s">
        <v>4634</v>
      </c>
      <c r="B5394" t="s">
        <v>36</v>
      </c>
      <c r="C5394" t="s">
        <v>38</v>
      </c>
      <c r="D5394">
        <v>106</v>
      </c>
    </row>
    <row r="5395" spans="1:4" ht="15.75" customHeight="1">
      <c r="A5395" t="s">
        <v>3905</v>
      </c>
      <c r="B5395" t="s">
        <v>36</v>
      </c>
      <c r="C5395" t="s">
        <v>38</v>
      </c>
      <c r="D5395">
        <v>106</v>
      </c>
    </row>
    <row r="5396" spans="1:4" ht="15.75" customHeight="1">
      <c r="A5396" t="s">
        <v>3089</v>
      </c>
      <c r="B5396" t="s">
        <v>36</v>
      </c>
      <c r="C5396" t="s">
        <v>38</v>
      </c>
      <c r="D5396">
        <v>105</v>
      </c>
    </row>
    <row r="5397" spans="1:4" ht="15.75" customHeight="1">
      <c r="A5397" t="s">
        <v>2617</v>
      </c>
      <c r="B5397" t="s">
        <v>36</v>
      </c>
      <c r="C5397" t="s">
        <v>38</v>
      </c>
      <c r="D5397">
        <v>105</v>
      </c>
    </row>
    <row r="5398" spans="1:4" ht="15.75" customHeight="1">
      <c r="A5398" t="s">
        <v>1997</v>
      </c>
      <c r="B5398" t="s">
        <v>36</v>
      </c>
      <c r="C5398" t="s">
        <v>38</v>
      </c>
      <c r="D5398">
        <v>105</v>
      </c>
    </row>
    <row r="5399" spans="1:4" ht="15.75" customHeight="1">
      <c r="A5399" t="s">
        <v>4640</v>
      </c>
      <c r="B5399" t="s">
        <v>36</v>
      </c>
      <c r="C5399" t="s">
        <v>38</v>
      </c>
      <c r="D5399">
        <v>104</v>
      </c>
    </row>
    <row r="5400" spans="1:4" ht="15.75" customHeight="1">
      <c r="A5400" t="s">
        <v>3936</v>
      </c>
      <c r="B5400" t="s">
        <v>36</v>
      </c>
      <c r="C5400" t="s">
        <v>38</v>
      </c>
      <c r="D5400">
        <v>103</v>
      </c>
    </row>
    <row r="5401" spans="1:4" ht="15.75" customHeight="1">
      <c r="A5401" t="s">
        <v>2619</v>
      </c>
      <c r="B5401" t="s">
        <v>36</v>
      </c>
      <c r="C5401" t="s">
        <v>38</v>
      </c>
      <c r="D5401">
        <v>103</v>
      </c>
    </row>
    <row r="5402" spans="1:4" ht="15.75" customHeight="1">
      <c r="A5402" t="s">
        <v>1634</v>
      </c>
      <c r="B5402" t="s">
        <v>36</v>
      </c>
      <c r="C5402" t="s">
        <v>38</v>
      </c>
      <c r="D5402">
        <v>103</v>
      </c>
    </row>
    <row r="5403" spans="1:4" ht="15.75" customHeight="1">
      <c r="A5403" t="s">
        <v>3524</v>
      </c>
      <c r="B5403" t="s">
        <v>36</v>
      </c>
      <c r="C5403" t="s">
        <v>38</v>
      </c>
      <c r="D5403">
        <v>103</v>
      </c>
    </row>
    <row r="5404" spans="1:4" ht="15.75" customHeight="1">
      <c r="A5404" t="s">
        <v>354</v>
      </c>
      <c r="B5404" t="s">
        <v>36</v>
      </c>
      <c r="C5404" t="s">
        <v>38</v>
      </c>
      <c r="D5404">
        <v>103</v>
      </c>
    </row>
    <row r="5405" spans="1:4" ht="15.75" customHeight="1">
      <c r="A5405" t="s">
        <v>3962</v>
      </c>
      <c r="B5405" t="s">
        <v>36</v>
      </c>
      <c r="C5405" t="s">
        <v>38</v>
      </c>
      <c r="D5405">
        <v>103</v>
      </c>
    </row>
    <row r="5406" spans="1:4" ht="15.75" customHeight="1">
      <c r="A5406" t="s">
        <v>1147</v>
      </c>
      <c r="B5406" t="s">
        <v>36</v>
      </c>
      <c r="C5406" t="s">
        <v>38</v>
      </c>
      <c r="D5406">
        <v>102</v>
      </c>
    </row>
    <row r="5407" spans="1:4" ht="15.75" customHeight="1">
      <c r="A5407" t="s">
        <v>2614</v>
      </c>
      <c r="B5407" t="s">
        <v>36</v>
      </c>
      <c r="C5407" t="s">
        <v>38</v>
      </c>
      <c r="D5407">
        <v>102</v>
      </c>
    </row>
    <row r="5408" spans="1:4" ht="15.75" customHeight="1">
      <c r="A5408" t="s">
        <v>4618</v>
      </c>
      <c r="B5408" t="s">
        <v>36</v>
      </c>
      <c r="C5408" t="s">
        <v>38</v>
      </c>
      <c r="D5408">
        <v>101</v>
      </c>
    </row>
    <row r="5409" spans="1:4" ht="15.75" customHeight="1">
      <c r="A5409" t="s">
        <v>1988</v>
      </c>
      <c r="B5409" t="s">
        <v>36</v>
      </c>
      <c r="C5409" t="s">
        <v>38</v>
      </c>
      <c r="D5409">
        <v>101</v>
      </c>
    </row>
    <row r="5410" spans="1:4" ht="15.75" customHeight="1">
      <c r="A5410" t="s">
        <v>3070</v>
      </c>
      <c r="B5410" t="s">
        <v>36</v>
      </c>
      <c r="C5410" t="s">
        <v>38</v>
      </c>
      <c r="D5410">
        <v>101</v>
      </c>
    </row>
    <row r="5411" spans="1:4" ht="15.75" customHeight="1">
      <c r="A5411" t="s">
        <v>4651</v>
      </c>
      <c r="B5411" t="s">
        <v>36</v>
      </c>
      <c r="C5411" t="s">
        <v>38</v>
      </c>
      <c r="D5411">
        <v>100</v>
      </c>
    </row>
    <row r="5412" spans="1:4" ht="15.75" customHeight="1">
      <c r="A5412" t="s">
        <v>2042</v>
      </c>
      <c r="B5412" t="s">
        <v>36</v>
      </c>
      <c r="C5412" t="s">
        <v>38</v>
      </c>
      <c r="D5412">
        <v>100</v>
      </c>
    </row>
    <row r="5413" spans="1:4" ht="15.75" customHeight="1">
      <c r="A5413" t="s">
        <v>3023</v>
      </c>
      <c r="B5413" t="s">
        <v>36</v>
      </c>
      <c r="C5413" t="s">
        <v>38</v>
      </c>
      <c r="D5413">
        <v>100</v>
      </c>
    </row>
    <row r="5414" spans="1:4" ht="15.75" customHeight="1">
      <c r="A5414" t="s">
        <v>1966</v>
      </c>
      <c r="B5414" t="s">
        <v>36</v>
      </c>
      <c r="C5414" t="s">
        <v>38</v>
      </c>
      <c r="D5414">
        <v>100</v>
      </c>
    </row>
    <row r="5415" spans="1:4" ht="15.75" customHeight="1">
      <c r="A5415" t="s">
        <v>4632</v>
      </c>
      <c r="B5415" t="s">
        <v>36</v>
      </c>
      <c r="C5415" t="s">
        <v>38</v>
      </c>
      <c r="D5415">
        <v>99</v>
      </c>
    </row>
    <row r="5416" spans="1:4" ht="15.75" customHeight="1">
      <c r="A5416" t="s">
        <v>3935</v>
      </c>
      <c r="B5416" t="s">
        <v>36</v>
      </c>
      <c r="C5416" t="s">
        <v>38</v>
      </c>
      <c r="D5416">
        <v>99</v>
      </c>
    </row>
    <row r="5417" spans="1:4" ht="15.75" customHeight="1">
      <c r="A5417" t="s">
        <v>2002</v>
      </c>
      <c r="B5417" t="s">
        <v>36</v>
      </c>
      <c r="C5417" t="s">
        <v>38</v>
      </c>
      <c r="D5417">
        <v>99</v>
      </c>
    </row>
    <row r="5418" spans="1:4" ht="15.75" customHeight="1">
      <c r="A5418" t="s">
        <v>4341</v>
      </c>
      <c r="B5418" t="s">
        <v>36</v>
      </c>
      <c r="C5418" t="s">
        <v>38</v>
      </c>
      <c r="D5418">
        <v>99</v>
      </c>
    </row>
    <row r="5419" spans="1:4" ht="15.75" customHeight="1">
      <c r="A5419" t="s">
        <v>4679</v>
      </c>
      <c r="B5419" t="s">
        <v>36</v>
      </c>
      <c r="C5419" t="s">
        <v>38</v>
      </c>
      <c r="D5419">
        <v>98</v>
      </c>
    </row>
    <row r="5420" spans="1:4" ht="15.75" customHeight="1">
      <c r="A5420" t="s">
        <v>3521</v>
      </c>
      <c r="B5420" t="s">
        <v>36</v>
      </c>
      <c r="C5420" t="s">
        <v>38</v>
      </c>
      <c r="D5420">
        <v>98</v>
      </c>
    </row>
    <row r="5421" spans="1:4" ht="15.75" customHeight="1">
      <c r="A5421" t="s">
        <v>4271</v>
      </c>
      <c r="B5421" t="s">
        <v>36</v>
      </c>
      <c r="C5421" t="s">
        <v>38</v>
      </c>
      <c r="D5421">
        <v>98</v>
      </c>
    </row>
    <row r="5422" spans="1:4" ht="15.75" customHeight="1">
      <c r="A5422" t="s">
        <v>2642</v>
      </c>
      <c r="B5422" t="s">
        <v>36</v>
      </c>
      <c r="C5422" t="s">
        <v>38</v>
      </c>
      <c r="D5422">
        <v>98</v>
      </c>
    </row>
    <row r="5423" spans="1:4" ht="15.75" customHeight="1">
      <c r="A5423" t="s">
        <v>3930</v>
      </c>
      <c r="B5423" t="s">
        <v>36</v>
      </c>
      <c r="C5423" t="s">
        <v>38</v>
      </c>
      <c r="D5423">
        <v>97</v>
      </c>
    </row>
    <row r="5424" spans="1:4" ht="15.75" customHeight="1">
      <c r="A5424" t="s">
        <v>2641</v>
      </c>
      <c r="B5424" t="s">
        <v>36</v>
      </c>
      <c r="C5424" t="s">
        <v>38</v>
      </c>
      <c r="D5424">
        <v>97</v>
      </c>
    </row>
    <row r="5425" spans="1:4" ht="15.75" customHeight="1">
      <c r="A5425" t="s">
        <v>4288</v>
      </c>
      <c r="B5425" t="s">
        <v>36</v>
      </c>
      <c r="C5425" t="s">
        <v>38</v>
      </c>
      <c r="D5425">
        <v>96</v>
      </c>
    </row>
    <row r="5426" spans="1:4" ht="15.75" customHeight="1">
      <c r="A5426" t="s">
        <v>1216</v>
      </c>
      <c r="B5426" t="s">
        <v>36</v>
      </c>
      <c r="C5426" t="s">
        <v>38</v>
      </c>
      <c r="D5426">
        <v>96</v>
      </c>
    </row>
    <row r="5427" spans="1:4" ht="15.75" customHeight="1">
      <c r="A5427" t="s">
        <v>1999</v>
      </c>
      <c r="B5427" t="s">
        <v>36</v>
      </c>
      <c r="C5427" t="s">
        <v>38</v>
      </c>
      <c r="D5427">
        <v>96</v>
      </c>
    </row>
    <row r="5428" spans="1:4" ht="15.75" customHeight="1">
      <c r="A5428" t="s">
        <v>3537</v>
      </c>
      <c r="B5428" t="s">
        <v>36</v>
      </c>
      <c r="C5428" t="s">
        <v>38</v>
      </c>
      <c r="D5428">
        <v>96</v>
      </c>
    </row>
    <row r="5429" spans="1:4" ht="15.75" customHeight="1">
      <c r="A5429" t="s">
        <v>1689</v>
      </c>
      <c r="B5429" t="s">
        <v>36</v>
      </c>
      <c r="C5429" t="s">
        <v>38</v>
      </c>
      <c r="D5429">
        <v>96</v>
      </c>
    </row>
    <row r="5430" spans="1:4" ht="15.75" customHeight="1">
      <c r="A5430" t="s">
        <v>1654</v>
      </c>
      <c r="B5430" t="s">
        <v>36</v>
      </c>
      <c r="C5430" t="s">
        <v>38</v>
      </c>
      <c r="D5430">
        <v>95</v>
      </c>
    </row>
    <row r="5431" spans="1:4" ht="15.75" customHeight="1">
      <c r="A5431" t="s">
        <v>3064</v>
      </c>
      <c r="B5431" t="s">
        <v>36</v>
      </c>
      <c r="C5431" t="s">
        <v>38</v>
      </c>
      <c r="D5431">
        <v>95</v>
      </c>
    </row>
    <row r="5432" spans="1:4" ht="15.75" customHeight="1">
      <c r="A5432" t="s">
        <v>2009</v>
      </c>
      <c r="B5432" t="s">
        <v>36</v>
      </c>
      <c r="C5432" t="s">
        <v>38</v>
      </c>
      <c r="D5432">
        <v>95</v>
      </c>
    </row>
    <row r="5433" spans="1:4" ht="15.75" customHeight="1">
      <c r="A5433" t="s">
        <v>4682</v>
      </c>
      <c r="B5433" t="s">
        <v>36</v>
      </c>
      <c r="C5433" t="s">
        <v>38</v>
      </c>
      <c r="D5433">
        <v>94</v>
      </c>
    </row>
    <row r="5434" spans="1:4" ht="15.75" customHeight="1">
      <c r="A5434" t="s">
        <v>3046</v>
      </c>
      <c r="B5434" t="s">
        <v>36</v>
      </c>
      <c r="C5434" t="s">
        <v>38</v>
      </c>
      <c r="D5434">
        <v>94</v>
      </c>
    </row>
    <row r="5435" spans="1:4" ht="15.75" customHeight="1">
      <c r="A5435" t="s">
        <v>4646</v>
      </c>
      <c r="B5435" t="s">
        <v>36</v>
      </c>
      <c r="C5435" t="s">
        <v>38</v>
      </c>
      <c r="D5435">
        <v>94</v>
      </c>
    </row>
    <row r="5436" spans="1:4" ht="15.75" customHeight="1">
      <c r="A5436" t="s">
        <v>4296</v>
      </c>
      <c r="B5436" t="s">
        <v>36</v>
      </c>
      <c r="C5436" t="s">
        <v>38</v>
      </c>
      <c r="D5436">
        <v>94</v>
      </c>
    </row>
    <row r="5437" spans="1:4" ht="15.75" customHeight="1">
      <c r="A5437" t="s">
        <v>2017</v>
      </c>
      <c r="B5437" t="s">
        <v>36</v>
      </c>
      <c r="C5437" t="s">
        <v>38</v>
      </c>
      <c r="D5437">
        <v>94</v>
      </c>
    </row>
    <row r="5438" spans="1:4" ht="15.75" customHeight="1">
      <c r="A5438" t="s">
        <v>3985</v>
      </c>
      <c r="B5438" t="s">
        <v>36</v>
      </c>
      <c r="C5438" t="s">
        <v>38</v>
      </c>
      <c r="D5438">
        <v>94</v>
      </c>
    </row>
    <row r="5439" spans="1:4" ht="15.75" customHeight="1">
      <c r="A5439" t="s">
        <v>312</v>
      </c>
      <c r="B5439" t="s">
        <v>36</v>
      </c>
      <c r="C5439" t="s">
        <v>38</v>
      </c>
      <c r="D5439">
        <v>92</v>
      </c>
    </row>
    <row r="5440" spans="1:4" ht="15.75" customHeight="1">
      <c r="A5440" t="s">
        <v>1991</v>
      </c>
      <c r="B5440" t="s">
        <v>36</v>
      </c>
      <c r="C5440" t="s">
        <v>38</v>
      </c>
      <c r="D5440">
        <v>92</v>
      </c>
    </row>
    <row r="5441" spans="1:4" ht="15.75" customHeight="1">
      <c r="A5441" t="s">
        <v>3525</v>
      </c>
      <c r="B5441" t="s">
        <v>36</v>
      </c>
      <c r="C5441" t="s">
        <v>38</v>
      </c>
      <c r="D5441">
        <v>92</v>
      </c>
    </row>
    <row r="5442" spans="1:4" ht="15.75" customHeight="1">
      <c r="A5442" t="s">
        <v>368</v>
      </c>
      <c r="B5442" t="s">
        <v>36</v>
      </c>
      <c r="C5442" t="s">
        <v>38</v>
      </c>
      <c r="D5442">
        <v>92</v>
      </c>
    </row>
    <row r="5443" spans="1:4" ht="15.75" customHeight="1">
      <c r="A5443" t="s">
        <v>4685</v>
      </c>
      <c r="B5443" t="s">
        <v>36</v>
      </c>
      <c r="C5443" t="s">
        <v>38</v>
      </c>
      <c r="D5443">
        <v>92</v>
      </c>
    </row>
    <row r="5444" spans="1:4" ht="15.75" customHeight="1">
      <c r="A5444" t="s">
        <v>3090</v>
      </c>
      <c r="B5444" t="s">
        <v>36</v>
      </c>
      <c r="C5444" t="s">
        <v>38</v>
      </c>
      <c r="D5444">
        <v>91</v>
      </c>
    </row>
    <row r="5445" spans="1:4" ht="15.75" customHeight="1">
      <c r="A5445" t="s">
        <v>3081</v>
      </c>
      <c r="B5445" t="s">
        <v>36</v>
      </c>
      <c r="C5445" t="s">
        <v>38</v>
      </c>
      <c r="D5445">
        <v>91</v>
      </c>
    </row>
    <row r="5446" spans="1:4" ht="15.75" customHeight="1">
      <c r="A5446" t="s">
        <v>1206</v>
      </c>
      <c r="B5446" t="s">
        <v>36</v>
      </c>
      <c r="C5446" t="s">
        <v>38</v>
      </c>
      <c r="D5446">
        <v>90</v>
      </c>
    </row>
    <row r="5447" spans="1:4" ht="15.75" customHeight="1">
      <c r="A5447" t="s">
        <v>2548</v>
      </c>
      <c r="B5447" t="s">
        <v>36</v>
      </c>
      <c r="C5447" t="s">
        <v>38</v>
      </c>
      <c r="D5447">
        <v>89</v>
      </c>
    </row>
    <row r="5448" spans="1:4" ht="15.75" customHeight="1">
      <c r="A5448" t="s">
        <v>4322</v>
      </c>
      <c r="B5448" t="s">
        <v>36</v>
      </c>
      <c r="C5448" t="s">
        <v>38</v>
      </c>
      <c r="D5448">
        <v>89</v>
      </c>
    </row>
    <row r="5449" spans="1:4" ht="15.75" customHeight="1">
      <c r="A5449" t="s">
        <v>3966</v>
      </c>
      <c r="B5449" t="s">
        <v>36</v>
      </c>
      <c r="C5449" t="s">
        <v>38</v>
      </c>
      <c r="D5449">
        <v>89</v>
      </c>
    </row>
    <row r="5450" spans="1:4" ht="15.75" customHeight="1">
      <c r="A5450" t="s">
        <v>4705</v>
      </c>
      <c r="B5450" t="s">
        <v>36</v>
      </c>
      <c r="C5450" t="s">
        <v>38</v>
      </c>
      <c r="D5450">
        <v>89</v>
      </c>
    </row>
    <row r="5451" spans="1:4" ht="15.75" customHeight="1">
      <c r="A5451" t="s">
        <v>3928</v>
      </c>
      <c r="B5451" t="s">
        <v>36</v>
      </c>
      <c r="C5451" t="s">
        <v>38</v>
      </c>
      <c r="D5451">
        <v>89</v>
      </c>
    </row>
    <row r="5452" spans="1:4" ht="15.75" customHeight="1">
      <c r="A5452" t="s">
        <v>4661</v>
      </c>
      <c r="B5452" t="s">
        <v>36</v>
      </c>
      <c r="C5452" t="s">
        <v>38</v>
      </c>
      <c r="D5452">
        <v>88</v>
      </c>
    </row>
    <row r="5453" spans="1:4" ht="15.75" customHeight="1">
      <c r="A5453" t="s">
        <v>1626</v>
      </c>
      <c r="B5453" t="s">
        <v>36</v>
      </c>
      <c r="C5453" t="s">
        <v>38</v>
      </c>
      <c r="D5453">
        <v>88</v>
      </c>
    </row>
    <row r="5454" spans="1:4" ht="15.75" customHeight="1">
      <c r="A5454" t="s">
        <v>1635</v>
      </c>
      <c r="B5454" t="s">
        <v>36</v>
      </c>
      <c r="C5454" t="s">
        <v>38</v>
      </c>
      <c r="D5454">
        <v>88</v>
      </c>
    </row>
    <row r="5455" spans="1:4" ht="15.75" customHeight="1">
      <c r="A5455" t="s">
        <v>2072</v>
      </c>
      <c r="B5455" t="s">
        <v>36</v>
      </c>
      <c r="C5455" t="s">
        <v>38</v>
      </c>
      <c r="D5455">
        <v>88</v>
      </c>
    </row>
    <row r="5456" spans="1:4" ht="15.75" customHeight="1">
      <c r="A5456" t="s">
        <v>1167</v>
      </c>
      <c r="B5456" t="s">
        <v>36</v>
      </c>
      <c r="C5456" t="s">
        <v>38</v>
      </c>
      <c r="D5456">
        <v>87</v>
      </c>
    </row>
    <row r="5457" spans="1:4" ht="15.75" customHeight="1">
      <c r="A5457" t="s">
        <v>333</v>
      </c>
      <c r="B5457" t="s">
        <v>36</v>
      </c>
      <c r="C5457" t="s">
        <v>38</v>
      </c>
      <c r="D5457">
        <v>87</v>
      </c>
    </row>
    <row r="5458" spans="1:4" ht="15.75" customHeight="1">
      <c r="A5458" t="s">
        <v>3920</v>
      </c>
      <c r="B5458" t="s">
        <v>36</v>
      </c>
      <c r="C5458" t="s">
        <v>38</v>
      </c>
      <c r="D5458">
        <v>87</v>
      </c>
    </row>
    <row r="5459" spans="1:4" ht="15.75" customHeight="1">
      <c r="A5459" t="s">
        <v>4346</v>
      </c>
      <c r="B5459" t="s">
        <v>36</v>
      </c>
      <c r="C5459" t="s">
        <v>38</v>
      </c>
      <c r="D5459">
        <v>86</v>
      </c>
    </row>
    <row r="5460" spans="1:4" ht="15.75" customHeight="1">
      <c r="A5460" t="s">
        <v>2008</v>
      </c>
      <c r="B5460" t="s">
        <v>36</v>
      </c>
      <c r="C5460" t="s">
        <v>38</v>
      </c>
      <c r="D5460">
        <v>85</v>
      </c>
    </row>
    <row r="5461" spans="1:4" ht="15.75" customHeight="1">
      <c r="A5461" t="s">
        <v>2089</v>
      </c>
      <c r="B5461" t="s">
        <v>36</v>
      </c>
      <c r="C5461" t="s">
        <v>38</v>
      </c>
      <c r="D5461">
        <v>85</v>
      </c>
    </row>
    <row r="5462" spans="1:4" ht="15.75" customHeight="1">
      <c r="A5462" t="s">
        <v>3094</v>
      </c>
      <c r="B5462" t="s">
        <v>36</v>
      </c>
      <c r="C5462" t="s">
        <v>38</v>
      </c>
      <c r="D5462">
        <v>84</v>
      </c>
    </row>
    <row r="5463" spans="1:4" ht="15.75" customHeight="1">
      <c r="A5463" t="s">
        <v>3926</v>
      </c>
      <c r="B5463" t="s">
        <v>36</v>
      </c>
      <c r="C5463" t="s">
        <v>38</v>
      </c>
      <c r="D5463">
        <v>84</v>
      </c>
    </row>
    <row r="5464" spans="1:4" ht="15.75" customHeight="1">
      <c r="A5464" t="s">
        <v>4345</v>
      </c>
      <c r="B5464" t="s">
        <v>36</v>
      </c>
      <c r="C5464" t="s">
        <v>38</v>
      </c>
      <c r="D5464">
        <v>84</v>
      </c>
    </row>
    <row r="5465" spans="1:4" ht="15.75" customHeight="1">
      <c r="A5465" t="s">
        <v>4293</v>
      </c>
      <c r="B5465" t="s">
        <v>36</v>
      </c>
      <c r="C5465" t="s">
        <v>38</v>
      </c>
      <c r="D5465">
        <v>83</v>
      </c>
    </row>
    <row r="5466" spans="1:4" ht="15.75" customHeight="1">
      <c r="A5466" t="s">
        <v>2528</v>
      </c>
      <c r="B5466" t="s">
        <v>36</v>
      </c>
      <c r="C5466" t="s">
        <v>38</v>
      </c>
      <c r="D5466">
        <v>83</v>
      </c>
    </row>
    <row r="5467" spans="1:4" ht="15.75" customHeight="1">
      <c r="A5467" t="s">
        <v>3554</v>
      </c>
      <c r="B5467" t="s">
        <v>36</v>
      </c>
      <c r="C5467" t="s">
        <v>38</v>
      </c>
      <c r="D5467">
        <v>83</v>
      </c>
    </row>
    <row r="5468" spans="1:4" ht="15.75" customHeight="1">
      <c r="A5468" t="s">
        <v>3944</v>
      </c>
      <c r="B5468" t="s">
        <v>36</v>
      </c>
      <c r="C5468" t="s">
        <v>38</v>
      </c>
      <c r="D5468">
        <v>83</v>
      </c>
    </row>
    <row r="5469" spans="1:4" ht="15.75" customHeight="1">
      <c r="A5469" t="s">
        <v>3939</v>
      </c>
      <c r="B5469" t="s">
        <v>36</v>
      </c>
      <c r="C5469" t="s">
        <v>38</v>
      </c>
      <c r="D5469">
        <v>82</v>
      </c>
    </row>
    <row r="5470" spans="1:4" ht="15.75" customHeight="1">
      <c r="A5470" t="s">
        <v>3551</v>
      </c>
      <c r="B5470" t="s">
        <v>36</v>
      </c>
      <c r="C5470" t="s">
        <v>38</v>
      </c>
      <c r="D5470">
        <v>82</v>
      </c>
    </row>
    <row r="5471" spans="1:4" ht="15.75" customHeight="1">
      <c r="A5471" t="s">
        <v>2532</v>
      </c>
      <c r="B5471" t="s">
        <v>36</v>
      </c>
      <c r="C5471" t="s">
        <v>38</v>
      </c>
      <c r="D5471">
        <v>82</v>
      </c>
    </row>
    <row r="5472" spans="1:4" ht="15.75" customHeight="1">
      <c r="A5472" t="s">
        <v>1628</v>
      </c>
      <c r="B5472" t="s">
        <v>36</v>
      </c>
      <c r="C5472" t="s">
        <v>38</v>
      </c>
      <c r="D5472">
        <v>82</v>
      </c>
    </row>
    <row r="5473" spans="1:4" ht="15.75" customHeight="1">
      <c r="A5473" t="s">
        <v>3114</v>
      </c>
      <c r="B5473" t="s">
        <v>36</v>
      </c>
      <c r="C5473" t="s">
        <v>38</v>
      </c>
      <c r="D5473">
        <v>82</v>
      </c>
    </row>
    <row r="5474" spans="1:4" ht="15.75" customHeight="1">
      <c r="A5474" t="s">
        <v>3580</v>
      </c>
      <c r="B5474" t="s">
        <v>36</v>
      </c>
      <c r="C5474" t="s">
        <v>38</v>
      </c>
      <c r="D5474">
        <v>82</v>
      </c>
    </row>
    <row r="5475" spans="1:4" ht="15.75" customHeight="1">
      <c r="A5475" t="s">
        <v>1158</v>
      </c>
      <c r="B5475" t="s">
        <v>36</v>
      </c>
      <c r="C5475" t="s">
        <v>38</v>
      </c>
      <c r="D5475">
        <v>81</v>
      </c>
    </row>
    <row r="5476" spans="1:4" ht="15.75" customHeight="1">
      <c r="A5476" t="s">
        <v>3937</v>
      </c>
      <c r="B5476" t="s">
        <v>36</v>
      </c>
      <c r="C5476" t="s">
        <v>38</v>
      </c>
      <c r="D5476">
        <v>80</v>
      </c>
    </row>
    <row r="5477" spans="1:4" ht="15.75" customHeight="1">
      <c r="A5477" t="s">
        <v>3940</v>
      </c>
      <c r="B5477" t="s">
        <v>36</v>
      </c>
      <c r="C5477" t="s">
        <v>38</v>
      </c>
      <c r="D5477">
        <v>80</v>
      </c>
    </row>
    <row r="5478" spans="1:4" ht="15.75" customHeight="1">
      <c r="A5478" t="s">
        <v>2524</v>
      </c>
      <c r="B5478" t="s">
        <v>36</v>
      </c>
      <c r="C5478" t="s">
        <v>38</v>
      </c>
      <c r="D5478">
        <v>79</v>
      </c>
    </row>
    <row r="5479" spans="1:4" ht="15.75" customHeight="1">
      <c r="A5479" t="s">
        <v>4343</v>
      </c>
      <c r="B5479" t="s">
        <v>36</v>
      </c>
      <c r="C5479" t="s">
        <v>38</v>
      </c>
      <c r="D5479">
        <v>79</v>
      </c>
    </row>
    <row r="5480" spans="1:4" ht="15.75" customHeight="1">
      <c r="A5480" t="s">
        <v>1630</v>
      </c>
      <c r="B5480" t="s">
        <v>36</v>
      </c>
      <c r="C5480" t="s">
        <v>38</v>
      </c>
      <c r="D5480">
        <v>78</v>
      </c>
    </row>
    <row r="5481" spans="1:4" ht="15.75" customHeight="1">
      <c r="A5481" t="s">
        <v>4695</v>
      </c>
      <c r="B5481" t="s">
        <v>36</v>
      </c>
      <c r="C5481" t="s">
        <v>38</v>
      </c>
      <c r="D5481">
        <v>78</v>
      </c>
    </row>
    <row r="5482" spans="1:4" ht="15.75" customHeight="1">
      <c r="A5482" t="s">
        <v>2030</v>
      </c>
      <c r="B5482" t="s">
        <v>36</v>
      </c>
      <c r="C5482" t="s">
        <v>38</v>
      </c>
      <c r="D5482">
        <v>78</v>
      </c>
    </row>
    <row r="5483" spans="1:4" ht="15.75" customHeight="1">
      <c r="A5483" t="s">
        <v>1975</v>
      </c>
      <c r="B5483" t="s">
        <v>36</v>
      </c>
      <c r="C5483" t="s">
        <v>38</v>
      </c>
      <c r="D5483">
        <v>78</v>
      </c>
    </row>
    <row r="5484" spans="1:4" ht="15.75" customHeight="1">
      <c r="A5484" t="s">
        <v>4681</v>
      </c>
      <c r="B5484" t="s">
        <v>36</v>
      </c>
      <c r="C5484" t="s">
        <v>38</v>
      </c>
      <c r="D5484">
        <v>78</v>
      </c>
    </row>
    <row r="5485" spans="1:4" ht="15.75" customHeight="1">
      <c r="A5485" t="s">
        <v>1189</v>
      </c>
      <c r="B5485" t="s">
        <v>36</v>
      </c>
      <c r="C5485" t="s">
        <v>38</v>
      </c>
      <c r="D5485">
        <v>77</v>
      </c>
    </row>
    <row r="5486" spans="1:4" ht="15.75" customHeight="1">
      <c r="A5486" t="s">
        <v>1679</v>
      </c>
      <c r="B5486" t="s">
        <v>36</v>
      </c>
      <c r="C5486" t="s">
        <v>38</v>
      </c>
      <c r="D5486">
        <v>77</v>
      </c>
    </row>
    <row r="5487" spans="1:4" ht="15.75" customHeight="1">
      <c r="A5487" t="s">
        <v>1646</v>
      </c>
      <c r="B5487" t="s">
        <v>36</v>
      </c>
      <c r="C5487" t="s">
        <v>38</v>
      </c>
      <c r="D5487">
        <v>76</v>
      </c>
    </row>
    <row r="5488" spans="1:4" ht="15.75" customHeight="1">
      <c r="A5488" t="s">
        <v>4703</v>
      </c>
      <c r="B5488" t="s">
        <v>36</v>
      </c>
      <c r="C5488" t="s">
        <v>38</v>
      </c>
      <c r="D5488">
        <v>76</v>
      </c>
    </row>
    <row r="5489" spans="1:4" ht="15.75" customHeight="1">
      <c r="A5489" t="s">
        <v>4300</v>
      </c>
      <c r="B5489" t="s">
        <v>36</v>
      </c>
      <c r="C5489" t="s">
        <v>38</v>
      </c>
      <c r="D5489">
        <v>76</v>
      </c>
    </row>
    <row r="5490" spans="1:4" ht="15.75" customHeight="1">
      <c r="A5490" t="s">
        <v>1985</v>
      </c>
      <c r="B5490" t="s">
        <v>36</v>
      </c>
      <c r="C5490" t="s">
        <v>38</v>
      </c>
      <c r="D5490">
        <v>76</v>
      </c>
    </row>
    <row r="5491" spans="1:4" ht="15.75" customHeight="1">
      <c r="A5491" t="s">
        <v>2069</v>
      </c>
      <c r="B5491" t="s">
        <v>36</v>
      </c>
      <c r="C5491" t="s">
        <v>38</v>
      </c>
      <c r="D5491">
        <v>76</v>
      </c>
    </row>
    <row r="5492" spans="1:4" ht="15.75" customHeight="1">
      <c r="A5492" t="s">
        <v>3073</v>
      </c>
      <c r="B5492" t="s">
        <v>36</v>
      </c>
      <c r="C5492" t="s">
        <v>38</v>
      </c>
      <c r="D5492">
        <v>76</v>
      </c>
    </row>
    <row r="5493" spans="1:4" ht="15.75" customHeight="1">
      <c r="A5493" t="s">
        <v>3997</v>
      </c>
      <c r="B5493" t="s">
        <v>36</v>
      </c>
      <c r="C5493" t="s">
        <v>38</v>
      </c>
      <c r="D5493">
        <v>76</v>
      </c>
    </row>
    <row r="5494" spans="1:4" ht="15.75" customHeight="1">
      <c r="A5494" t="s">
        <v>305</v>
      </c>
      <c r="B5494" t="s">
        <v>36</v>
      </c>
      <c r="C5494" t="s">
        <v>38</v>
      </c>
      <c r="D5494">
        <v>75</v>
      </c>
    </row>
    <row r="5495" spans="1:4" ht="15.75" customHeight="1">
      <c r="A5495" t="s">
        <v>4616</v>
      </c>
      <c r="B5495" t="s">
        <v>36</v>
      </c>
      <c r="C5495" t="s">
        <v>38</v>
      </c>
      <c r="D5495">
        <v>75</v>
      </c>
    </row>
    <row r="5496" spans="1:4" ht="15.75" customHeight="1">
      <c r="A5496" t="s">
        <v>3959</v>
      </c>
      <c r="B5496" t="s">
        <v>36</v>
      </c>
      <c r="C5496" t="s">
        <v>38</v>
      </c>
      <c r="D5496">
        <v>75</v>
      </c>
    </row>
    <row r="5497" spans="1:4" ht="15.75" customHeight="1">
      <c r="A5497" t="s">
        <v>3571</v>
      </c>
      <c r="B5497" t="s">
        <v>36</v>
      </c>
      <c r="C5497" t="s">
        <v>38</v>
      </c>
      <c r="D5497">
        <v>75</v>
      </c>
    </row>
    <row r="5498" spans="1:4" ht="15.75" customHeight="1">
      <c r="A5498" t="s">
        <v>2636</v>
      </c>
      <c r="B5498" t="s">
        <v>36</v>
      </c>
      <c r="C5498" t="s">
        <v>38</v>
      </c>
      <c r="D5498">
        <v>74</v>
      </c>
    </row>
    <row r="5499" spans="1:4" ht="15.75" customHeight="1">
      <c r="A5499" t="s">
        <v>2040</v>
      </c>
      <c r="B5499" t="s">
        <v>36</v>
      </c>
      <c r="C5499" t="s">
        <v>38</v>
      </c>
      <c r="D5499">
        <v>74</v>
      </c>
    </row>
    <row r="5500" spans="1:4" ht="15.75" customHeight="1">
      <c r="A5500" t="s">
        <v>4342</v>
      </c>
      <c r="B5500" t="s">
        <v>36</v>
      </c>
      <c r="C5500" t="s">
        <v>38</v>
      </c>
      <c r="D5500">
        <v>74</v>
      </c>
    </row>
    <row r="5501" spans="1:4" ht="15.75" customHeight="1">
      <c r="A5501" t="s">
        <v>4644</v>
      </c>
      <c r="B5501" t="s">
        <v>36</v>
      </c>
      <c r="C5501" t="s">
        <v>38</v>
      </c>
      <c r="D5501">
        <v>73</v>
      </c>
    </row>
    <row r="5502" spans="1:4" ht="15.75" customHeight="1">
      <c r="A5502" t="s">
        <v>375</v>
      </c>
      <c r="B5502" t="s">
        <v>36</v>
      </c>
      <c r="C5502" t="s">
        <v>38</v>
      </c>
      <c r="D5502">
        <v>73</v>
      </c>
    </row>
    <row r="5503" spans="1:4" ht="15.75" customHeight="1">
      <c r="A5503" t="s">
        <v>3063</v>
      </c>
      <c r="B5503" t="s">
        <v>36</v>
      </c>
      <c r="C5503" t="s">
        <v>38</v>
      </c>
      <c r="D5503">
        <v>73</v>
      </c>
    </row>
    <row r="5504" spans="1:4" ht="15.75" customHeight="1">
      <c r="A5504" t="s">
        <v>4312</v>
      </c>
      <c r="B5504" t="s">
        <v>36</v>
      </c>
      <c r="C5504" t="s">
        <v>38</v>
      </c>
      <c r="D5504">
        <v>72</v>
      </c>
    </row>
    <row r="5505" spans="1:4" ht="15.75" customHeight="1">
      <c r="A5505" t="s">
        <v>2574</v>
      </c>
      <c r="B5505" t="s">
        <v>36</v>
      </c>
      <c r="C5505" t="s">
        <v>38</v>
      </c>
      <c r="D5505">
        <v>72</v>
      </c>
    </row>
    <row r="5506" spans="1:4" ht="15.75" customHeight="1">
      <c r="A5506" t="s">
        <v>2634</v>
      </c>
      <c r="B5506" t="s">
        <v>36</v>
      </c>
      <c r="C5506" t="s">
        <v>38</v>
      </c>
      <c r="D5506">
        <v>72</v>
      </c>
    </row>
    <row r="5507" spans="1:4" ht="15.75" customHeight="1">
      <c r="A5507" t="s">
        <v>343</v>
      </c>
      <c r="B5507" t="s">
        <v>36</v>
      </c>
      <c r="C5507" t="s">
        <v>38</v>
      </c>
      <c r="D5507">
        <v>72</v>
      </c>
    </row>
    <row r="5508" spans="1:4" ht="15.75" customHeight="1">
      <c r="A5508" t="s">
        <v>3025</v>
      </c>
      <c r="B5508" t="s">
        <v>36</v>
      </c>
      <c r="C5508" t="s">
        <v>38</v>
      </c>
      <c r="D5508">
        <v>72</v>
      </c>
    </row>
    <row r="5509" spans="1:4" ht="15.75" customHeight="1">
      <c r="A5509" t="s">
        <v>2066</v>
      </c>
      <c r="B5509" t="s">
        <v>36</v>
      </c>
      <c r="C5509" t="s">
        <v>38</v>
      </c>
      <c r="D5509">
        <v>71</v>
      </c>
    </row>
    <row r="5510" spans="1:4" ht="15.75" customHeight="1">
      <c r="A5510" t="s">
        <v>2025</v>
      </c>
      <c r="B5510" t="s">
        <v>36</v>
      </c>
      <c r="C5510" t="s">
        <v>38</v>
      </c>
      <c r="D5510">
        <v>71</v>
      </c>
    </row>
    <row r="5511" spans="1:4" ht="15.75" customHeight="1">
      <c r="A5511" t="s">
        <v>1636</v>
      </c>
      <c r="B5511" t="s">
        <v>36</v>
      </c>
      <c r="C5511" t="s">
        <v>38</v>
      </c>
      <c r="D5511">
        <v>71</v>
      </c>
    </row>
    <row r="5512" spans="1:4" ht="15.75" customHeight="1">
      <c r="A5512" t="s">
        <v>4611</v>
      </c>
      <c r="B5512" t="s">
        <v>36</v>
      </c>
      <c r="C5512" t="s">
        <v>38</v>
      </c>
      <c r="D5512">
        <v>71</v>
      </c>
    </row>
    <row r="5513" spans="1:4" ht="15.75" customHeight="1">
      <c r="A5513" t="s">
        <v>322</v>
      </c>
      <c r="B5513" t="s">
        <v>36</v>
      </c>
      <c r="C5513" t="s">
        <v>38</v>
      </c>
      <c r="D5513">
        <v>71</v>
      </c>
    </row>
    <row r="5514" spans="1:4" ht="15.75" customHeight="1">
      <c r="A5514" t="s">
        <v>2065</v>
      </c>
      <c r="B5514" t="s">
        <v>36</v>
      </c>
      <c r="C5514" t="s">
        <v>38</v>
      </c>
      <c r="D5514">
        <v>71</v>
      </c>
    </row>
    <row r="5515" spans="1:4" ht="15.75" customHeight="1">
      <c r="A5515" t="s">
        <v>1113</v>
      </c>
      <c r="B5515" t="s">
        <v>36</v>
      </c>
      <c r="C5515" t="s">
        <v>38</v>
      </c>
      <c r="D5515">
        <v>70</v>
      </c>
    </row>
    <row r="5516" spans="1:4" ht="15.75" customHeight="1">
      <c r="A5516" t="s">
        <v>3563</v>
      </c>
      <c r="B5516" t="s">
        <v>36</v>
      </c>
      <c r="C5516" t="s">
        <v>38</v>
      </c>
      <c r="D5516">
        <v>70</v>
      </c>
    </row>
    <row r="5517" spans="1:4" ht="15.75" customHeight="1">
      <c r="A5517" t="s">
        <v>4656</v>
      </c>
      <c r="B5517" t="s">
        <v>36</v>
      </c>
      <c r="C5517" t="s">
        <v>38</v>
      </c>
      <c r="D5517">
        <v>70</v>
      </c>
    </row>
    <row r="5518" spans="1:4" ht="15.75" customHeight="1">
      <c r="A5518" t="s">
        <v>4577</v>
      </c>
      <c r="B5518" t="s">
        <v>36</v>
      </c>
      <c r="C5518" t="s">
        <v>38</v>
      </c>
      <c r="D5518">
        <v>70</v>
      </c>
    </row>
    <row r="5519" spans="1:4" ht="15.75" customHeight="1">
      <c r="A5519" t="s">
        <v>360</v>
      </c>
      <c r="B5519" t="s">
        <v>36</v>
      </c>
      <c r="C5519" t="s">
        <v>38</v>
      </c>
      <c r="D5519">
        <v>69</v>
      </c>
    </row>
    <row r="5520" spans="1:4" ht="15.75" customHeight="1">
      <c r="A5520" t="s">
        <v>4648</v>
      </c>
      <c r="B5520" t="s">
        <v>36</v>
      </c>
      <c r="C5520" t="s">
        <v>38</v>
      </c>
      <c r="D5520">
        <v>69</v>
      </c>
    </row>
    <row r="5521" spans="1:4" ht="15.75" customHeight="1">
      <c r="A5521" t="s">
        <v>2013</v>
      </c>
      <c r="B5521" t="s">
        <v>36</v>
      </c>
      <c r="C5521" t="s">
        <v>38</v>
      </c>
      <c r="D5521">
        <v>68</v>
      </c>
    </row>
    <row r="5522" spans="1:4" ht="15.75" customHeight="1">
      <c r="A5522" t="s">
        <v>4673</v>
      </c>
      <c r="B5522" t="s">
        <v>36</v>
      </c>
      <c r="C5522" t="s">
        <v>38</v>
      </c>
      <c r="D5522">
        <v>68</v>
      </c>
    </row>
    <row r="5523" spans="1:4" ht="15.75" customHeight="1">
      <c r="A5523" t="s">
        <v>2041</v>
      </c>
      <c r="B5523" t="s">
        <v>36</v>
      </c>
      <c r="C5523" t="s">
        <v>38</v>
      </c>
      <c r="D5523">
        <v>68</v>
      </c>
    </row>
    <row r="5524" spans="1:4" ht="15.75" customHeight="1">
      <c r="A5524" t="s">
        <v>1677</v>
      </c>
      <c r="B5524" t="s">
        <v>36</v>
      </c>
      <c r="C5524" t="s">
        <v>38</v>
      </c>
      <c r="D5524">
        <v>68</v>
      </c>
    </row>
    <row r="5525" spans="1:4" ht="15.75" customHeight="1">
      <c r="A5525" t="s">
        <v>3497</v>
      </c>
      <c r="B5525" t="s">
        <v>36</v>
      </c>
      <c r="C5525" t="s">
        <v>38</v>
      </c>
      <c r="D5525">
        <v>68</v>
      </c>
    </row>
    <row r="5526" spans="1:4" ht="15.75" customHeight="1">
      <c r="A5526" t="s">
        <v>3971</v>
      </c>
      <c r="B5526" t="s">
        <v>36</v>
      </c>
      <c r="C5526" t="s">
        <v>38</v>
      </c>
      <c r="D5526">
        <v>67</v>
      </c>
    </row>
    <row r="5527" spans="1:4" ht="15.75" customHeight="1">
      <c r="A5527" t="s">
        <v>1177</v>
      </c>
      <c r="B5527" t="s">
        <v>36</v>
      </c>
      <c r="C5527" t="s">
        <v>38</v>
      </c>
      <c r="D5527">
        <v>67</v>
      </c>
    </row>
    <row r="5528" spans="1:4" ht="15.75" customHeight="1">
      <c r="A5528" t="s">
        <v>355</v>
      </c>
      <c r="B5528" t="s">
        <v>36</v>
      </c>
      <c r="C5528" t="s">
        <v>38</v>
      </c>
      <c r="D5528">
        <v>66</v>
      </c>
    </row>
    <row r="5529" spans="1:4" ht="15.75" customHeight="1">
      <c r="A5529" t="s">
        <v>3543</v>
      </c>
      <c r="B5529" t="s">
        <v>36</v>
      </c>
      <c r="C5529" t="s">
        <v>38</v>
      </c>
      <c r="D5529">
        <v>66</v>
      </c>
    </row>
    <row r="5530" spans="1:4" ht="15.75" customHeight="1">
      <c r="A5530" t="s">
        <v>422</v>
      </c>
      <c r="B5530" t="s">
        <v>36</v>
      </c>
      <c r="C5530" t="s">
        <v>38</v>
      </c>
      <c r="D5530">
        <v>66</v>
      </c>
    </row>
    <row r="5531" spans="1:4" ht="15.75" customHeight="1">
      <c r="A5531" t="s">
        <v>2632</v>
      </c>
      <c r="B5531" t="s">
        <v>36</v>
      </c>
      <c r="C5531" t="s">
        <v>38</v>
      </c>
      <c r="D5531">
        <v>66</v>
      </c>
    </row>
    <row r="5532" spans="1:4" ht="15.75" customHeight="1">
      <c r="A5532" t="s">
        <v>4340</v>
      </c>
      <c r="B5532" t="s">
        <v>36</v>
      </c>
      <c r="C5532" t="s">
        <v>38</v>
      </c>
      <c r="D5532">
        <v>65</v>
      </c>
    </row>
    <row r="5533" spans="1:4" ht="15.75" customHeight="1">
      <c r="A5533" t="s">
        <v>1632</v>
      </c>
      <c r="B5533" t="s">
        <v>36</v>
      </c>
      <c r="C5533" t="s">
        <v>38</v>
      </c>
      <c r="D5533">
        <v>64</v>
      </c>
    </row>
    <row r="5534" spans="1:4" ht="15.75" customHeight="1">
      <c r="A5534" t="s">
        <v>4319</v>
      </c>
      <c r="B5534" t="s">
        <v>36</v>
      </c>
      <c r="C5534" t="s">
        <v>38</v>
      </c>
      <c r="D5534">
        <v>64</v>
      </c>
    </row>
    <row r="5535" spans="1:4" ht="15.75" customHeight="1">
      <c r="A5535" t="s">
        <v>1657</v>
      </c>
      <c r="B5535" t="s">
        <v>36</v>
      </c>
      <c r="C5535" t="s">
        <v>38</v>
      </c>
      <c r="D5535">
        <v>64</v>
      </c>
    </row>
    <row r="5536" spans="1:4" ht="15.75" customHeight="1">
      <c r="A5536" t="s">
        <v>2530</v>
      </c>
      <c r="B5536" t="s">
        <v>36</v>
      </c>
      <c r="C5536" t="s">
        <v>38</v>
      </c>
      <c r="D5536">
        <v>64</v>
      </c>
    </row>
    <row r="5537" spans="1:4" ht="15.75" customHeight="1">
      <c r="A5537" t="s">
        <v>341</v>
      </c>
      <c r="B5537" t="s">
        <v>36</v>
      </c>
      <c r="C5537" t="s">
        <v>38</v>
      </c>
      <c r="D5537">
        <v>63</v>
      </c>
    </row>
    <row r="5538" spans="1:4" ht="15.75" customHeight="1">
      <c r="A5538" t="s">
        <v>3916</v>
      </c>
      <c r="B5538" t="s">
        <v>36</v>
      </c>
      <c r="C5538" t="s">
        <v>38</v>
      </c>
      <c r="D5538">
        <v>63</v>
      </c>
    </row>
    <row r="5539" spans="1:4" ht="15.75" customHeight="1">
      <c r="A5539" t="s">
        <v>1152</v>
      </c>
      <c r="B5539" t="s">
        <v>36</v>
      </c>
      <c r="C5539" t="s">
        <v>38</v>
      </c>
      <c r="D5539">
        <v>62</v>
      </c>
    </row>
    <row r="5540" spans="1:4" ht="15.75" customHeight="1">
      <c r="A5540" t="s">
        <v>4637</v>
      </c>
      <c r="B5540" t="s">
        <v>36</v>
      </c>
      <c r="C5540" t="s">
        <v>38</v>
      </c>
      <c r="D5540">
        <v>61</v>
      </c>
    </row>
    <row r="5541" spans="1:4" ht="15.75" customHeight="1">
      <c r="A5541" t="s">
        <v>3065</v>
      </c>
      <c r="B5541" t="s">
        <v>36</v>
      </c>
      <c r="C5541" t="s">
        <v>38</v>
      </c>
      <c r="D5541">
        <v>61</v>
      </c>
    </row>
    <row r="5542" spans="1:4" ht="15.75" customHeight="1">
      <c r="A5542" t="s">
        <v>3987</v>
      </c>
      <c r="B5542" t="s">
        <v>36</v>
      </c>
      <c r="C5542" t="s">
        <v>38</v>
      </c>
      <c r="D5542">
        <v>61</v>
      </c>
    </row>
    <row r="5543" spans="1:4" ht="15.75" customHeight="1">
      <c r="A5543" t="s">
        <v>3545</v>
      </c>
      <c r="B5543" t="s">
        <v>36</v>
      </c>
      <c r="C5543" t="s">
        <v>38</v>
      </c>
      <c r="D5543">
        <v>60</v>
      </c>
    </row>
    <row r="5544" spans="1:4" ht="15.75" customHeight="1">
      <c r="A5544" t="s">
        <v>2028</v>
      </c>
      <c r="B5544" t="s">
        <v>36</v>
      </c>
      <c r="C5544" t="s">
        <v>38</v>
      </c>
      <c r="D5544">
        <v>60</v>
      </c>
    </row>
    <row r="5545" spans="1:4" ht="15.75" customHeight="1">
      <c r="A5545" t="s">
        <v>3532</v>
      </c>
      <c r="B5545" t="s">
        <v>36</v>
      </c>
      <c r="C5545" t="s">
        <v>38</v>
      </c>
      <c r="D5545">
        <v>60</v>
      </c>
    </row>
    <row r="5546" spans="1:4" ht="15.75" customHeight="1">
      <c r="A5546" t="s">
        <v>2064</v>
      </c>
      <c r="B5546" t="s">
        <v>36</v>
      </c>
      <c r="C5546" t="s">
        <v>38</v>
      </c>
      <c r="D5546">
        <v>60</v>
      </c>
    </row>
    <row r="5547" spans="1:4" ht="15.75" customHeight="1">
      <c r="A5547" t="s">
        <v>3118</v>
      </c>
      <c r="B5547" t="s">
        <v>36</v>
      </c>
      <c r="C5547" t="s">
        <v>38</v>
      </c>
      <c r="D5547">
        <v>60</v>
      </c>
    </row>
    <row r="5548" spans="1:4" ht="15.75" customHeight="1">
      <c r="A5548" t="s">
        <v>2609</v>
      </c>
      <c r="B5548" t="s">
        <v>36</v>
      </c>
      <c r="C5548" t="s">
        <v>38</v>
      </c>
      <c r="D5548">
        <v>59</v>
      </c>
    </row>
    <row r="5549" spans="1:4" ht="15.75" customHeight="1">
      <c r="A5549" t="s">
        <v>1643</v>
      </c>
      <c r="B5549" t="s">
        <v>36</v>
      </c>
      <c r="C5549" t="s">
        <v>38</v>
      </c>
      <c r="D5549">
        <v>59</v>
      </c>
    </row>
    <row r="5550" spans="1:4" ht="15.75" customHeight="1">
      <c r="A5550" t="s">
        <v>3529</v>
      </c>
      <c r="B5550" t="s">
        <v>36</v>
      </c>
      <c r="C5550" t="s">
        <v>38</v>
      </c>
      <c r="D5550">
        <v>59</v>
      </c>
    </row>
    <row r="5551" spans="1:4" ht="15.75" customHeight="1">
      <c r="A5551" t="s">
        <v>2026</v>
      </c>
      <c r="B5551" t="s">
        <v>36</v>
      </c>
      <c r="C5551" t="s">
        <v>38</v>
      </c>
      <c r="D5551">
        <v>59</v>
      </c>
    </row>
    <row r="5552" spans="1:4" ht="15.75" customHeight="1">
      <c r="A5552" t="s">
        <v>1669</v>
      </c>
      <c r="B5552" t="s">
        <v>36</v>
      </c>
      <c r="C5552" t="s">
        <v>38</v>
      </c>
      <c r="D5552">
        <v>59</v>
      </c>
    </row>
    <row r="5553" spans="1:4" ht="15.75" customHeight="1">
      <c r="A5553" t="s">
        <v>4314</v>
      </c>
      <c r="B5553" t="s">
        <v>36</v>
      </c>
      <c r="C5553" t="s">
        <v>38</v>
      </c>
      <c r="D5553">
        <v>58</v>
      </c>
    </row>
    <row r="5554" spans="1:4" ht="15.75" customHeight="1">
      <c r="A5554" t="s">
        <v>4659</v>
      </c>
      <c r="B5554" t="s">
        <v>36</v>
      </c>
      <c r="C5554" t="s">
        <v>38</v>
      </c>
      <c r="D5554">
        <v>58</v>
      </c>
    </row>
    <row r="5555" spans="1:4" ht="15.75" customHeight="1">
      <c r="A5555" t="s">
        <v>3485</v>
      </c>
      <c r="B5555" t="s">
        <v>36</v>
      </c>
      <c r="C5555" t="s">
        <v>38</v>
      </c>
      <c r="D5555">
        <v>57</v>
      </c>
    </row>
    <row r="5556" spans="1:4" ht="15.75" customHeight="1">
      <c r="A5556" t="s">
        <v>3078</v>
      </c>
      <c r="B5556" t="s">
        <v>36</v>
      </c>
      <c r="C5556" t="s">
        <v>38</v>
      </c>
      <c r="D5556">
        <v>57</v>
      </c>
    </row>
    <row r="5557" spans="1:4" ht="15.75" customHeight="1">
      <c r="A5557" t="s">
        <v>4704</v>
      </c>
      <c r="B5557" t="s">
        <v>36</v>
      </c>
      <c r="C5557" t="s">
        <v>38</v>
      </c>
      <c r="D5557">
        <v>56</v>
      </c>
    </row>
    <row r="5558" spans="1:4" ht="15.75" customHeight="1">
      <c r="A5558" t="s">
        <v>4579</v>
      </c>
      <c r="B5558" t="s">
        <v>36</v>
      </c>
      <c r="C5558" t="s">
        <v>38</v>
      </c>
      <c r="D5558">
        <v>56</v>
      </c>
    </row>
    <row r="5559" spans="1:4" ht="15.75" customHeight="1">
      <c r="A5559" t="s">
        <v>2539</v>
      </c>
      <c r="B5559" t="s">
        <v>36</v>
      </c>
      <c r="C5559" t="s">
        <v>38</v>
      </c>
      <c r="D5559">
        <v>55</v>
      </c>
    </row>
    <row r="5560" spans="1:4" ht="15.75" customHeight="1">
      <c r="A5560" t="s">
        <v>389</v>
      </c>
      <c r="B5560" t="s">
        <v>36</v>
      </c>
      <c r="C5560" t="s">
        <v>38</v>
      </c>
      <c r="D5560">
        <v>55</v>
      </c>
    </row>
    <row r="5561" spans="1:4" ht="15.75" customHeight="1">
      <c r="A5561" t="s">
        <v>3029</v>
      </c>
      <c r="B5561" t="s">
        <v>36</v>
      </c>
      <c r="C5561" t="s">
        <v>38</v>
      </c>
      <c r="D5561">
        <v>55</v>
      </c>
    </row>
    <row r="5562" spans="1:4" ht="15.75" customHeight="1">
      <c r="A5562" t="s">
        <v>4627</v>
      </c>
      <c r="B5562" t="s">
        <v>36</v>
      </c>
      <c r="C5562" t="s">
        <v>38</v>
      </c>
      <c r="D5562">
        <v>54</v>
      </c>
    </row>
    <row r="5563" spans="1:4" ht="15.75" customHeight="1">
      <c r="A5563" t="s">
        <v>4589</v>
      </c>
      <c r="B5563" t="s">
        <v>36</v>
      </c>
      <c r="C5563" t="s">
        <v>38</v>
      </c>
      <c r="D5563">
        <v>54</v>
      </c>
    </row>
    <row r="5564" spans="1:4" ht="15.75" customHeight="1">
      <c r="A5564" t="s">
        <v>4583</v>
      </c>
      <c r="B5564" t="s">
        <v>36</v>
      </c>
      <c r="C5564" t="s">
        <v>38</v>
      </c>
      <c r="D5564">
        <v>54</v>
      </c>
    </row>
    <row r="5565" spans="1:4" ht="15.75" customHeight="1">
      <c r="A5565" t="s">
        <v>2071</v>
      </c>
      <c r="B5565" t="s">
        <v>36</v>
      </c>
      <c r="C5565" t="s">
        <v>38</v>
      </c>
      <c r="D5565">
        <v>54</v>
      </c>
    </row>
    <row r="5566" spans="1:4" ht="15.75" customHeight="1">
      <c r="A5566" t="s">
        <v>2060</v>
      </c>
      <c r="B5566" t="s">
        <v>36</v>
      </c>
      <c r="C5566" t="s">
        <v>38</v>
      </c>
      <c r="D5566">
        <v>53</v>
      </c>
    </row>
    <row r="5567" spans="1:4" ht="15.75" customHeight="1">
      <c r="A5567" t="s">
        <v>337</v>
      </c>
      <c r="B5567" t="s">
        <v>36</v>
      </c>
      <c r="C5567" t="s">
        <v>38</v>
      </c>
      <c r="D5567">
        <v>53</v>
      </c>
    </row>
    <row r="5568" spans="1:4" ht="15.75" customHeight="1">
      <c r="A5568" t="s">
        <v>2599</v>
      </c>
      <c r="B5568" t="s">
        <v>36</v>
      </c>
      <c r="C5568" t="s">
        <v>38</v>
      </c>
      <c r="D5568">
        <v>52</v>
      </c>
    </row>
    <row r="5569" spans="1:4" ht="15.75" customHeight="1">
      <c r="A5569" t="s">
        <v>3526</v>
      </c>
      <c r="B5569" t="s">
        <v>36</v>
      </c>
      <c r="C5569" t="s">
        <v>38</v>
      </c>
      <c r="D5569">
        <v>52</v>
      </c>
    </row>
    <row r="5570" spans="1:4" ht="15.75" customHeight="1">
      <c r="A5570" t="s">
        <v>4677</v>
      </c>
      <c r="B5570" t="s">
        <v>36</v>
      </c>
      <c r="C5570" t="s">
        <v>38</v>
      </c>
      <c r="D5570">
        <v>51</v>
      </c>
    </row>
    <row r="5571" spans="1:4" ht="15.75" customHeight="1">
      <c r="A5571" t="s">
        <v>4675</v>
      </c>
      <c r="B5571" t="s">
        <v>36</v>
      </c>
      <c r="C5571" t="s">
        <v>38</v>
      </c>
      <c r="D5571">
        <v>51</v>
      </c>
    </row>
    <row r="5572" spans="1:4" ht="15.75" customHeight="1">
      <c r="A5572" t="s">
        <v>1640</v>
      </c>
      <c r="B5572" t="s">
        <v>36</v>
      </c>
      <c r="C5572" t="s">
        <v>38</v>
      </c>
      <c r="D5572">
        <v>51</v>
      </c>
    </row>
    <row r="5573" spans="1:4" ht="15.75" customHeight="1">
      <c r="A5573" t="s">
        <v>2012</v>
      </c>
      <c r="B5573" t="s">
        <v>36</v>
      </c>
      <c r="C5573" t="s">
        <v>38</v>
      </c>
      <c r="D5573">
        <v>51</v>
      </c>
    </row>
    <row r="5574" spans="1:4" ht="15.75" customHeight="1">
      <c r="A5574" t="s">
        <v>2558</v>
      </c>
      <c r="B5574" t="s">
        <v>36</v>
      </c>
      <c r="C5574" t="s">
        <v>38</v>
      </c>
      <c r="D5574">
        <v>51</v>
      </c>
    </row>
    <row r="5575" spans="1:4" ht="15.75" customHeight="1">
      <c r="A5575" t="s">
        <v>4625</v>
      </c>
      <c r="B5575" t="s">
        <v>36</v>
      </c>
      <c r="C5575" t="s">
        <v>38</v>
      </c>
      <c r="D5575">
        <v>50</v>
      </c>
    </row>
    <row r="5576" spans="1:4" ht="15.75" customHeight="1">
      <c r="A5576" t="s">
        <v>3041</v>
      </c>
      <c r="B5576" t="s">
        <v>36</v>
      </c>
      <c r="C5576" t="s">
        <v>38</v>
      </c>
      <c r="D5576">
        <v>49</v>
      </c>
    </row>
    <row r="5577" spans="1:4" ht="15.75" customHeight="1">
      <c r="A5577" t="s">
        <v>4320</v>
      </c>
      <c r="B5577" t="s">
        <v>36</v>
      </c>
      <c r="C5577" t="s">
        <v>38</v>
      </c>
      <c r="D5577">
        <v>49</v>
      </c>
    </row>
    <row r="5578" spans="1:4" ht="15.75" customHeight="1">
      <c r="A5578" t="s">
        <v>2583</v>
      </c>
      <c r="B5578" t="s">
        <v>36</v>
      </c>
      <c r="C5578" t="s">
        <v>38</v>
      </c>
      <c r="D5578">
        <v>49</v>
      </c>
    </row>
    <row r="5579" spans="1:4" ht="15.75" customHeight="1">
      <c r="A5579" t="s">
        <v>4325</v>
      </c>
      <c r="B5579" t="s">
        <v>36</v>
      </c>
      <c r="C5579" t="s">
        <v>38</v>
      </c>
      <c r="D5579">
        <v>49</v>
      </c>
    </row>
    <row r="5580" spans="1:4" ht="15.75" customHeight="1">
      <c r="A5580" t="s">
        <v>1658</v>
      </c>
      <c r="B5580" t="s">
        <v>36</v>
      </c>
      <c r="C5580" t="s">
        <v>38</v>
      </c>
      <c r="D5580">
        <v>49</v>
      </c>
    </row>
    <row r="5581" spans="1:4" ht="15.75" customHeight="1">
      <c r="A5581" t="s">
        <v>385</v>
      </c>
      <c r="B5581" t="s">
        <v>36</v>
      </c>
      <c r="C5581" t="s">
        <v>38</v>
      </c>
      <c r="D5581">
        <v>49</v>
      </c>
    </row>
    <row r="5582" spans="1:4" ht="15.75" customHeight="1">
      <c r="A5582" t="s">
        <v>2063</v>
      </c>
      <c r="B5582" t="s">
        <v>36</v>
      </c>
      <c r="C5582" t="s">
        <v>38</v>
      </c>
      <c r="D5582">
        <v>49</v>
      </c>
    </row>
    <row r="5583" spans="1:4" ht="15.75" customHeight="1">
      <c r="A5583" t="s">
        <v>4595</v>
      </c>
      <c r="B5583" t="s">
        <v>36</v>
      </c>
      <c r="C5583" t="s">
        <v>38</v>
      </c>
      <c r="D5583">
        <v>49</v>
      </c>
    </row>
    <row r="5584" spans="1:4" ht="15.75" customHeight="1">
      <c r="A5584" t="s">
        <v>3488</v>
      </c>
      <c r="B5584" t="s">
        <v>36</v>
      </c>
      <c r="C5584" t="s">
        <v>38</v>
      </c>
      <c r="D5584">
        <v>49</v>
      </c>
    </row>
    <row r="5585" spans="1:4" ht="15.75" customHeight="1">
      <c r="A5585" t="s">
        <v>339</v>
      </c>
      <c r="B5585" t="s">
        <v>36</v>
      </c>
      <c r="C5585" t="s">
        <v>38</v>
      </c>
      <c r="D5585">
        <v>49</v>
      </c>
    </row>
    <row r="5586" spans="1:4" ht="15.75" customHeight="1">
      <c r="A5586" t="s">
        <v>2082</v>
      </c>
      <c r="B5586" t="s">
        <v>36</v>
      </c>
      <c r="C5586" t="s">
        <v>38</v>
      </c>
      <c r="D5586">
        <v>49</v>
      </c>
    </row>
    <row r="5587" spans="1:4" ht="15.75" customHeight="1">
      <c r="A5587" t="s">
        <v>2075</v>
      </c>
      <c r="B5587" t="s">
        <v>36</v>
      </c>
      <c r="C5587" t="s">
        <v>38</v>
      </c>
      <c r="D5587">
        <v>48</v>
      </c>
    </row>
    <row r="5588" spans="1:4" ht="15.75" customHeight="1">
      <c r="A5588" t="s">
        <v>4702</v>
      </c>
      <c r="B5588" t="s">
        <v>36</v>
      </c>
      <c r="C5588" t="s">
        <v>38</v>
      </c>
      <c r="D5588">
        <v>48</v>
      </c>
    </row>
    <row r="5589" spans="1:4" ht="15.75" customHeight="1">
      <c r="A5589" t="s">
        <v>3037</v>
      </c>
      <c r="B5589" t="s">
        <v>36</v>
      </c>
      <c r="C5589" t="s">
        <v>38</v>
      </c>
      <c r="D5589">
        <v>48</v>
      </c>
    </row>
    <row r="5590" spans="1:4" ht="15.75" customHeight="1">
      <c r="A5590" t="s">
        <v>1171</v>
      </c>
      <c r="B5590" t="s">
        <v>36</v>
      </c>
      <c r="C5590" t="s">
        <v>38</v>
      </c>
      <c r="D5590">
        <v>47</v>
      </c>
    </row>
    <row r="5591" spans="1:4" ht="15.75" customHeight="1">
      <c r="A5591" t="s">
        <v>4327</v>
      </c>
      <c r="B5591" t="s">
        <v>36</v>
      </c>
      <c r="C5591" t="s">
        <v>38</v>
      </c>
      <c r="D5591">
        <v>47</v>
      </c>
    </row>
    <row r="5592" spans="1:4" ht="15.75" customHeight="1">
      <c r="A5592" t="s">
        <v>2020</v>
      </c>
      <c r="B5592" t="s">
        <v>36</v>
      </c>
      <c r="C5592" t="s">
        <v>38</v>
      </c>
      <c r="D5592">
        <v>47</v>
      </c>
    </row>
    <row r="5593" spans="1:4" ht="15.75" customHeight="1">
      <c r="A5593" t="s">
        <v>4614</v>
      </c>
      <c r="B5593" t="s">
        <v>36</v>
      </c>
      <c r="C5593" t="s">
        <v>38</v>
      </c>
      <c r="D5593">
        <v>47</v>
      </c>
    </row>
    <row r="5594" spans="1:4" ht="15.75" customHeight="1">
      <c r="A5594" t="s">
        <v>1683</v>
      </c>
      <c r="B5594" t="s">
        <v>36</v>
      </c>
      <c r="C5594" t="s">
        <v>38</v>
      </c>
      <c r="D5594">
        <v>47</v>
      </c>
    </row>
    <row r="5595" spans="1:4" ht="15.75" customHeight="1">
      <c r="A5595" t="s">
        <v>2073</v>
      </c>
      <c r="B5595" t="s">
        <v>36</v>
      </c>
      <c r="C5595" t="s">
        <v>38</v>
      </c>
      <c r="D5595">
        <v>46</v>
      </c>
    </row>
    <row r="5596" spans="1:4" ht="15.75" customHeight="1">
      <c r="A5596" t="s">
        <v>4298</v>
      </c>
      <c r="B5596" t="s">
        <v>36</v>
      </c>
      <c r="C5596" t="s">
        <v>38</v>
      </c>
      <c r="D5596">
        <v>46</v>
      </c>
    </row>
    <row r="5597" spans="1:4" ht="15.75" customHeight="1">
      <c r="A5597" t="s">
        <v>2597</v>
      </c>
      <c r="B5597" t="s">
        <v>36</v>
      </c>
      <c r="C5597" t="s">
        <v>38</v>
      </c>
      <c r="D5597">
        <v>46</v>
      </c>
    </row>
    <row r="5598" spans="1:4" ht="15.75" customHeight="1">
      <c r="A5598" t="s">
        <v>2537</v>
      </c>
      <c r="B5598" t="s">
        <v>36</v>
      </c>
      <c r="C5598" t="s">
        <v>38</v>
      </c>
      <c r="D5598">
        <v>46</v>
      </c>
    </row>
    <row r="5599" spans="1:4" ht="15.75" customHeight="1">
      <c r="A5599" t="s">
        <v>2541</v>
      </c>
      <c r="B5599" t="s">
        <v>36</v>
      </c>
      <c r="C5599" t="s">
        <v>38</v>
      </c>
      <c r="D5599">
        <v>46</v>
      </c>
    </row>
    <row r="5600" spans="1:4" ht="15.75" customHeight="1">
      <c r="A5600" t="s">
        <v>4654</v>
      </c>
      <c r="B5600" t="s">
        <v>36</v>
      </c>
      <c r="C5600" t="s">
        <v>38</v>
      </c>
      <c r="D5600">
        <v>46</v>
      </c>
    </row>
    <row r="5601" spans="1:4" ht="15.75" customHeight="1">
      <c r="A5601" t="s">
        <v>3084</v>
      </c>
      <c r="B5601" t="s">
        <v>36</v>
      </c>
      <c r="C5601" t="s">
        <v>38</v>
      </c>
      <c r="D5601">
        <v>45</v>
      </c>
    </row>
    <row r="5602" spans="1:4" ht="15.75" customHeight="1">
      <c r="A5602" t="s">
        <v>2544</v>
      </c>
      <c r="B5602" t="s">
        <v>36</v>
      </c>
      <c r="C5602" t="s">
        <v>38</v>
      </c>
      <c r="D5602">
        <v>45</v>
      </c>
    </row>
    <row r="5603" spans="1:4" ht="15.75" customHeight="1">
      <c r="A5603" t="s">
        <v>4693</v>
      </c>
      <c r="B5603" t="s">
        <v>36</v>
      </c>
      <c r="C5603" t="s">
        <v>38</v>
      </c>
      <c r="D5603">
        <v>45</v>
      </c>
    </row>
    <row r="5604" spans="1:4" ht="15.75" customHeight="1">
      <c r="A5604" t="s">
        <v>1127</v>
      </c>
      <c r="B5604" t="s">
        <v>36</v>
      </c>
      <c r="C5604" t="s">
        <v>38</v>
      </c>
      <c r="D5604">
        <v>45</v>
      </c>
    </row>
    <row r="5605" spans="1:4" ht="15.75" customHeight="1">
      <c r="A5605" t="s">
        <v>4649</v>
      </c>
      <c r="B5605" t="s">
        <v>36</v>
      </c>
      <c r="C5605" t="s">
        <v>38</v>
      </c>
      <c r="D5605">
        <v>44</v>
      </c>
    </row>
    <row r="5606" spans="1:4" ht="15.75" customHeight="1">
      <c r="A5606" t="s">
        <v>2059</v>
      </c>
      <c r="B5606" t="s">
        <v>36</v>
      </c>
      <c r="C5606" t="s">
        <v>38</v>
      </c>
      <c r="D5606">
        <v>44</v>
      </c>
    </row>
    <row r="5607" spans="1:4" ht="15.75" customHeight="1">
      <c r="A5607" t="s">
        <v>2022</v>
      </c>
      <c r="B5607" t="s">
        <v>36</v>
      </c>
      <c r="C5607" t="s">
        <v>38</v>
      </c>
      <c r="D5607">
        <v>44</v>
      </c>
    </row>
    <row r="5608" spans="1:4" ht="15.75" customHeight="1">
      <c r="A5608" t="s">
        <v>1674</v>
      </c>
      <c r="B5608" t="s">
        <v>36</v>
      </c>
      <c r="C5608" t="s">
        <v>38</v>
      </c>
      <c r="D5608">
        <v>44</v>
      </c>
    </row>
    <row r="5609" spans="1:4" ht="15.75" customHeight="1">
      <c r="A5609" t="s">
        <v>4597</v>
      </c>
      <c r="B5609" t="s">
        <v>36</v>
      </c>
      <c r="C5609" t="s">
        <v>38</v>
      </c>
      <c r="D5609">
        <v>44</v>
      </c>
    </row>
    <row r="5610" spans="1:4" ht="15.75" customHeight="1">
      <c r="A5610" t="s">
        <v>4581</v>
      </c>
      <c r="B5610" t="s">
        <v>36</v>
      </c>
      <c r="C5610" t="s">
        <v>38</v>
      </c>
      <c r="D5610">
        <v>44</v>
      </c>
    </row>
    <row r="5611" spans="1:4" ht="15.75" customHeight="1">
      <c r="A5611" t="s">
        <v>4708</v>
      </c>
      <c r="B5611" t="s">
        <v>36</v>
      </c>
      <c r="C5611" t="s">
        <v>38</v>
      </c>
      <c r="D5611">
        <v>44</v>
      </c>
    </row>
    <row r="5612" spans="1:4" ht="15.75" customHeight="1">
      <c r="A5612" t="s">
        <v>2550</v>
      </c>
      <c r="B5612" t="s">
        <v>36</v>
      </c>
      <c r="C5612" t="s">
        <v>38</v>
      </c>
      <c r="D5612">
        <v>44</v>
      </c>
    </row>
    <row r="5613" spans="1:4" ht="15.75" customHeight="1">
      <c r="A5613" t="s">
        <v>4657</v>
      </c>
      <c r="B5613" t="s">
        <v>36</v>
      </c>
      <c r="C5613" t="s">
        <v>38</v>
      </c>
      <c r="D5613">
        <v>43</v>
      </c>
    </row>
    <row r="5614" spans="1:4" ht="15.75" customHeight="1">
      <c r="A5614" t="s">
        <v>2036</v>
      </c>
      <c r="B5614" t="s">
        <v>36</v>
      </c>
      <c r="C5614" t="s">
        <v>38</v>
      </c>
      <c r="D5614">
        <v>43</v>
      </c>
    </row>
    <row r="5615" spans="1:4" ht="15.75" customHeight="1">
      <c r="A5615" t="s">
        <v>3979</v>
      </c>
      <c r="B5615" t="s">
        <v>36</v>
      </c>
      <c r="C5615" t="s">
        <v>38</v>
      </c>
      <c r="D5615">
        <v>43</v>
      </c>
    </row>
    <row r="5616" spans="1:4" ht="15.75" customHeight="1">
      <c r="A5616" t="s">
        <v>3964</v>
      </c>
      <c r="B5616" t="s">
        <v>36</v>
      </c>
      <c r="C5616" t="s">
        <v>38</v>
      </c>
      <c r="D5616">
        <v>42</v>
      </c>
    </row>
    <row r="5617" spans="1:4" ht="15.75" customHeight="1">
      <c r="A5617" t="s">
        <v>1138</v>
      </c>
      <c r="B5617" t="s">
        <v>36</v>
      </c>
      <c r="C5617" t="s">
        <v>38</v>
      </c>
      <c r="D5617">
        <v>42</v>
      </c>
    </row>
    <row r="5618" spans="1:4" ht="15.75" customHeight="1">
      <c r="A5618" t="s">
        <v>4332</v>
      </c>
      <c r="B5618" t="s">
        <v>36</v>
      </c>
      <c r="C5618" t="s">
        <v>38</v>
      </c>
      <c r="D5618">
        <v>42</v>
      </c>
    </row>
    <row r="5619" spans="1:4" ht="15.75" customHeight="1">
      <c r="A5619" t="s">
        <v>1633</v>
      </c>
      <c r="B5619" t="s">
        <v>36</v>
      </c>
      <c r="C5619" t="s">
        <v>38</v>
      </c>
      <c r="D5619">
        <v>41</v>
      </c>
    </row>
    <row r="5620" spans="1:4" ht="15.75" customHeight="1">
      <c r="A5620" t="s">
        <v>3570</v>
      </c>
      <c r="B5620" t="s">
        <v>36</v>
      </c>
      <c r="C5620" t="s">
        <v>38</v>
      </c>
      <c r="D5620">
        <v>41</v>
      </c>
    </row>
    <row r="5621" spans="1:4" ht="15.75" customHeight="1">
      <c r="A5621" t="s">
        <v>4599</v>
      </c>
      <c r="B5621" t="s">
        <v>36</v>
      </c>
      <c r="C5621" t="s">
        <v>38</v>
      </c>
      <c r="D5621">
        <v>41</v>
      </c>
    </row>
    <row r="5622" spans="1:4" ht="15.75" customHeight="1">
      <c r="A5622" t="s">
        <v>3531</v>
      </c>
      <c r="B5622" t="s">
        <v>36</v>
      </c>
      <c r="C5622" t="s">
        <v>38</v>
      </c>
      <c r="D5622">
        <v>41</v>
      </c>
    </row>
    <row r="5623" spans="1:4" ht="15.75" customHeight="1">
      <c r="A5623" t="s">
        <v>3477</v>
      </c>
      <c r="B5623" t="s">
        <v>36</v>
      </c>
      <c r="C5623" t="s">
        <v>38</v>
      </c>
      <c r="D5623">
        <v>41</v>
      </c>
    </row>
    <row r="5624" spans="1:4" ht="15.75" customHeight="1">
      <c r="A5624" t="s">
        <v>3951</v>
      </c>
      <c r="B5624" t="s">
        <v>36</v>
      </c>
      <c r="C5624" t="s">
        <v>38</v>
      </c>
      <c r="D5624">
        <v>41</v>
      </c>
    </row>
    <row r="5625" spans="1:4" ht="15.75" customHeight="1">
      <c r="A5625" t="s">
        <v>4684</v>
      </c>
      <c r="B5625" t="s">
        <v>36</v>
      </c>
      <c r="C5625" t="s">
        <v>38</v>
      </c>
      <c r="D5625">
        <v>40</v>
      </c>
    </row>
    <row r="5626" spans="1:4" ht="15.75" customHeight="1">
      <c r="A5626" t="s">
        <v>4311</v>
      </c>
      <c r="B5626" t="s">
        <v>36</v>
      </c>
      <c r="C5626" t="s">
        <v>38</v>
      </c>
      <c r="D5626">
        <v>40</v>
      </c>
    </row>
    <row r="5627" spans="1:4" ht="15.75" customHeight="1">
      <c r="A5627" t="s">
        <v>3057</v>
      </c>
      <c r="B5627" t="s">
        <v>36</v>
      </c>
      <c r="C5627" t="s">
        <v>38</v>
      </c>
      <c r="D5627">
        <v>40</v>
      </c>
    </row>
    <row r="5628" spans="1:4" ht="15.75" customHeight="1">
      <c r="A5628" t="s">
        <v>4680</v>
      </c>
      <c r="B5628" t="s">
        <v>36</v>
      </c>
      <c r="C5628" t="s">
        <v>38</v>
      </c>
      <c r="D5628">
        <v>40</v>
      </c>
    </row>
    <row r="5629" spans="1:4" ht="15.75" customHeight="1">
      <c r="A5629" t="s">
        <v>410</v>
      </c>
      <c r="B5629" t="s">
        <v>36</v>
      </c>
      <c r="C5629" t="s">
        <v>38</v>
      </c>
      <c r="D5629">
        <v>40</v>
      </c>
    </row>
    <row r="5630" spans="1:4" ht="15.75" customHeight="1">
      <c r="A5630" t="s">
        <v>2562</v>
      </c>
      <c r="B5630" t="s">
        <v>36</v>
      </c>
      <c r="C5630" t="s">
        <v>38</v>
      </c>
      <c r="D5630">
        <v>40</v>
      </c>
    </row>
    <row r="5631" spans="1:4" ht="15.75" customHeight="1">
      <c r="A5631" t="s">
        <v>2035</v>
      </c>
      <c r="B5631" t="s">
        <v>36</v>
      </c>
      <c r="C5631" t="s">
        <v>38</v>
      </c>
      <c r="D5631">
        <v>40</v>
      </c>
    </row>
    <row r="5632" spans="1:4" ht="15.75" customHeight="1">
      <c r="A5632" t="s">
        <v>3530</v>
      </c>
      <c r="B5632" t="s">
        <v>36</v>
      </c>
      <c r="C5632" t="s">
        <v>38</v>
      </c>
      <c r="D5632">
        <v>40</v>
      </c>
    </row>
    <row r="5633" spans="1:4" ht="15.75" customHeight="1">
      <c r="A5633" t="s">
        <v>2570</v>
      </c>
      <c r="B5633" t="s">
        <v>36</v>
      </c>
      <c r="C5633" t="s">
        <v>38</v>
      </c>
      <c r="D5633">
        <v>40</v>
      </c>
    </row>
    <row r="5634" spans="1:4" ht="15.75" customHeight="1">
      <c r="A5634" t="s">
        <v>3083</v>
      </c>
      <c r="B5634" t="s">
        <v>36</v>
      </c>
      <c r="C5634" t="s">
        <v>38</v>
      </c>
      <c r="D5634">
        <v>39</v>
      </c>
    </row>
    <row r="5635" spans="1:4" ht="15.75" customHeight="1">
      <c r="A5635" t="s">
        <v>3036</v>
      </c>
      <c r="B5635" t="s">
        <v>36</v>
      </c>
      <c r="C5635" t="s">
        <v>38</v>
      </c>
      <c r="D5635">
        <v>39</v>
      </c>
    </row>
    <row r="5636" spans="1:4" ht="15.75" customHeight="1">
      <c r="A5636" t="s">
        <v>2058</v>
      </c>
      <c r="B5636" t="s">
        <v>36</v>
      </c>
      <c r="C5636" t="s">
        <v>38</v>
      </c>
      <c r="D5636">
        <v>39</v>
      </c>
    </row>
    <row r="5637" spans="1:4" ht="15.75" customHeight="1">
      <c r="A5637" t="s">
        <v>4643</v>
      </c>
      <c r="B5637" t="s">
        <v>36</v>
      </c>
      <c r="C5637" t="s">
        <v>38</v>
      </c>
      <c r="D5637">
        <v>39</v>
      </c>
    </row>
    <row r="5638" spans="1:4" ht="15.75" customHeight="1">
      <c r="A5638" t="s">
        <v>3909</v>
      </c>
      <c r="B5638" t="s">
        <v>36</v>
      </c>
      <c r="C5638" t="s">
        <v>38</v>
      </c>
      <c r="D5638">
        <v>39</v>
      </c>
    </row>
    <row r="5639" spans="1:4" ht="15.75" customHeight="1">
      <c r="A5639" t="s">
        <v>3515</v>
      </c>
      <c r="B5639" t="s">
        <v>36</v>
      </c>
      <c r="C5639" t="s">
        <v>38</v>
      </c>
      <c r="D5639">
        <v>38</v>
      </c>
    </row>
    <row r="5640" spans="1:4" ht="15.75" customHeight="1">
      <c r="A5640" t="s">
        <v>3093</v>
      </c>
      <c r="B5640" t="s">
        <v>36</v>
      </c>
      <c r="C5640" t="s">
        <v>38</v>
      </c>
      <c r="D5640">
        <v>38</v>
      </c>
    </row>
    <row r="5641" spans="1:4" ht="15.75" customHeight="1">
      <c r="A5641" t="s">
        <v>2067</v>
      </c>
      <c r="B5641" t="s">
        <v>36</v>
      </c>
      <c r="C5641" t="s">
        <v>38</v>
      </c>
      <c r="D5641">
        <v>38</v>
      </c>
    </row>
    <row r="5642" spans="1:4" ht="15.75" customHeight="1">
      <c r="A5642" t="s">
        <v>1175</v>
      </c>
      <c r="B5642" t="s">
        <v>36</v>
      </c>
      <c r="C5642" t="s">
        <v>38</v>
      </c>
      <c r="D5642">
        <v>38</v>
      </c>
    </row>
    <row r="5643" spans="1:4" ht="15.75" customHeight="1">
      <c r="A5643" t="s">
        <v>2047</v>
      </c>
      <c r="B5643" t="s">
        <v>36</v>
      </c>
      <c r="C5643" t="s">
        <v>38</v>
      </c>
      <c r="D5643">
        <v>38</v>
      </c>
    </row>
    <row r="5644" spans="1:4" ht="15.75" customHeight="1">
      <c r="A5644" t="s">
        <v>4593</v>
      </c>
      <c r="B5644" t="s">
        <v>36</v>
      </c>
      <c r="C5644" t="s">
        <v>38</v>
      </c>
      <c r="D5644">
        <v>38</v>
      </c>
    </row>
    <row r="5645" spans="1:4" ht="15.75" customHeight="1">
      <c r="A5645" t="s">
        <v>3969</v>
      </c>
      <c r="B5645" t="s">
        <v>36</v>
      </c>
      <c r="C5645" t="s">
        <v>38</v>
      </c>
      <c r="D5645">
        <v>38</v>
      </c>
    </row>
    <row r="5646" spans="1:4" ht="15.75" customHeight="1">
      <c r="A5646" t="s">
        <v>3481</v>
      </c>
      <c r="B5646" t="s">
        <v>36</v>
      </c>
      <c r="C5646" t="s">
        <v>38</v>
      </c>
      <c r="D5646">
        <v>37</v>
      </c>
    </row>
    <row r="5647" spans="1:4" ht="15.75" customHeight="1">
      <c r="A5647" t="s">
        <v>2031</v>
      </c>
      <c r="B5647" t="s">
        <v>36</v>
      </c>
      <c r="C5647" t="s">
        <v>38</v>
      </c>
      <c r="D5647">
        <v>37</v>
      </c>
    </row>
    <row r="5648" spans="1:4" ht="15.75" customHeight="1">
      <c r="A5648" t="s">
        <v>4585</v>
      </c>
      <c r="B5648" t="s">
        <v>36</v>
      </c>
      <c r="C5648" t="s">
        <v>38</v>
      </c>
      <c r="D5648">
        <v>37</v>
      </c>
    </row>
    <row r="5649" spans="1:4" ht="15.75" customHeight="1">
      <c r="A5649" t="s">
        <v>4313</v>
      </c>
      <c r="B5649" t="s">
        <v>36</v>
      </c>
      <c r="C5649" t="s">
        <v>38</v>
      </c>
      <c r="D5649">
        <v>36</v>
      </c>
    </row>
    <row r="5650" spans="1:4" ht="15.75" customHeight="1">
      <c r="A5650" t="s">
        <v>2032</v>
      </c>
      <c r="B5650" t="s">
        <v>36</v>
      </c>
      <c r="C5650" t="s">
        <v>38</v>
      </c>
      <c r="D5650">
        <v>36</v>
      </c>
    </row>
    <row r="5651" spans="1:4" ht="15.75" customHeight="1">
      <c r="A5651" t="s">
        <v>4623</v>
      </c>
      <c r="B5651" t="s">
        <v>36</v>
      </c>
      <c r="C5651" t="s">
        <v>38</v>
      </c>
      <c r="D5651">
        <v>36</v>
      </c>
    </row>
    <row r="5652" spans="1:4" ht="15.75" customHeight="1">
      <c r="A5652" t="s">
        <v>1639</v>
      </c>
      <c r="B5652" t="s">
        <v>36</v>
      </c>
      <c r="C5652" t="s">
        <v>38</v>
      </c>
      <c r="D5652">
        <v>36</v>
      </c>
    </row>
    <row r="5653" spans="1:4" ht="15.75" customHeight="1">
      <c r="A5653" t="s">
        <v>4005</v>
      </c>
      <c r="B5653" t="s">
        <v>36</v>
      </c>
      <c r="C5653" t="s">
        <v>38</v>
      </c>
      <c r="D5653">
        <v>36</v>
      </c>
    </row>
    <row r="5654" spans="1:4" ht="15.75" customHeight="1">
      <c r="A5654" t="s">
        <v>2565</v>
      </c>
      <c r="B5654" t="s">
        <v>36</v>
      </c>
      <c r="C5654" t="s">
        <v>38</v>
      </c>
      <c r="D5654">
        <v>35</v>
      </c>
    </row>
    <row r="5655" spans="1:4" ht="15.75" customHeight="1">
      <c r="A5655" t="s">
        <v>3096</v>
      </c>
      <c r="B5655" t="s">
        <v>36</v>
      </c>
      <c r="C5655" t="s">
        <v>38</v>
      </c>
      <c r="D5655">
        <v>35</v>
      </c>
    </row>
    <row r="5656" spans="1:4" ht="15.75" customHeight="1">
      <c r="A5656" t="s">
        <v>3076</v>
      </c>
      <c r="B5656" t="s">
        <v>36</v>
      </c>
      <c r="C5656" t="s">
        <v>38</v>
      </c>
      <c r="D5656">
        <v>35</v>
      </c>
    </row>
    <row r="5657" spans="1:4" ht="15.75" customHeight="1">
      <c r="A5657" t="s">
        <v>3989</v>
      </c>
      <c r="B5657" t="s">
        <v>36</v>
      </c>
      <c r="C5657" t="s">
        <v>38</v>
      </c>
      <c r="D5657">
        <v>34</v>
      </c>
    </row>
    <row r="5658" spans="1:4" ht="15.75" customHeight="1">
      <c r="A5658" t="s">
        <v>4587</v>
      </c>
      <c r="B5658" t="s">
        <v>36</v>
      </c>
      <c r="C5658" t="s">
        <v>38</v>
      </c>
      <c r="D5658">
        <v>34</v>
      </c>
    </row>
    <row r="5659" spans="1:4" ht="15.75" customHeight="1">
      <c r="A5659" t="s">
        <v>4652</v>
      </c>
      <c r="B5659" t="s">
        <v>36</v>
      </c>
      <c r="C5659" t="s">
        <v>38</v>
      </c>
      <c r="D5659">
        <v>34</v>
      </c>
    </row>
    <row r="5660" spans="1:4" ht="15.75" customHeight="1">
      <c r="A5660" t="s">
        <v>2607</v>
      </c>
      <c r="B5660" t="s">
        <v>36</v>
      </c>
      <c r="C5660" t="s">
        <v>38</v>
      </c>
      <c r="D5660">
        <v>34</v>
      </c>
    </row>
    <row r="5661" spans="1:4" ht="15.75" customHeight="1">
      <c r="A5661" t="s">
        <v>2070</v>
      </c>
      <c r="B5661" t="s">
        <v>36</v>
      </c>
      <c r="C5661" t="s">
        <v>38</v>
      </c>
      <c r="D5661">
        <v>33</v>
      </c>
    </row>
    <row r="5662" spans="1:4" ht="15.75" customHeight="1">
      <c r="A5662" t="s">
        <v>1644</v>
      </c>
      <c r="B5662" t="s">
        <v>36</v>
      </c>
      <c r="C5662" t="s">
        <v>38</v>
      </c>
      <c r="D5662">
        <v>33</v>
      </c>
    </row>
    <row r="5663" spans="1:4" ht="15.75" customHeight="1">
      <c r="A5663" t="s">
        <v>4701</v>
      </c>
      <c r="B5663" t="s">
        <v>36</v>
      </c>
      <c r="C5663" t="s">
        <v>38</v>
      </c>
      <c r="D5663">
        <v>33</v>
      </c>
    </row>
    <row r="5664" spans="1:4" ht="15.75" customHeight="1">
      <c r="A5664" t="s">
        <v>1682</v>
      </c>
      <c r="B5664" t="s">
        <v>36</v>
      </c>
      <c r="C5664" t="s">
        <v>38</v>
      </c>
      <c r="D5664">
        <v>33</v>
      </c>
    </row>
    <row r="5665" spans="1:4" ht="15.75" customHeight="1">
      <c r="A5665" t="s">
        <v>4591</v>
      </c>
      <c r="B5665" t="s">
        <v>36</v>
      </c>
      <c r="C5665" t="s">
        <v>38</v>
      </c>
      <c r="D5665">
        <v>32</v>
      </c>
    </row>
    <row r="5666" spans="1:4" ht="15.75" customHeight="1">
      <c r="A5666" t="s">
        <v>3583</v>
      </c>
      <c r="B5666" t="s">
        <v>36</v>
      </c>
      <c r="C5666" t="s">
        <v>38</v>
      </c>
      <c r="D5666">
        <v>32</v>
      </c>
    </row>
    <row r="5667" spans="1:4" ht="15.75" customHeight="1">
      <c r="A5667" t="s">
        <v>3123</v>
      </c>
      <c r="B5667" t="s">
        <v>36</v>
      </c>
      <c r="C5667" t="s">
        <v>38</v>
      </c>
      <c r="D5667">
        <v>31</v>
      </c>
    </row>
    <row r="5668" spans="1:4" ht="15.75" customHeight="1">
      <c r="A5668" t="s">
        <v>3044</v>
      </c>
      <c r="B5668" t="s">
        <v>36</v>
      </c>
      <c r="C5668" t="s">
        <v>38</v>
      </c>
      <c r="D5668">
        <v>31</v>
      </c>
    </row>
    <row r="5669" spans="1:4" ht="15.75" customHeight="1">
      <c r="A5669" t="s">
        <v>4636</v>
      </c>
      <c r="B5669" t="s">
        <v>36</v>
      </c>
      <c r="C5669" t="s">
        <v>38</v>
      </c>
      <c r="D5669">
        <v>30</v>
      </c>
    </row>
    <row r="5670" spans="1:4" ht="15.75" customHeight="1">
      <c r="A5670" t="s">
        <v>1641</v>
      </c>
      <c r="B5670" t="s">
        <v>36</v>
      </c>
      <c r="C5670" t="s">
        <v>38</v>
      </c>
      <c r="D5670">
        <v>30</v>
      </c>
    </row>
    <row r="5671" spans="1:4" ht="15.75" customHeight="1">
      <c r="A5671" t="s">
        <v>3045</v>
      </c>
      <c r="B5671" t="s">
        <v>36</v>
      </c>
      <c r="C5671" t="s">
        <v>38</v>
      </c>
      <c r="D5671">
        <v>29</v>
      </c>
    </row>
    <row r="5672" spans="1:4" ht="15.75" customHeight="1">
      <c r="A5672" t="s">
        <v>415</v>
      </c>
      <c r="B5672" t="s">
        <v>36</v>
      </c>
      <c r="C5672" t="s">
        <v>38</v>
      </c>
      <c r="D5672">
        <v>29</v>
      </c>
    </row>
    <row r="5673" spans="1:4" ht="15.75" customHeight="1">
      <c r="A5673" t="s">
        <v>1653</v>
      </c>
      <c r="B5673" t="s">
        <v>36</v>
      </c>
      <c r="C5673" t="s">
        <v>38</v>
      </c>
      <c r="D5673">
        <v>29</v>
      </c>
    </row>
    <row r="5674" spans="1:4" ht="15.75" customHeight="1">
      <c r="A5674" t="s">
        <v>2029</v>
      </c>
      <c r="B5674" t="s">
        <v>36</v>
      </c>
      <c r="C5674" t="s">
        <v>38</v>
      </c>
      <c r="D5674">
        <v>29</v>
      </c>
    </row>
    <row r="5675" spans="1:4" ht="15.75" customHeight="1">
      <c r="A5675" t="s">
        <v>4601</v>
      </c>
      <c r="B5675" t="s">
        <v>36</v>
      </c>
      <c r="C5675" t="s">
        <v>38</v>
      </c>
      <c r="D5675">
        <v>29</v>
      </c>
    </row>
    <row r="5676" spans="1:4" ht="15.75" customHeight="1">
      <c r="A5676" t="s">
        <v>1660</v>
      </c>
      <c r="B5676" t="s">
        <v>36</v>
      </c>
      <c r="C5676" t="s">
        <v>38</v>
      </c>
      <c r="D5676">
        <v>28</v>
      </c>
    </row>
    <row r="5677" spans="1:4" ht="15.75" customHeight="1">
      <c r="A5677" t="s">
        <v>3538</v>
      </c>
      <c r="B5677" t="s">
        <v>36</v>
      </c>
      <c r="C5677" t="s">
        <v>38</v>
      </c>
      <c r="D5677">
        <v>27</v>
      </c>
    </row>
    <row r="5678" spans="1:4" ht="15.75" customHeight="1">
      <c r="A5678" t="s">
        <v>4315</v>
      </c>
      <c r="B5678" t="s">
        <v>36</v>
      </c>
      <c r="C5678" t="s">
        <v>38</v>
      </c>
      <c r="D5678">
        <v>27</v>
      </c>
    </row>
    <row r="5679" spans="1:4" ht="15.75" customHeight="1">
      <c r="A5679" t="s">
        <v>2620</v>
      </c>
      <c r="B5679" t="s">
        <v>36</v>
      </c>
      <c r="C5679" t="s">
        <v>38</v>
      </c>
      <c r="D5679">
        <v>27</v>
      </c>
    </row>
    <row r="5680" spans="1:4" ht="15.75" customHeight="1">
      <c r="A5680" t="s">
        <v>4674</v>
      </c>
      <c r="B5680" t="s">
        <v>36</v>
      </c>
      <c r="C5680" t="s">
        <v>38</v>
      </c>
      <c r="D5680">
        <v>27</v>
      </c>
    </row>
    <row r="5681" spans="1:4" ht="15.75" customHeight="1">
      <c r="A5681" t="s">
        <v>2563</v>
      </c>
      <c r="B5681" t="s">
        <v>36</v>
      </c>
      <c r="C5681" t="s">
        <v>38</v>
      </c>
      <c r="D5681">
        <v>27</v>
      </c>
    </row>
    <row r="5682" spans="1:4" ht="15.75" customHeight="1">
      <c r="A5682" t="s">
        <v>1123</v>
      </c>
      <c r="B5682" t="s">
        <v>36</v>
      </c>
      <c r="C5682" t="s">
        <v>38</v>
      </c>
      <c r="D5682">
        <v>27</v>
      </c>
    </row>
    <row r="5683" spans="1:4" ht="15.75" customHeight="1">
      <c r="A5683" t="s">
        <v>1132</v>
      </c>
      <c r="B5683" t="s">
        <v>36</v>
      </c>
      <c r="C5683" t="s">
        <v>38</v>
      </c>
      <c r="D5683">
        <v>27</v>
      </c>
    </row>
    <row r="5684" spans="1:4" ht="15.75" customHeight="1">
      <c r="A5684" t="s">
        <v>4629</v>
      </c>
      <c r="B5684" t="s">
        <v>36</v>
      </c>
      <c r="C5684" t="s">
        <v>38</v>
      </c>
      <c r="D5684">
        <v>27</v>
      </c>
    </row>
    <row r="5685" spans="1:4" ht="15.75" customHeight="1">
      <c r="A5685" t="s">
        <v>4686</v>
      </c>
      <c r="B5685" t="s">
        <v>36</v>
      </c>
      <c r="C5685" t="s">
        <v>38</v>
      </c>
      <c r="D5685">
        <v>27</v>
      </c>
    </row>
    <row r="5686" spans="1:4" ht="15.75" customHeight="1">
      <c r="A5686" t="s">
        <v>1139</v>
      </c>
      <c r="B5686" t="s">
        <v>36</v>
      </c>
      <c r="C5686" t="s">
        <v>38</v>
      </c>
      <c r="D5686">
        <v>27</v>
      </c>
    </row>
    <row r="5687" spans="1:4" ht="15.75" customHeight="1">
      <c r="A5687" t="s">
        <v>3129</v>
      </c>
      <c r="B5687" t="s">
        <v>36</v>
      </c>
      <c r="C5687" t="s">
        <v>38</v>
      </c>
      <c r="D5687">
        <v>27</v>
      </c>
    </row>
    <row r="5688" spans="1:4" ht="15.75" customHeight="1">
      <c r="A5688" t="s">
        <v>2078</v>
      </c>
      <c r="B5688" t="s">
        <v>36</v>
      </c>
      <c r="C5688" t="s">
        <v>38</v>
      </c>
      <c r="D5688">
        <v>26</v>
      </c>
    </row>
    <row r="5689" spans="1:4" ht="15.75" customHeight="1">
      <c r="A5689" t="s">
        <v>1208</v>
      </c>
      <c r="B5689" t="s">
        <v>36</v>
      </c>
      <c r="C5689" t="s">
        <v>38</v>
      </c>
      <c r="D5689">
        <v>26</v>
      </c>
    </row>
    <row r="5690" spans="1:4" ht="15.75" customHeight="1">
      <c r="A5690" t="s">
        <v>3069</v>
      </c>
      <c r="B5690" t="s">
        <v>36</v>
      </c>
      <c r="C5690" t="s">
        <v>38</v>
      </c>
      <c r="D5690">
        <v>26</v>
      </c>
    </row>
    <row r="5691" spans="1:4" ht="15.75" customHeight="1">
      <c r="A5691" t="s">
        <v>331</v>
      </c>
      <c r="B5691" t="s">
        <v>36</v>
      </c>
      <c r="C5691" t="s">
        <v>38</v>
      </c>
      <c r="D5691">
        <v>26</v>
      </c>
    </row>
    <row r="5692" spans="1:4" ht="15.75" customHeight="1">
      <c r="A5692" t="s">
        <v>3581</v>
      </c>
      <c r="B5692" t="s">
        <v>36</v>
      </c>
      <c r="C5692" t="s">
        <v>38</v>
      </c>
      <c r="D5692">
        <v>26</v>
      </c>
    </row>
    <row r="5693" spans="1:4" ht="15.75" customHeight="1">
      <c r="A5693" t="s">
        <v>4274</v>
      </c>
      <c r="B5693" t="s">
        <v>36</v>
      </c>
      <c r="C5693" t="s">
        <v>38</v>
      </c>
      <c r="D5693">
        <v>26</v>
      </c>
    </row>
    <row r="5694" spans="1:4" ht="15.75" customHeight="1">
      <c r="A5694" t="s">
        <v>4333</v>
      </c>
      <c r="B5694" t="s">
        <v>36</v>
      </c>
      <c r="C5694" t="s">
        <v>38</v>
      </c>
      <c r="D5694">
        <v>25</v>
      </c>
    </row>
    <row r="5695" spans="1:4" ht="15.75" customHeight="1">
      <c r="A5695" t="s">
        <v>3564</v>
      </c>
      <c r="B5695" t="s">
        <v>36</v>
      </c>
      <c r="C5695" t="s">
        <v>38</v>
      </c>
      <c r="D5695">
        <v>25</v>
      </c>
    </row>
    <row r="5696" spans="1:4" ht="15.75" customHeight="1">
      <c r="A5696" t="s">
        <v>3095</v>
      </c>
      <c r="B5696" t="s">
        <v>36</v>
      </c>
      <c r="C5696" t="s">
        <v>38</v>
      </c>
      <c r="D5696">
        <v>24</v>
      </c>
    </row>
    <row r="5697" spans="1:4" ht="15.75" customHeight="1">
      <c r="A5697" t="s">
        <v>2057</v>
      </c>
      <c r="B5697" t="s">
        <v>36</v>
      </c>
      <c r="C5697" t="s">
        <v>38</v>
      </c>
      <c r="D5697">
        <v>24</v>
      </c>
    </row>
    <row r="5698" spans="1:4" ht="15.75" customHeight="1">
      <c r="A5698" t="s">
        <v>3039</v>
      </c>
      <c r="B5698" t="s">
        <v>36</v>
      </c>
      <c r="C5698" t="s">
        <v>38</v>
      </c>
      <c r="D5698">
        <v>24</v>
      </c>
    </row>
    <row r="5699" spans="1:4" ht="15.75" customHeight="1">
      <c r="A5699" t="s">
        <v>3541</v>
      </c>
      <c r="B5699" t="s">
        <v>36</v>
      </c>
      <c r="C5699" t="s">
        <v>38</v>
      </c>
      <c r="D5699">
        <v>23</v>
      </c>
    </row>
    <row r="5700" spans="1:4" ht="15.75" customHeight="1">
      <c r="A5700" t="s">
        <v>1166</v>
      </c>
      <c r="B5700" t="s">
        <v>36</v>
      </c>
      <c r="C5700" t="s">
        <v>38</v>
      </c>
      <c r="D5700">
        <v>23</v>
      </c>
    </row>
    <row r="5701" spans="1:4" ht="15.75" customHeight="1">
      <c r="A5701" t="s">
        <v>1637</v>
      </c>
      <c r="B5701" t="s">
        <v>36</v>
      </c>
      <c r="C5701" t="s">
        <v>38</v>
      </c>
      <c r="D5701">
        <v>23</v>
      </c>
    </row>
    <row r="5702" spans="1:4" ht="15.75" customHeight="1">
      <c r="A5702" t="s">
        <v>3126</v>
      </c>
      <c r="B5702" t="s">
        <v>36</v>
      </c>
      <c r="C5702" t="s">
        <v>38</v>
      </c>
      <c r="D5702">
        <v>23</v>
      </c>
    </row>
    <row r="5703" spans="1:4" ht="15.75" customHeight="1">
      <c r="A5703" t="s">
        <v>2546</v>
      </c>
      <c r="B5703" t="s">
        <v>36</v>
      </c>
      <c r="C5703" t="s">
        <v>38</v>
      </c>
      <c r="D5703">
        <v>23</v>
      </c>
    </row>
    <row r="5704" spans="1:4" ht="15.75" customHeight="1">
      <c r="A5704" t="s">
        <v>3491</v>
      </c>
      <c r="B5704" t="s">
        <v>36</v>
      </c>
      <c r="C5704" t="s">
        <v>38</v>
      </c>
      <c r="D5704">
        <v>23</v>
      </c>
    </row>
    <row r="5705" spans="1:4" ht="15.75" customHeight="1">
      <c r="A5705" t="s">
        <v>2595</v>
      </c>
      <c r="B5705" t="s">
        <v>36</v>
      </c>
      <c r="C5705" t="s">
        <v>38</v>
      </c>
      <c r="D5705">
        <v>21</v>
      </c>
    </row>
    <row r="5706" spans="1:4" ht="15.75" customHeight="1">
      <c r="A5706" t="s">
        <v>4660</v>
      </c>
      <c r="B5706" t="s">
        <v>36</v>
      </c>
      <c r="C5706" t="s">
        <v>38</v>
      </c>
      <c r="D5706">
        <v>21</v>
      </c>
    </row>
    <row r="5707" spans="1:4" ht="15.75" customHeight="1">
      <c r="A5707" t="s">
        <v>4689</v>
      </c>
      <c r="B5707" t="s">
        <v>36</v>
      </c>
      <c r="C5707" t="s">
        <v>38</v>
      </c>
      <c r="D5707">
        <v>20</v>
      </c>
    </row>
    <row r="5708" spans="1:4" ht="15.75" customHeight="1">
      <c r="A5708" t="s">
        <v>3950</v>
      </c>
      <c r="B5708" t="s">
        <v>36</v>
      </c>
      <c r="C5708" t="s">
        <v>38</v>
      </c>
      <c r="D5708">
        <v>20</v>
      </c>
    </row>
    <row r="5709" spans="1:4" ht="15.75" customHeight="1">
      <c r="A5709" t="s">
        <v>1183</v>
      </c>
      <c r="B5709" t="s">
        <v>36</v>
      </c>
      <c r="C5709" t="s">
        <v>38</v>
      </c>
      <c r="D5709">
        <v>20</v>
      </c>
    </row>
    <row r="5710" spans="1:4" ht="15.75" customHeight="1">
      <c r="A5710" t="s">
        <v>3054</v>
      </c>
      <c r="B5710" t="s">
        <v>36</v>
      </c>
      <c r="C5710" t="s">
        <v>38</v>
      </c>
      <c r="D5710">
        <v>20</v>
      </c>
    </row>
    <row r="5711" spans="1:4" ht="15.75" customHeight="1">
      <c r="A5711" t="s">
        <v>2589</v>
      </c>
      <c r="B5711" t="s">
        <v>36</v>
      </c>
      <c r="C5711" t="s">
        <v>38</v>
      </c>
      <c r="D5711">
        <v>20</v>
      </c>
    </row>
    <row r="5712" spans="1:4" ht="15.75" customHeight="1">
      <c r="A5712" t="s">
        <v>1659</v>
      </c>
      <c r="B5712" t="s">
        <v>36</v>
      </c>
      <c r="C5712" t="s">
        <v>38</v>
      </c>
      <c r="D5712">
        <v>20</v>
      </c>
    </row>
    <row r="5713" spans="1:4" ht="15.75" customHeight="1">
      <c r="A5713" t="s">
        <v>1143</v>
      </c>
      <c r="B5713" t="s">
        <v>36</v>
      </c>
      <c r="C5713" t="s">
        <v>38</v>
      </c>
      <c r="D5713">
        <v>20</v>
      </c>
    </row>
    <row r="5714" spans="1:4" ht="15.75" customHeight="1">
      <c r="A5714" t="s">
        <v>3033</v>
      </c>
      <c r="B5714" t="s">
        <v>36</v>
      </c>
      <c r="C5714" t="s">
        <v>38</v>
      </c>
      <c r="D5714">
        <v>20</v>
      </c>
    </row>
    <row r="5715" spans="1:4" ht="15.75" customHeight="1">
      <c r="A5715" t="s">
        <v>3104</v>
      </c>
      <c r="B5715" t="s">
        <v>36</v>
      </c>
      <c r="C5715" t="s">
        <v>38</v>
      </c>
      <c r="D5715">
        <v>19</v>
      </c>
    </row>
    <row r="5716" spans="1:4" ht="15.75" customHeight="1">
      <c r="A5716" t="s">
        <v>4620</v>
      </c>
      <c r="B5716" t="s">
        <v>36</v>
      </c>
      <c r="C5716" t="s">
        <v>38</v>
      </c>
      <c r="D5716">
        <v>19</v>
      </c>
    </row>
    <row r="5717" spans="1:4" ht="15.75" customHeight="1">
      <c r="A5717" t="s">
        <v>3503</v>
      </c>
      <c r="B5717" t="s">
        <v>36</v>
      </c>
      <c r="C5717" t="s">
        <v>38</v>
      </c>
      <c r="D5717">
        <v>19</v>
      </c>
    </row>
    <row r="5718" spans="1:4" ht="15.75" customHeight="1">
      <c r="A5718" t="s">
        <v>1655</v>
      </c>
      <c r="B5718" t="s">
        <v>36</v>
      </c>
      <c r="C5718" t="s">
        <v>38</v>
      </c>
      <c r="D5718">
        <v>17</v>
      </c>
    </row>
    <row r="5719" spans="1:4" ht="15.75" customHeight="1">
      <c r="A5719" t="s">
        <v>2591</v>
      </c>
      <c r="B5719" t="s">
        <v>36</v>
      </c>
      <c r="C5719" t="s">
        <v>38</v>
      </c>
      <c r="D5719">
        <v>17</v>
      </c>
    </row>
    <row r="5720" spans="1:4" ht="15.75" customHeight="1">
      <c r="A5720" t="s">
        <v>1204</v>
      </c>
      <c r="B5720" t="s">
        <v>36</v>
      </c>
      <c r="C5720" t="s">
        <v>38</v>
      </c>
      <c r="D5720">
        <v>16</v>
      </c>
    </row>
    <row r="5721" spans="1:4" ht="15.75" customHeight="1">
      <c r="A5721" t="s">
        <v>1661</v>
      </c>
      <c r="B5721" t="s">
        <v>36</v>
      </c>
      <c r="C5721" t="s">
        <v>38</v>
      </c>
      <c r="D5721">
        <v>16</v>
      </c>
    </row>
    <row r="5722" spans="1:4" ht="15.75" customHeight="1">
      <c r="A5722" t="s">
        <v>3501</v>
      </c>
      <c r="B5722" t="s">
        <v>36</v>
      </c>
      <c r="C5722" t="s">
        <v>38</v>
      </c>
      <c r="D5722">
        <v>16</v>
      </c>
    </row>
    <row r="5723" spans="1:4" ht="15.75" customHeight="1">
      <c r="A5723" t="s">
        <v>3091</v>
      </c>
      <c r="B5723" t="s">
        <v>36</v>
      </c>
      <c r="C5723" t="s">
        <v>38</v>
      </c>
      <c r="D5723">
        <v>15</v>
      </c>
    </row>
    <row r="5724" spans="1:4" ht="15.75" customHeight="1">
      <c r="A5724" t="s">
        <v>1125</v>
      </c>
      <c r="B5724" t="s">
        <v>36</v>
      </c>
      <c r="C5724" t="s">
        <v>38</v>
      </c>
      <c r="D5724">
        <v>15</v>
      </c>
    </row>
    <row r="5725" spans="1:4" ht="15.75" customHeight="1">
      <c r="A5725" t="s">
        <v>2590</v>
      </c>
      <c r="B5725" t="s">
        <v>36</v>
      </c>
      <c r="C5725" t="s">
        <v>38</v>
      </c>
      <c r="D5725">
        <v>15</v>
      </c>
    </row>
    <row r="5726" spans="1:4" ht="15.75" customHeight="1">
      <c r="A5726" t="s">
        <v>1197</v>
      </c>
      <c r="B5726" t="s">
        <v>36</v>
      </c>
      <c r="C5726" t="s">
        <v>38</v>
      </c>
      <c r="D5726">
        <v>15</v>
      </c>
    </row>
    <row r="5727" spans="1:4" ht="15.75" customHeight="1">
      <c r="A5727" t="s">
        <v>3544</v>
      </c>
      <c r="B5727" t="s">
        <v>36</v>
      </c>
      <c r="C5727" t="s">
        <v>38</v>
      </c>
      <c r="D5727">
        <v>14</v>
      </c>
    </row>
    <row r="5728" spans="1:4" ht="15.75" customHeight="1">
      <c r="A5728" t="s">
        <v>317</v>
      </c>
      <c r="B5728" t="s">
        <v>36</v>
      </c>
      <c r="C5728" t="s">
        <v>38</v>
      </c>
      <c r="D5728">
        <v>14</v>
      </c>
    </row>
    <row r="5729" spans="1:4" ht="15.75" customHeight="1">
      <c r="A5729" t="s">
        <v>1119</v>
      </c>
      <c r="B5729" t="s">
        <v>36</v>
      </c>
      <c r="C5729" t="s">
        <v>38</v>
      </c>
      <c r="D5729">
        <v>14</v>
      </c>
    </row>
    <row r="5730" spans="1:4" ht="15.75" customHeight="1">
      <c r="A5730" t="s">
        <v>4309</v>
      </c>
      <c r="B5730" t="s">
        <v>36</v>
      </c>
      <c r="C5730" t="s">
        <v>38</v>
      </c>
      <c r="D5730">
        <v>14</v>
      </c>
    </row>
    <row r="5731" spans="1:4" ht="15.75" customHeight="1">
      <c r="A5731" t="s">
        <v>3577</v>
      </c>
      <c r="B5731" t="s">
        <v>36</v>
      </c>
      <c r="C5731" t="s">
        <v>38</v>
      </c>
      <c r="D5731">
        <v>13</v>
      </c>
    </row>
    <row r="5732" spans="1:4" ht="15.75" customHeight="1">
      <c r="A5732" t="s">
        <v>1121</v>
      </c>
      <c r="B5732" t="s">
        <v>36</v>
      </c>
      <c r="C5732" t="s">
        <v>38</v>
      </c>
      <c r="D5732">
        <v>12</v>
      </c>
    </row>
    <row r="5733" spans="1:4" ht="15.75" customHeight="1">
      <c r="A5733" t="s">
        <v>1179</v>
      </c>
      <c r="B5733" t="s">
        <v>36</v>
      </c>
      <c r="C5733" t="s">
        <v>38</v>
      </c>
      <c r="D5733">
        <v>12</v>
      </c>
    </row>
    <row r="5734" spans="1:4" ht="15.75" customHeight="1">
      <c r="A5734" s="7">
        <v>37135</v>
      </c>
      <c r="B5734" t="s">
        <v>36</v>
      </c>
      <c r="C5734" t="s">
        <v>38</v>
      </c>
      <c r="D5734">
        <v>12</v>
      </c>
    </row>
    <row r="5735" spans="1:4" ht="15.75" customHeight="1">
      <c r="A5735" t="s">
        <v>4283</v>
      </c>
      <c r="B5735" t="s">
        <v>36</v>
      </c>
      <c r="C5735" t="s">
        <v>38</v>
      </c>
      <c r="D5735">
        <v>11</v>
      </c>
    </row>
    <row r="5736" spans="1:4" ht="15.75" customHeight="1">
      <c r="A5736" t="s">
        <v>4294</v>
      </c>
      <c r="B5736" t="s">
        <v>36</v>
      </c>
      <c r="C5736" t="s">
        <v>38</v>
      </c>
      <c r="D5736">
        <v>11</v>
      </c>
    </row>
    <row r="5737" spans="1:4" ht="15.75" customHeight="1">
      <c r="A5737" t="s">
        <v>4662</v>
      </c>
      <c r="B5737" t="s">
        <v>36</v>
      </c>
      <c r="C5737" t="s">
        <v>38</v>
      </c>
      <c r="D5737">
        <v>11</v>
      </c>
    </row>
    <row r="5738" spans="1:4" ht="15.75" customHeight="1">
      <c r="A5738" t="s">
        <v>2621</v>
      </c>
      <c r="B5738" t="s">
        <v>36</v>
      </c>
      <c r="C5738" t="s">
        <v>38</v>
      </c>
      <c r="D5738">
        <v>11</v>
      </c>
    </row>
    <row r="5739" spans="1:4" ht="15.75" customHeight="1">
      <c r="A5739" t="s">
        <v>430</v>
      </c>
      <c r="B5739" t="s">
        <v>36</v>
      </c>
      <c r="C5739" t="s">
        <v>38</v>
      </c>
      <c r="D5739">
        <v>11</v>
      </c>
    </row>
    <row r="5740" spans="1:4" ht="15.75" customHeight="1">
      <c r="A5740" t="s">
        <v>3578</v>
      </c>
      <c r="B5740" t="s">
        <v>36</v>
      </c>
      <c r="C5740" t="s">
        <v>38</v>
      </c>
      <c r="D5740">
        <v>11</v>
      </c>
    </row>
    <row r="5741" spans="1:4" ht="15.75" customHeight="1">
      <c r="A5741" t="s">
        <v>3527</v>
      </c>
      <c r="B5741" t="s">
        <v>36</v>
      </c>
      <c r="C5741" t="s">
        <v>38</v>
      </c>
      <c r="D5741">
        <v>10</v>
      </c>
    </row>
    <row r="5742" spans="1:4" ht="15.75" customHeight="1">
      <c r="A5742" t="s">
        <v>3512</v>
      </c>
      <c r="B5742" t="s">
        <v>36</v>
      </c>
      <c r="C5742" t="s">
        <v>38</v>
      </c>
      <c r="D5742">
        <v>10</v>
      </c>
    </row>
    <row r="5743" spans="1:4" ht="15.75" customHeight="1">
      <c r="A5743" t="s">
        <v>2605</v>
      </c>
      <c r="B5743" t="s">
        <v>36</v>
      </c>
      <c r="C5743" t="s">
        <v>38</v>
      </c>
      <c r="D5743">
        <v>9</v>
      </c>
    </row>
    <row r="5744" spans="1:4" ht="15.75" customHeight="1">
      <c r="A5744" t="s">
        <v>4667</v>
      </c>
      <c r="B5744" t="s">
        <v>36</v>
      </c>
      <c r="C5744" t="s">
        <v>38</v>
      </c>
      <c r="D5744">
        <v>9</v>
      </c>
    </row>
    <row r="5745" spans="1:4" ht="15.75" customHeight="1">
      <c r="A5745" t="s">
        <v>3542</v>
      </c>
      <c r="B5745" t="s">
        <v>36</v>
      </c>
      <c r="C5745" t="s">
        <v>38</v>
      </c>
      <c r="D5745">
        <v>8</v>
      </c>
    </row>
    <row r="5746" spans="1:4" ht="15.75" customHeight="1">
      <c r="A5746" t="s">
        <v>1155</v>
      </c>
      <c r="B5746" t="s">
        <v>36</v>
      </c>
      <c r="C5746" t="s">
        <v>38</v>
      </c>
      <c r="D5746">
        <v>8</v>
      </c>
    </row>
    <row r="5747" spans="1:4" ht="15.75" customHeight="1">
      <c r="A5747" t="s">
        <v>3952</v>
      </c>
      <c r="B5747" t="s">
        <v>36</v>
      </c>
      <c r="C5747" t="s">
        <v>38</v>
      </c>
      <c r="D5747">
        <v>7</v>
      </c>
    </row>
    <row r="5748" spans="1:4" ht="15.75" customHeight="1">
      <c r="A5748" t="s">
        <v>1684</v>
      </c>
      <c r="B5748" t="s">
        <v>36</v>
      </c>
      <c r="C5748" t="s">
        <v>38</v>
      </c>
      <c r="D5748">
        <v>7</v>
      </c>
    </row>
    <row r="5749" spans="1:4" ht="15.75" customHeight="1">
      <c r="A5749" t="s">
        <v>364</v>
      </c>
      <c r="B5749" t="s">
        <v>36</v>
      </c>
      <c r="C5749" t="s">
        <v>38</v>
      </c>
      <c r="D5749">
        <v>6</v>
      </c>
    </row>
    <row r="5750" spans="1:4" ht="15.75" customHeight="1">
      <c r="A5750" t="s">
        <v>2627</v>
      </c>
      <c r="B5750" t="s">
        <v>36</v>
      </c>
      <c r="C5750" t="s">
        <v>38</v>
      </c>
      <c r="D5750">
        <v>6</v>
      </c>
    </row>
    <row r="5751" spans="1:4" ht="15.75" customHeight="1">
      <c r="A5751" t="s">
        <v>2644</v>
      </c>
      <c r="B5751" t="s">
        <v>36</v>
      </c>
      <c r="C5751" t="s">
        <v>38</v>
      </c>
      <c r="D5751">
        <v>6</v>
      </c>
    </row>
    <row r="5752" spans="1:4" ht="15.75" customHeight="1">
      <c r="A5752" t="s">
        <v>4665</v>
      </c>
      <c r="B5752" t="s">
        <v>36</v>
      </c>
      <c r="C5752" t="s">
        <v>38</v>
      </c>
      <c r="D5752">
        <v>6</v>
      </c>
    </row>
    <row r="5753" spans="1:4" ht="15.75" customHeight="1">
      <c r="A5753" t="s">
        <v>1686</v>
      </c>
      <c r="B5753" t="s">
        <v>36</v>
      </c>
      <c r="C5753" t="s">
        <v>38</v>
      </c>
      <c r="D5753">
        <v>6</v>
      </c>
    </row>
    <row r="5754" spans="1:4" ht="15.75" customHeight="1">
      <c r="A5754" t="s">
        <v>4299</v>
      </c>
      <c r="B5754" t="s">
        <v>36</v>
      </c>
      <c r="C5754" t="s">
        <v>38</v>
      </c>
      <c r="D5754">
        <v>5</v>
      </c>
    </row>
    <row r="5755" spans="1:4" ht="15.75" customHeight="1">
      <c r="A5755" t="s">
        <v>1156</v>
      </c>
      <c r="B5755" t="s">
        <v>36</v>
      </c>
      <c r="C5755" t="s">
        <v>38</v>
      </c>
      <c r="D5755">
        <v>5</v>
      </c>
    </row>
    <row r="5756" spans="1:4" ht="15.75" customHeight="1">
      <c r="A5756" t="s">
        <v>1137</v>
      </c>
      <c r="B5756" t="s">
        <v>36</v>
      </c>
      <c r="C5756" t="s">
        <v>38</v>
      </c>
      <c r="D5756">
        <v>5</v>
      </c>
    </row>
    <row r="5757" spans="1:4" ht="15.75" customHeight="1">
      <c r="A5757" t="s">
        <v>3101</v>
      </c>
      <c r="B5757" t="s">
        <v>36</v>
      </c>
      <c r="C5757" t="s">
        <v>38</v>
      </c>
      <c r="D5757">
        <v>5</v>
      </c>
    </row>
    <row r="5758" spans="1:4" ht="15.75" customHeight="1">
      <c r="A5758" t="s">
        <v>324</v>
      </c>
      <c r="B5758" t="s">
        <v>36</v>
      </c>
      <c r="C5758" t="s">
        <v>38</v>
      </c>
      <c r="D5758">
        <v>5</v>
      </c>
    </row>
    <row r="5759" spans="1:4" ht="15.75" customHeight="1">
      <c r="A5759" t="s">
        <v>3568</v>
      </c>
      <c r="B5759" t="s">
        <v>36</v>
      </c>
      <c r="C5759" t="s">
        <v>38</v>
      </c>
      <c r="D5759">
        <v>5</v>
      </c>
    </row>
    <row r="5760" spans="1:4" ht="15.75" customHeight="1">
      <c r="A5760" t="s">
        <v>2087</v>
      </c>
      <c r="B5760" t="s">
        <v>36</v>
      </c>
      <c r="C5760" t="s">
        <v>38</v>
      </c>
      <c r="D5760">
        <v>5</v>
      </c>
    </row>
    <row r="5761" spans="1:4" ht="15.75" customHeight="1">
      <c r="A5761" t="s">
        <v>3539</v>
      </c>
      <c r="B5761" t="s">
        <v>36</v>
      </c>
      <c r="C5761" t="s">
        <v>38</v>
      </c>
      <c r="D5761">
        <v>4</v>
      </c>
    </row>
    <row r="5762" spans="1:4" ht="15.75" customHeight="1">
      <c r="A5762" t="s">
        <v>3976</v>
      </c>
      <c r="B5762" t="s">
        <v>36</v>
      </c>
      <c r="C5762" t="s">
        <v>38</v>
      </c>
      <c r="D5762">
        <v>4</v>
      </c>
    </row>
    <row r="5763" spans="1:4" ht="15.75" customHeight="1">
      <c r="A5763" t="s">
        <v>1142</v>
      </c>
      <c r="B5763" t="s">
        <v>36</v>
      </c>
      <c r="C5763" t="s">
        <v>38</v>
      </c>
      <c r="D5763">
        <v>4</v>
      </c>
    </row>
    <row r="5764" spans="1:4" ht="15.75" customHeight="1">
      <c r="A5764" t="s">
        <v>1185</v>
      </c>
      <c r="B5764" t="s">
        <v>36</v>
      </c>
      <c r="C5764" t="s">
        <v>38</v>
      </c>
      <c r="D5764">
        <v>4</v>
      </c>
    </row>
    <row r="5765" spans="1:4" ht="15.75" customHeight="1">
      <c r="A5765" t="s">
        <v>1209</v>
      </c>
      <c r="B5765" t="s">
        <v>36</v>
      </c>
      <c r="C5765" t="s">
        <v>38</v>
      </c>
      <c r="D5765">
        <v>4</v>
      </c>
    </row>
    <row r="5766" spans="1:4" ht="15.75" customHeight="1">
      <c r="A5766" t="s">
        <v>1186</v>
      </c>
      <c r="B5766" t="s">
        <v>36</v>
      </c>
      <c r="C5766" t="s">
        <v>38</v>
      </c>
      <c r="D5766">
        <v>4</v>
      </c>
    </row>
    <row r="5767" spans="1:4" ht="15.75" customHeight="1">
      <c r="A5767" t="s">
        <v>4700</v>
      </c>
      <c r="B5767" t="s">
        <v>36</v>
      </c>
      <c r="C5767" t="s">
        <v>38</v>
      </c>
      <c r="D5767">
        <v>4</v>
      </c>
    </row>
    <row r="5768" spans="1:4" ht="15.75" customHeight="1">
      <c r="A5768" t="s">
        <v>314</v>
      </c>
      <c r="B5768" t="s">
        <v>36</v>
      </c>
      <c r="C5768" t="s">
        <v>38</v>
      </c>
      <c r="D5768">
        <v>3</v>
      </c>
    </row>
    <row r="5769" spans="1:4" ht="15.75" customHeight="1">
      <c r="A5769" t="s">
        <v>1144</v>
      </c>
      <c r="B5769" t="s">
        <v>36</v>
      </c>
      <c r="C5769" t="s">
        <v>38</v>
      </c>
      <c r="D5769">
        <v>3</v>
      </c>
    </row>
    <row r="5770" spans="1:4" ht="15.75" customHeight="1">
      <c r="A5770" t="s">
        <v>1187</v>
      </c>
      <c r="B5770" t="s">
        <v>36</v>
      </c>
      <c r="C5770" t="s">
        <v>38</v>
      </c>
      <c r="D5770">
        <v>3</v>
      </c>
    </row>
    <row r="5771" spans="1:4" ht="15.75" customHeight="1">
      <c r="A5771" t="s">
        <v>3517</v>
      </c>
      <c r="B5771" t="s">
        <v>36</v>
      </c>
      <c r="C5771" t="s">
        <v>38</v>
      </c>
      <c r="D5771">
        <v>2</v>
      </c>
    </row>
    <row r="5772" spans="1:4" ht="15.75" customHeight="1">
      <c r="A5772" t="s">
        <v>1146</v>
      </c>
      <c r="B5772" t="s">
        <v>36</v>
      </c>
      <c r="C5772" t="s">
        <v>38</v>
      </c>
      <c r="D5772">
        <v>2</v>
      </c>
    </row>
    <row r="5773" spans="1:4" ht="15.75" customHeight="1">
      <c r="A5773" t="s">
        <v>3561</v>
      </c>
      <c r="B5773" t="s">
        <v>36</v>
      </c>
      <c r="C5773" t="s">
        <v>38</v>
      </c>
      <c r="D5773">
        <v>2</v>
      </c>
    </row>
    <row r="5774" spans="1:4" ht="15.75" customHeight="1">
      <c r="A5774" t="s">
        <v>4664</v>
      </c>
      <c r="B5774" t="s">
        <v>36</v>
      </c>
      <c r="C5774" t="s">
        <v>38</v>
      </c>
      <c r="D5774">
        <v>2</v>
      </c>
    </row>
    <row r="5775" spans="1:4" ht="15.75" customHeight="1">
      <c r="A5775" t="s">
        <v>397</v>
      </c>
      <c r="B5775" t="s">
        <v>36</v>
      </c>
      <c r="C5775" t="s">
        <v>38</v>
      </c>
      <c r="D5775">
        <v>1</v>
      </c>
    </row>
    <row r="5776" spans="1:4" ht="15.75" customHeight="1">
      <c r="A5776" t="s">
        <v>4687</v>
      </c>
      <c r="B5776" t="s">
        <v>36</v>
      </c>
      <c r="C5776" t="s">
        <v>38</v>
      </c>
      <c r="D5776">
        <v>1</v>
      </c>
    </row>
    <row r="5777" spans="1:4" ht="15.75" customHeight="1">
      <c r="A5777" t="s">
        <v>352</v>
      </c>
      <c r="B5777" t="s">
        <v>36</v>
      </c>
      <c r="C5777" t="s">
        <v>37</v>
      </c>
      <c r="D5777">
        <v>373</v>
      </c>
    </row>
    <row r="5778" spans="1:4" ht="15.75" customHeight="1">
      <c r="A5778" t="s">
        <v>369</v>
      </c>
      <c r="B5778" t="s">
        <v>36</v>
      </c>
      <c r="C5778" t="s">
        <v>37</v>
      </c>
      <c r="D5778">
        <v>358</v>
      </c>
    </row>
    <row r="5779" spans="1:4" ht="15.75" customHeight="1">
      <c r="A5779" t="s">
        <v>358</v>
      </c>
      <c r="B5779" t="s">
        <v>36</v>
      </c>
      <c r="C5779" t="s">
        <v>37</v>
      </c>
      <c r="D5779">
        <v>358</v>
      </c>
    </row>
    <row r="5780" spans="1:4" ht="15.75" customHeight="1">
      <c r="A5780" t="s">
        <v>340</v>
      </c>
      <c r="B5780" t="s">
        <v>36</v>
      </c>
      <c r="C5780" t="s">
        <v>37</v>
      </c>
      <c r="D5780">
        <v>357</v>
      </c>
    </row>
    <row r="5781" spans="1:4" ht="15.75" customHeight="1">
      <c r="A5781" t="s">
        <v>318</v>
      </c>
      <c r="B5781" t="s">
        <v>36</v>
      </c>
      <c r="C5781" t="s">
        <v>37</v>
      </c>
      <c r="D5781">
        <v>351</v>
      </c>
    </row>
    <row r="5782" spans="1:4" ht="15.75" customHeight="1">
      <c r="A5782" t="s">
        <v>3974</v>
      </c>
      <c r="B5782" t="s">
        <v>36</v>
      </c>
      <c r="C5782" t="s">
        <v>37</v>
      </c>
      <c r="D5782">
        <v>349</v>
      </c>
    </row>
    <row r="5783" spans="1:4" ht="15.75" customHeight="1">
      <c r="A5783" t="s">
        <v>1184</v>
      </c>
      <c r="B5783" t="s">
        <v>36</v>
      </c>
      <c r="C5783" t="s">
        <v>37</v>
      </c>
      <c r="D5783">
        <v>347</v>
      </c>
    </row>
    <row r="5784" spans="1:4" ht="15.75" customHeight="1">
      <c r="A5784" t="s">
        <v>1188</v>
      </c>
      <c r="B5784" t="s">
        <v>36</v>
      </c>
      <c r="C5784" t="s">
        <v>37</v>
      </c>
      <c r="D5784">
        <v>346</v>
      </c>
    </row>
    <row r="5785" spans="1:4" ht="15.75" customHeight="1">
      <c r="A5785" t="s">
        <v>329</v>
      </c>
      <c r="B5785" t="s">
        <v>36</v>
      </c>
      <c r="C5785" t="s">
        <v>37</v>
      </c>
      <c r="D5785">
        <v>339</v>
      </c>
    </row>
    <row r="5786" spans="1:4" ht="15.75" customHeight="1">
      <c r="A5786" t="s">
        <v>2062</v>
      </c>
      <c r="B5786" t="s">
        <v>36</v>
      </c>
      <c r="C5786" t="s">
        <v>37</v>
      </c>
      <c r="D5786">
        <v>338</v>
      </c>
    </row>
    <row r="5787" spans="1:4" ht="15.75" customHeight="1">
      <c r="A5787" t="s">
        <v>2556</v>
      </c>
      <c r="B5787" t="s">
        <v>36</v>
      </c>
      <c r="C5787" t="s">
        <v>37</v>
      </c>
      <c r="D5787">
        <v>336</v>
      </c>
    </row>
    <row r="5788" spans="1:4" ht="15.75" customHeight="1">
      <c r="A5788" t="s">
        <v>2603</v>
      </c>
      <c r="B5788" t="s">
        <v>36</v>
      </c>
      <c r="C5788" t="s">
        <v>37</v>
      </c>
      <c r="D5788">
        <v>335</v>
      </c>
    </row>
    <row r="5789" spans="1:4" ht="15.75" customHeight="1">
      <c r="A5789" t="s">
        <v>392</v>
      </c>
      <c r="B5789" t="s">
        <v>36</v>
      </c>
      <c r="C5789" t="s">
        <v>37</v>
      </c>
      <c r="D5789">
        <v>335</v>
      </c>
    </row>
    <row r="5790" spans="1:4" ht="15.75" customHeight="1">
      <c r="A5790" t="s">
        <v>1191</v>
      </c>
      <c r="B5790" t="s">
        <v>36</v>
      </c>
      <c r="C5790" t="s">
        <v>37</v>
      </c>
      <c r="D5790">
        <v>335</v>
      </c>
    </row>
    <row r="5791" spans="1:4" ht="15.75" customHeight="1">
      <c r="A5791" t="s">
        <v>390</v>
      </c>
      <c r="B5791" t="s">
        <v>36</v>
      </c>
      <c r="C5791" t="s">
        <v>37</v>
      </c>
      <c r="D5791">
        <v>335</v>
      </c>
    </row>
    <row r="5792" spans="1:4" ht="15.75" customHeight="1">
      <c r="A5792" t="s">
        <v>1199</v>
      </c>
      <c r="B5792" t="s">
        <v>36</v>
      </c>
      <c r="C5792" t="s">
        <v>37</v>
      </c>
      <c r="D5792">
        <v>333</v>
      </c>
    </row>
    <row r="5793" spans="1:4" ht="15.75" customHeight="1">
      <c r="A5793" t="s">
        <v>335</v>
      </c>
      <c r="B5793" t="s">
        <v>36</v>
      </c>
      <c r="C5793" t="s">
        <v>37</v>
      </c>
      <c r="D5793">
        <v>331</v>
      </c>
    </row>
    <row r="5794" spans="1:4" ht="15.75" customHeight="1">
      <c r="A5794" t="s">
        <v>383</v>
      </c>
      <c r="B5794" t="s">
        <v>36</v>
      </c>
      <c r="C5794" t="s">
        <v>37</v>
      </c>
      <c r="D5794">
        <v>330</v>
      </c>
    </row>
    <row r="5795" spans="1:4" ht="15.75" customHeight="1">
      <c r="A5795" t="s">
        <v>1140</v>
      </c>
      <c r="B5795" t="s">
        <v>36</v>
      </c>
      <c r="C5795" t="s">
        <v>37</v>
      </c>
      <c r="D5795">
        <v>329</v>
      </c>
    </row>
    <row r="5796" spans="1:4" ht="15.75" customHeight="1">
      <c r="A5796" t="s">
        <v>2647</v>
      </c>
      <c r="B5796" t="s">
        <v>36</v>
      </c>
      <c r="C5796" t="s">
        <v>37</v>
      </c>
      <c r="D5796">
        <v>327</v>
      </c>
    </row>
    <row r="5797" spans="1:4" ht="15.75" customHeight="1">
      <c r="A5797" t="s">
        <v>381</v>
      </c>
      <c r="B5797" t="s">
        <v>36</v>
      </c>
      <c r="C5797" t="s">
        <v>37</v>
      </c>
      <c r="D5797">
        <v>327</v>
      </c>
    </row>
    <row r="5798" spans="1:4" ht="15.75" customHeight="1">
      <c r="A5798" t="s">
        <v>3522</v>
      </c>
      <c r="B5798" t="s">
        <v>36</v>
      </c>
      <c r="C5798" t="s">
        <v>37</v>
      </c>
      <c r="D5798">
        <v>326</v>
      </c>
    </row>
    <row r="5799" spans="1:4" ht="15.75" customHeight="1">
      <c r="A5799" t="s">
        <v>391</v>
      </c>
      <c r="B5799" t="s">
        <v>36</v>
      </c>
      <c r="C5799" t="s">
        <v>37</v>
      </c>
      <c r="D5799">
        <v>326</v>
      </c>
    </row>
    <row r="5800" spans="1:4" ht="15.75" customHeight="1">
      <c r="A5800" t="s">
        <v>427</v>
      </c>
      <c r="B5800" t="s">
        <v>36</v>
      </c>
      <c r="C5800" t="s">
        <v>37</v>
      </c>
      <c r="D5800">
        <v>325</v>
      </c>
    </row>
    <row r="5801" spans="1:4" ht="15.75" customHeight="1">
      <c r="A5801" t="s">
        <v>405</v>
      </c>
      <c r="B5801" t="s">
        <v>36</v>
      </c>
      <c r="C5801" t="s">
        <v>37</v>
      </c>
      <c r="D5801">
        <v>325</v>
      </c>
    </row>
    <row r="5802" spans="1:4" ht="15.75" customHeight="1">
      <c r="A5802" t="s">
        <v>399</v>
      </c>
      <c r="B5802" t="s">
        <v>36</v>
      </c>
      <c r="C5802" t="s">
        <v>37</v>
      </c>
      <c r="D5802">
        <v>325</v>
      </c>
    </row>
    <row r="5803" spans="1:4" ht="15.75" customHeight="1">
      <c r="A5803" t="s">
        <v>1169</v>
      </c>
      <c r="B5803" t="s">
        <v>36</v>
      </c>
      <c r="C5803" t="s">
        <v>37</v>
      </c>
      <c r="D5803">
        <v>324</v>
      </c>
    </row>
    <row r="5804" spans="1:4" ht="15.75" customHeight="1">
      <c r="A5804" t="s">
        <v>400</v>
      </c>
      <c r="B5804" t="s">
        <v>36</v>
      </c>
      <c r="C5804" t="s">
        <v>37</v>
      </c>
      <c r="D5804">
        <v>323</v>
      </c>
    </row>
    <row r="5805" spans="1:4" ht="15.75" customHeight="1">
      <c r="A5805" t="s">
        <v>366</v>
      </c>
      <c r="B5805" t="s">
        <v>36</v>
      </c>
      <c r="C5805" t="s">
        <v>37</v>
      </c>
      <c r="D5805">
        <v>322</v>
      </c>
    </row>
    <row r="5806" spans="1:4" ht="15.75" customHeight="1">
      <c r="A5806" t="s">
        <v>1117</v>
      </c>
      <c r="B5806" t="s">
        <v>36</v>
      </c>
      <c r="C5806" t="s">
        <v>37</v>
      </c>
      <c r="D5806">
        <v>322</v>
      </c>
    </row>
    <row r="5807" spans="1:4" ht="15.75" customHeight="1">
      <c r="A5807" t="s">
        <v>4310</v>
      </c>
      <c r="B5807" t="s">
        <v>36</v>
      </c>
      <c r="C5807" t="s">
        <v>37</v>
      </c>
      <c r="D5807">
        <v>321</v>
      </c>
    </row>
    <row r="5808" spans="1:4" ht="15.75" customHeight="1">
      <c r="A5808" t="s">
        <v>403</v>
      </c>
      <c r="B5808" t="s">
        <v>36</v>
      </c>
      <c r="C5808" t="s">
        <v>37</v>
      </c>
      <c r="D5808">
        <v>319</v>
      </c>
    </row>
    <row r="5809" spans="1:4" ht="15.75" customHeight="1">
      <c r="A5809" t="s">
        <v>1969</v>
      </c>
      <c r="B5809" t="s">
        <v>36</v>
      </c>
      <c r="C5809" t="s">
        <v>37</v>
      </c>
      <c r="D5809">
        <v>316</v>
      </c>
    </row>
    <row r="5810" spans="1:4" ht="15.75" customHeight="1">
      <c r="A5810" t="s">
        <v>3059</v>
      </c>
      <c r="B5810" t="s">
        <v>36</v>
      </c>
      <c r="C5810" t="s">
        <v>37</v>
      </c>
      <c r="D5810">
        <v>315</v>
      </c>
    </row>
    <row r="5811" spans="1:4" ht="15.75" customHeight="1">
      <c r="A5811" t="s">
        <v>328</v>
      </c>
      <c r="B5811" t="s">
        <v>36</v>
      </c>
      <c r="C5811" t="s">
        <v>37</v>
      </c>
      <c r="D5811">
        <v>315</v>
      </c>
    </row>
    <row r="5812" spans="1:4" ht="15.75" customHeight="1">
      <c r="A5812" t="s">
        <v>3990</v>
      </c>
      <c r="B5812" t="s">
        <v>36</v>
      </c>
      <c r="C5812" t="s">
        <v>37</v>
      </c>
      <c r="D5812">
        <v>314</v>
      </c>
    </row>
    <row r="5813" spans="1:4" ht="15.75" customHeight="1">
      <c r="A5813" t="s">
        <v>2581</v>
      </c>
      <c r="B5813" t="s">
        <v>36</v>
      </c>
      <c r="C5813" t="s">
        <v>37</v>
      </c>
      <c r="D5813">
        <v>314</v>
      </c>
    </row>
    <row r="5814" spans="1:4" ht="15.75" customHeight="1">
      <c r="A5814" t="s">
        <v>423</v>
      </c>
      <c r="B5814" t="s">
        <v>36</v>
      </c>
      <c r="C5814" t="s">
        <v>37</v>
      </c>
      <c r="D5814">
        <v>313</v>
      </c>
    </row>
    <row r="5815" spans="1:4" ht="15.75" customHeight="1">
      <c r="A5815" t="s">
        <v>413</v>
      </c>
      <c r="B5815" t="s">
        <v>36</v>
      </c>
      <c r="C5815" t="s">
        <v>37</v>
      </c>
      <c r="D5815">
        <v>313</v>
      </c>
    </row>
    <row r="5816" spans="1:4" ht="15.75" customHeight="1">
      <c r="A5816" t="s">
        <v>1668</v>
      </c>
      <c r="B5816" t="s">
        <v>36</v>
      </c>
      <c r="C5816" t="s">
        <v>37</v>
      </c>
      <c r="D5816">
        <v>313</v>
      </c>
    </row>
    <row r="5817" spans="1:4" ht="15.75" customHeight="1">
      <c r="A5817" t="s">
        <v>3981</v>
      </c>
      <c r="B5817" t="s">
        <v>36</v>
      </c>
      <c r="C5817" t="s">
        <v>37</v>
      </c>
      <c r="D5817">
        <v>312</v>
      </c>
    </row>
    <row r="5818" spans="1:4" ht="15.75" customHeight="1">
      <c r="A5818" t="s">
        <v>1173</v>
      </c>
      <c r="B5818" t="s">
        <v>36</v>
      </c>
      <c r="C5818" t="s">
        <v>37</v>
      </c>
      <c r="D5818">
        <v>312</v>
      </c>
    </row>
    <row r="5819" spans="1:4" ht="15.75" customHeight="1">
      <c r="A5819" t="s">
        <v>4696</v>
      </c>
      <c r="B5819" t="s">
        <v>36</v>
      </c>
      <c r="C5819" t="s">
        <v>37</v>
      </c>
      <c r="D5819">
        <v>309</v>
      </c>
    </row>
    <row r="5820" spans="1:4" ht="15.75" customHeight="1">
      <c r="A5820" t="s">
        <v>1148</v>
      </c>
      <c r="B5820" t="s">
        <v>36</v>
      </c>
      <c r="C5820" t="s">
        <v>37</v>
      </c>
      <c r="D5820">
        <v>308</v>
      </c>
    </row>
    <row r="5821" spans="1:4" ht="15.75" customHeight="1">
      <c r="A5821" t="s">
        <v>2639</v>
      </c>
      <c r="B5821" t="s">
        <v>36</v>
      </c>
      <c r="C5821" t="s">
        <v>37</v>
      </c>
      <c r="D5821">
        <v>308</v>
      </c>
    </row>
    <row r="5822" spans="1:4" ht="15.75" customHeight="1">
      <c r="A5822" t="s">
        <v>3518</v>
      </c>
      <c r="B5822" t="s">
        <v>36</v>
      </c>
      <c r="C5822" t="s">
        <v>37</v>
      </c>
      <c r="D5822">
        <v>307</v>
      </c>
    </row>
    <row r="5823" spans="1:4" ht="15.75" customHeight="1">
      <c r="A5823" t="s">
        <v>2046</v>
      </c>
      <c r="B5823" t="s">
        <v>36</v>
      </c>
      <c r="C5823" t="s">
        <v>37</v>
      </c>
      <c r="D5823">
        <v>307</v>
      </c>
    </row>
    <row r="5824" spans="1:4" ht="15.75" customHeight="1">
      <c r="A5824" t="s">
        <v>3106</v>
      </c>
      <c r="B5824" t="s">
        <v>36</v>
      </c>
      <c r="C5824" t="s">
        <v>37</v>
      </c>
      <c r="D5824">
        <v>307</v>
      </c>
    </row>
    <row r="5825" spans="1:4" ht="15.75" customHeight="1">
      <c r="A5825" t="s">
        <v>2010</v>
      </c>
      <c r="B5825" t="s">
        <v>36</v>
      </c>
      <c r="C5825" t="s">
        <v>37</v>
      </c>
      <c r="D5825">
        <v>306</v>
      </c>
    </row>
    <row r="5826" spans="1:4" ht="15.75" customHeight="1">
      <c r="A5826" t="s">
        <v>3125</v>
      </c>
      <c r="B5826" t="s">
        <v>36</v>
      </c>
      <c r="C5826" t="s">
        <v>37</v>
      </c>
      <c r="D5826">
        <v>306</v>
      </c>
    </row>
    <row r="5827" spans="1:4" ht="15.75" customHeight="1">
      <c r="A5827" t="s">
        <v>2576</v>
      </c>
      <c r="B5827" t="s">
        <v>36</v>
      </c>
      <c r="C5827" t="s">
        <v>37</v>
      </c>
      <c r="D5827">
        <v>305</v>
      </c>
    </row>
    <row r="5828" spans="1:4" ht="15.75" customHeight="1">
      <c r="A5828" t="s">
        <v>4002</v>
      </c>
      <c r="B5828" t="s">
        <v>36</v>
      </c>
      <c r="C5828" t="s">
        <v>37</v>
      </c>
      <c r="D5828">
        <v>302</v>
      </c>
    </row>
    <row r="5829" spans="1:4" ht="15.75" customHeight="1">
      <c r="A5829" t="s">
        <v>4666</v>
      </c>
      <c r="B5829" t="s">
        <v>36</v>
      </c>
      <c r="C5829" t="s">
        <v>37</v>
      </c>
      <c r="D5829">
        <v>302</v>
      </c>
    </row>
    <row r="5830" spans="1:4" ht="15.75" customHeight="1">
      <c r="A5830" t="s">
        <v>2080</v>
      </c>
      <c r="B5830" t="s">
        <v>36</v>
      </c>
      <c r="C5830" t="s">
        <v>37</v>
      </c>
      <c r="D5830">
        <v>301</v>
      </c>
    </row>
    <row r="5831" spans="1:4" ht="15.75" customHeight="1">
      <c r="A5831" t="s">
        <v>3056</v>
      </c>
      <c r="B5831" t="s">
        <v>36</v>
      </c>
      <c r="C5831" t="s">
        <v>37</v>
      </c>
      <c r="D5831">
        <v>301</v>
      </c>
    </row>
    <row r="5832" spans="1:4" ht="15.75" customHeight="1">
      <c r="A5832" t="s">
        <v>1135</v>
      </c>
      <c r="B5832" t="s">
        <v>36</v>
      </c>
      <c r="C5832" t="s">
        <v>37</v>
      </c>
      <c r="D5832">
        <v>301</v>
      </c>
    </row>
    <row r="5833" spans="1:4" ht="15.75" customHeight="1">
      <c r="A5833" t="s">
        <v>2582</v>
      </c>
      <c r="B5833" t="s">
        <v>36</v>
      </c>
      <c r="C5833" t="s">
        <v>37</v>
      </c>
      <c r="D5833">
        <v>301</v>
      </c>
    </row>
    <row r="5834" spans="1:4" ht="15.75" customHeight="1">
      <c r="A5834" t="s">
        <v>414</v>
      </c>
      <c r="B5834" t="s">
        <v>36</v>
      </c>
      <c r="C5834" t="s">
        <v>37</v>
      </c>
      <c r="D5834">
        <v>300</v>
      </c>
    </row>
    <row r="5835" spans="1:4" ht="15.75" customHeight="1">
      <c r="A5835" t="s">
        <v>1220</v>
      </c>
      <c r="B5835" t="s">
        <v>36</v>
      </c>
      <c r="C5835" t="s">
        <v>37</v>
      </c>
      <c r="D5835">
        <v>298</v>
      </c>
    </row>
    <row r="5836" spans="1:4" ht="15.75" customHeight="1">
      <c r="A5836" t="s">
        <v>1154</v>
      </c>
      <c r="B5836" t="s">
        <v>36</v>
      </c>
      <c r="C5836" t="s">
        <v>37</v>
      </c>
      <c r="D5836">
        <v>297</v>
      </c>
    </row>
    <row r="5837" spans="1:4" ht="15.75" customHeight="1">
      <c r="A5837" t="s">
        <v>1214</v>
      </c>
      <c r="B5837" t="s">
        <v>36</v>
      </c>
      <c r="C5837" t="s">
        <v>37</v>
      </c>
      <c r="D5837">
        <v>296</v>
      </c>
    </row>
    <row r="5838" spans="1:4" ht="15.75" customHeight="1">
      <c r="A5838" t="s">
        <v>416</v>
      </c>
      <c r="B5838" t="s">
        <v>36</v>
      </c>
      <c r="C5838" t="s">
        <v>37</v>
      </c>
      <c r="D5838">
        <v>295</v>
      </c>
    </row>
    <row r="5839" spans="1:4" ht="15.75" customHeight="1">
      <c r="A5839" t="s">
        <v>363</v>
      </c>
      <c r="B5839" t="s">
        <v>36</v>
      </c>
      <c r="C5839" t="s">
        <v>37</v>
      </c>
      <c r="D5839">
        <v>295</v>
      </c>
    </row>
    <row r="5840" spans="1:4" ht="15.75" customHeight="1">
      <c r="A5840" t="s">
        <v>971</v>
      </c>
      <c r="B5840" t="s">
        <v>36</v>
      </c>
      <c r="C5840" t="s">
        <v>37</v>
      </c>
      <c r="D5840">
        <v>295</v>
      </c>
    </row>
    <row r="5841" spans="1:4" ht="15.75" customHeight="1">
      <c r="A5841" t="s">
        <v>429</v>
      </c>
      <c r="B5841" t="s">
        <v>36</v>
      </c>
      <c r="C5841" t="s">
        <v>37</v>
      </c>
      <c r="D5841">
        <v>295</v>
      </c>
    </row>
    <row r="5842" spans="1:4" ht="15.75" customHeight="1">
      <c r="A5842" t="s">
        <v>4706</v>
      </c>
      <c r="B5842" t="s">
        <v>36</v>
      </c>
      <c r="C5842" t="s">
        <v>37</v>
      </c>
      <c r="D5842">
        <v>292</v>
      </c>
    </row>
    <row r="5843" spans="1:4" ht="15.75" customHeight="1">
      <c r="A5843" t="s">
        <v>425</v>
      </c>
      <c r="B5843" t="s">
        <v>36</v>
      </c>
      <c r="C5843" t="s">
        <v>37</v>
      </c>
      <c r="D5843">
        <v>291</v>
      </c>
    </row>
    <row r="5844" spans="1:4" ht="15.75" customHeight="1">
      <c r="A5844" t="s">
        <v>1649</v>
      </c>
      <c r="B5844" t="s">
        <v>36</v>
      </c>
      <c r="C5844" t="s">
        <v>37</v>
      </c>
      <c r="D5844">
        <v>290</v>
      </c>
    </row>
    <row r="5845" spans="1:4" ht="15.75" customHeight="1">
      <c r="A5845" t="s">
        <v>3116</v>
      </c>
      <c r="B5845" t="s">
        <v>36</v>
      </c>
      <c r="C5845" t="s">
        <v>37</v>
      </c>
      <c r="D5845">
        <v>290</v>
      </c>
    </row>
    <row r="5846" spans="1:4" ht="15.75" customHeight="1">
      <c r="A5846" t="s">
        <v>3121</v>
      </c>
      <c r="B5846" t="s">
        <v>36</v>
      </c>
      <c r="C5846" t="s">
        <v>37</v>
      </c>
      <c r="D5846">
        <v>290</v>
      </c>
    </row>
    <row r="5847" spans="1:4" ht="15.75" customHeight="1">
      <c r="A5847" t="s">
        <v>2646</v>
      </c>
      <c r="B5847" t="s">
        <v>36</v>
      </c>
      <c r="C5847" t="s">
        <v>37</v>
      </c>
      <c r="D5847">
        <v>289</v>
      </c>
    </row>
    <row r="5848" spans="1:4" ht="15.75" customHeight="1">
      <c r="A5848" t="s">
        <v>310</v>
      </c>
      <c r="B5848" t="s">
        <v>36</v>
      </c>
      <c r="C5848" t="s">
        <v>37</v>
      </c>
      <c r="D5848">
        <v>288</v>
      </c>
    </row>
    <row r="5849" spans="1:4" ht="15.75" customHeight="1">
      <c r="A5849" t="s">
        <v>2084</v>
      </c>
      <c r="B5849" t="s">
        <v>36</v>
      </c>
      <c r="C5849" t="s">
        <v>37</v>
      </c>
      <c r="D5849">
        <v>288</v>
      </c>
    </row>
    <row r="5850" spans="1:4" ht="15.75" customHeight="1">
      <c r="A5850" t="s">
        <v>3027</v>
      </c>
      <c r="B5850" t="s">
        <v>36</v>
      </c>
      <c r="C5850" t="s">
        <v>37</v>
      </c>
      <c r="D5850">
        <v>288</v>
      </c>
    </row>
    <row r="5851" spans="1:4" ht="15.75" customHeight="1">
      <c r="A5851" t="s">
        <v>1648</v>
      </c>
      <c r="B5851" t="s">
        <v>36</v>
      </c>
      <c r="C5851" t="s">
        <v>37</v>
      </c>
      <c r="D5851">
        <v>287</v>
      </c>
    </row>
    <row r="5852" spans="1:4" ht="15.75" customHeight="1">
      <c r="A5852" t="s">
        <v>370</v>
      </c>
      <c r="B5852" t="s">
        <v>36</v>
      </c>
      <c r="C5852" t="s">
        <v>37</v>
      </c>
      <c r="D5852">
        <v>286</v>
      </c>
    </row>
    <row r="5853" spans="1:4" ht="15.75" customHeight="1">
      <c r="A5853" t="s">
        <v>1667</v>
      </c>
      <c r="B5853" t="s">
        <v>36</v>
      </c>
      <c r="C5853" t="s">
        <v>37</v>
      </c>
      <c r="D5853">
        <v>286</v>
      </c>
    </row>
    <row r="5854" spans="1:4" ht="15.75" customHeight="1">
      <c r="A5854" t="s">
        <v>301</v>
      </c>
      <c r="B5854" t="s">
        <v>36</v>
      </c>
      <c r="C5854" t="s">
        <v>37</v>
      </c>
      <c r="D5854">
        <v>285</v>
      </c>
    </row>
    <row r="5855" spans="1:4" ht="15.75" customHeight="1">
      <c r="A5855" t="s">
        <v>3999</v>
      </c>
      <c r="B5855" t="s">
        <v>36</v>
      </c>
      <c r="C5855" t="s">
        <v>37</v>
      </c>
      <c r="D5855">
        <v>284</v>
      </c>
    </row>
    <row r="5856" spans="1:4" ht="15.75" customHeight="1">
      <c r="A5856" t="s">
        <v>386</v>
      </c>
      <c r="B5856" t="s">
        <v>36</v>
      </c>
      <c r="C5856" t="s">
        <v>37</v>
      </c>
      <c r="D5856">
        <v>283</v>
      </c>
    </row>
    <row r="5857" spans="1:4" ht="15.75" customHeight="1">
      <c r="A5857" t="s">
        <v>1996</v>
      </c>
      <c r="B5857" t="s">
        <v>36</v>
      </c>
      <c r="C5857" t="s">
        <v>37</v>
      </c>
      <c r="D5857">
        <v>283</v>
      </c>
    </row>
    <row r="5858" spans="1:4" ht="15.75" customHeight="1">
      <c r="A5858" t="s">
        <v>1153</v>
      </c>
      <c r="B5858" t="s">
        <v>36</v>
      </c>
      <c r="C5858" t="s">
        <v>37</v>
      </c>
      <c r="D5858">
        <v>282</v>
      </c>
    </row>
    <row r="5859" spans="1:4" ht="15.75" customHeight="1">
      <c r="A5859" t="s">
        <v>3111</v>
      </c>
      <c r="B5859" t="s">
        <v>36</v>
      </c>
      <c r="C5859" t="s">
        <v>37</v>
      </c>
      <c r="D5859">
        <v>282</v>
      </c>
    </row>
    <row r="5860" spans="1:4" ht="15.75" customHeight="1">
      <c r="A5860" t="s">
        <v>2088</v>
      </c>
      <c r="B5860" t="s">
        <v>36</v>
      </c>
      <c r="C5860" t="s">
        <v>37</v>
      </c>
      <c r="D5860">
        <v>282</v>
      </c>
    </row>
    <row r="5861" spans="1:4" ht="15.75" customHeight="1">
      <c r="A5861" t="s">
        <v>387</v>
      </c>
      <c r="B5861" t="s">
        <v>36</v>
      </c>
      <c r="C5861" t="s">
        <v>37</v>
      </c>
      <c r="D5861">
        <v>281</v>
      </c>
    </row>
    <row r="5862" spans="1:4" ht="15.75" customHeight="1">
      <c r="A5862" t="s">
        <v>3102</v>
      </c>
      <c r="B5862" t="s">
        <v>36</v>
      </c>
      <c r="C5862" t="s">
        <v>37</v>
      </c>
      <c r="D5862">
        <v>281</v>
      </c>
    </row>
    <row r="5863" spans="1:4" ht="15.75" customHeight="1">
      <c r="A5863" t="s">
        <v>3559</v>
      </c>
      <c r="B5863" t="s">
        <v>36</v>
      </c>
      <c r="C5863" t="s">
        <v>37</v>
      </c>
      <c r="D5863">
        <v>281</v>
      </c>
    </row>
    <row r="5864" spans="1:4" ht="15.75" customHeight="1">
      <c r="A5864" t="s">
        <v>1190</v>
      </c>
      <c r="B5864" t="s">
        <v>36</v>
      </c>
      <c r="C5864" t="s">
        <v>37</v>
      </c>
      <c r="D5864">
        <v>281</v>
      </c>
    </row>
    <row r="5865" spans="1:4" ht="15.75" customHeight="1">
      <c r="A5865" t="s">
        <v>1168</v>
      </c>
      <c r="B5865" t="s">
        <v>36</v>
      </c>
      <c r="C5865" t="s">
        <v>37</v>
      </c>
      <c r="D5865">
        <v>280</v>
      </c>
    </row>
    <row r="5866" spans="1:4" ht="15.75" customHeight="1">
      <c r="A5866" t="s">
        <v>2625</v>
      </c>
      <c r="B5866" t="s">
        <v>36</v>
      </c>
      <c r="C5866" t="s">
        <v>37</v>
      </c>
      <c r="D5866">
        <v>280</v>
      </c>
    </row>
    <row r="5867" spans="1:4" ht="15.75" customHeight="1">
      <c r="A5867" t="s">
        <v>402</v>
      </c>
      <c r="B5867" t="s">
        <v>36</v>
      </c>
      <c r="C5867" t="s">
        <v>37</v>
      </c>
      <c r="D5867">
        <v>279</v>
      </c>
    </row>
    <row r="5868" spans="1:4" ht="15.75" customHeight="1">
      <c r="A5868" t="s">
        <v>3122</v>
      </c>
      <c r="B5868" t="s">
        <v>36</v>
      </c>
      <c r="C5868" t="s">
        <v>37</v>
      </c>
      <c r="D5868">
        <v>277</v>
      </c>
    </row>
    <row r="5869" spans="1:4" ht="15.75" customHeight="1">
      <c r="A5869" t="s">
        <v>4707</v>
      </c>
      <c r="B5869" t="s">
        <v>36</v>
      </c>
      <c r="C5869" t="s">
        <v>37</v>
      </c>
      <c r="D5869">
        <v>277</v>
      </c>
    </row>
    <row r="5870" spans="1:4" ht="15.75" customHeight="1">
      <c r="A5870" t="s">
        <v>3479</v>
      </c>
      <c r="B5870" t="s">
        <v>36</v>
      </c>
      <c r="C5870" t="s">
        <v>37</v>
      </c>
      <c r="D5870">
        <v>276</v>
      </c>
    </row>
    <row r="5871" spans="1:4" ht="15.75" customHeight="1">
      <c r="A5871" t="s">
        <v>3995</v>
      </c>
      <c r="B5871" t="s">
        <v>36</v>
      </c>
      <c r="C5871" t="s">
        <v>37</v>
      </c>
      <c r="D5871">
        <v>276</v>
      </c>
    </row>
    <row r="5872" spans="1:4" ht="15.75" customHeight="1">
      <c r="A5872" t="s">
        <v>1673</v>
      </c>
      <c r="B5872" t="s">
        <v>36</v>
      </c>
      <c r="C5872" t="s">
        <v>37</v>
      </c>
      <c r="D5872">
        <v>276</v>
      </c>
    </row>
    <row r="5873" spans="1:4" ht="15.75" customHeight="1">
      <c r="A5873" t="s">
        <v>393</v>
      </c>
      <c r="B5873" t="s">
        <v>36</v>
      </c>
      <c r="C5873" t="s">
        <v>37</v>
      </c>
      <c r="D5873">
        <v>275</v>
      </c>
    </row>
    <row r="5874" spans="1:4" ht="15.75" customHeight="1">
      <c r="A5874" t="s">
        <v>4001</v>
      </c>
      <c r="B5874" t="s">
        <v>36</v>
      </c>
      <c r="C5874" t="s">
        <v>37</v>
      </c>
      <c r="D5874">
        <v>275</v>
      </c>
    </row>
    <row r="5875" spans="1:4" ht="15.75" customHeight="1">
      <c r="A5875" t="s">
        <v>2034</v>
      </c>
      <c r="B5875" t="s">
        <v>36</v>
      </c>
      <c r="C5875" t="s">
        <v>37</v>
      </c>
      <c r="D5875">
        <v>275</v>
      </c>
    </row>
    <row r="5876" spans="1:4" ht="15.75" customHeight="1">
      <c r="A5876" t="s">
        <v>1964</v>
      </c>
      <c r="B5876" t="s">
        <v>36</v>
      </c>
      <c r="C5876" t="s">
        <v>37</v>
      </c>
      <c r="D5876">
        <v>274</v>
      </c>
    </row>
    <row r="5877" spans="1:4" ht="15.75" customHeight="1">
      <c r="A5877" t="s">
        <v>2612</v>
      </c>
      <c r="B5877" t="s">
        <v>36</v>
      </c>
      <c r="C5877" t="s">
        <v>37</v>
      </c>
      <c r="D5877">
        <v>274</v>
      </c>
    </row>
    <row r="5878" spans="1:4" ht="15.75" customHeight="1">
      <c r="A5878" t="s">
        <v>3051</v>
      </c>
      <c r="B5878" t="s">
        <v>36</v>
      </c>
      <c r="C5878" t="s">
        <v>37</v>
      </c>
      <c r="D5878">
        <v>274</v>
      </c>
    </row>
    <row r="5879" spans="1:4" ht="15.75" customHeight="1">
      <c r="A5879" t="s">
        <v>3498</v>
      </c>
      <c r="B5879" t="s">
        <v>36</v>
      </c>
      <c r="C5879" t="s">
        <v>37</v>
      </c>
      <c r="D5879">
        <v>273</v>
      </c>
    </row>
    <row r="5880" spans="1:4" ht="15.75" customHeight="1">
      <c r="A5880" t="s">
        <v>315</v>
      </c>
      <c r="B5880" t="s">
        <v>36</v>
      </c>
      <c r="C5880" t="s">
        <v>37</v>
      </c>
      <c r="D5880">
        <v>273</v>
      </c>
    </row>
    <row r="5881" spans="1:4" ht="15.75" customHeight="1">
      <c r="A5881" t="s">
        <v>2077</v>
      </c>
      <c r="B5881" t="s">
        <v>36</v>
      </c>
      <c r="C5881" t="s">
        <v>37</v>
      </c>
      <c r="D5881">
        <v>273</v>
      </c>
    </row>
    <row r="5882" spans="1:4" ht="15.75" customHeight="1">
      <c r="A5882" t="s">
        <v>2630</v>
      </c>
      <c r="B5882" t="s">
        <v>36</v>
      </c>
      <c r="C5882" t="s">
        <v>37</v>
      </c>
      <c r="D5882">
        <v>273</v>
      </c>
    </row>
    <row r="5883" spans="1:4" ht="15.75" customHeight="1">
      <c r="A5883" t="s">
        <v>4697</v>
      </c>
      <c r="B5883" t="s">
        <v>36</v>
      </c>
      <c r="C5883" t="s">
        <v>37</v>
      </c>
      <c r="D5883">
        <v>271</v>
      </c>
    </row>
    <row r="5884" spans="1:4" ht="15.75" customHeight="1">
      <c r="A5884" t="s">
        <v>2578</v>
      </c>
      <c r="B5884" t="s">
        <v>36</v>
      </c>
      <c r="C5884" t="s">
        <v>37</v>
      </c>
      <c r="D5884">
        <v>271</v>
      </c>
    </row>
    <row r="5885" spans="1:4" ht="15.75" customHeight="1">
      <c r="A5885" t="s">
        <v>4347</v>
      </c>
      <c r="B5885" t="s">
        <v>36</v>
      </c>
      <c r="C5885" t="s">
        <v>37</v>
      </c>
      <c r="D5885">
        <v>271</v>
      </c>
    </row>
    <row r="5886" spans="1:4" ht="15.75" customHeight="1">
      <c r="A5886" t="s">
        <v>401</v>
      </c>
      <c r="B5886" t="s">
        <v>36</v>
      </c>
      <c r="C5886" t="s">
        <v>37</v>
      </c>
      <c r="D5886">
        <v>269</v>
      </c>
    </row>
    <row r="5887" spans="1:4" ht="15.75" customHeight="1">
      <c r="A5887" t="s">
        <v>2645</v>
      </c>
      <c r="B5887" t="s">
        <v>36</v>
      </c>
      <c r="C5887" t="s">
        <v>37</v>
      </c>
      <c r="D5887">
        <v>269</v>
      </c>
    </row>
    <row r="5888" spans="1:4" ht="15.75" customHeight="1">
      <c r="A5888" t="s">
        <v>4328</v>
      </c>
      <c r="B5888" t="s">
        <v>36</v>
      </c>
      <c r="C5888" t="s">
        <v>37</v>
      </c>
      <c r="D5888">
        <v>268</v>
      </c>
    </row>
    <row r="5889" spans="1:4" ht="15.75" customHeight="1">
      <c r="A5889" t="s">
        <v>1983</v>
      </c>
      <c r="B5889" t="s">
        <v>36</v>
      </c>
      <c r="C5889" t="s">
        <v>37</v>
      </c>
      <c r="D5889">
        <v>268</v>
      </c>
    </row>
    <row r="5890" spans="1:4" ht="15.75" customHeight="1">
      <c r="A5890" t="s">
        <v>2618</v>
      </c>
      <c r="B5890" t="s">
        <v>36</v>
      </c>
      <c r="C5890" t="s">
        <v>37</v>
      </c>
      <c r="D5890">
        <v>267</v>
      </c>
    </row>
    <row r="5891" spans="1:4" ht="15.75" customHeight="1">
      <c r="A5891" t="s">
        <v>1675</v>
      </c>
      <c r="B5891" t="s">
        <v>36</v>
      </c>
      <c r="C5891" t="s">
        <v>37</v>
      </c>
      <c r="D5891">
        <v>267</v>
      </c>
    </row>
    <row r="5892" spans="1:4" ht="15.75" customHeight="1">
      <c r="A5892" t="s">
        <v>4302</v>
      </c>
      <c r="B5892" t="s">
        <v>36</v>
      </c>
      <c r="C5892" t="s">
        <v>37</v>
      </c>
      <c r="D5892">
        <v>266</v>
      </c>
    </row>
    <row r="5893" spans="1:4" ht="15.75" customHeight="1">
      <c r="A5893" t="s">
        <v>1213</v>
      </c>
      <c r="B5893" t="s">
        <v>36</v>
      </c>
      <c r="C5893" t="s">
        <v>37</v>
      </c>
      <c r="D5893">
        <v>266</v>
      </c>
    </row>
    <row r="5894" spans="1:4" ht="15.75" customHeight="1">
      <c r="A5894" t="s">
        <v>350</v>
      </c>
      <c r="B5894" t="s">
        <v>36</v>
      </c>
      <c r="C5894" t="s">
        <v>37</v>
      </c>
      <c r="D5894">
        <v>266</v>
      </c>
    </row>
    <row r="5895" spans="1:4" ht="15.75" customHeight="1">
      <c r="A5895" t="s">
        <v>2602</v>
      </c>
      <c r="B5895" t="s">
        <v>36</v>
      </c>
      <c r="C5895" t="s">
        <v>37</v>
      </c>
      <c r="D5895">
        <v>265</v>
      </c>
    </row>
    <row r="5896" spans="1:4" ht="15.75" customHeight="1">
      <c r="A5896" t="s">
        <v>2560</v>
      </c>
      <c r="B5896" t="s">
        <v>36</v>
      </c>
      <c r="C5896" t="s">
        <v>37</v>
      </c>
      <c r="D5896">
        <v>265</v>
      </c>
    </row>
    <row r="5897" spans="1:4" ht="15.75" customHeight="1">
      <c r="A5897" t="s">
        <v>3569</v>
      </c>
      <c r="B5897" t="s">
        <v>36</v>
      </c>
      <c r="C5897" t="s">
        <v>37</v>
      </c>
      <c r="D5897">
        <v>265</v>
      </c>
    </row>
    <row r="5898" spans="1:4" ht="15.75" customHeight="1">
      <c r="A5898" t="s">
        <v>2568</v>
      </c>
      <c r="B5898" t="s">
        <v>36</v>
      </c>
      <c r="C5898" t="s">
        <v>37</v>
      </c>
      <c r="D5898">
        <v>265</v>
      </c>
    </row>
    <row r="5899" spans="1:4" ht="15.75" customHeight="1">
      <c r="A5899" t="s">
        <v>384</v>
      </c>
      <c r="B5899" t="s">
        <v>36</v>
      </c>
      <c r="C5899" t="s">
        <v>37</v>
      </c>
      <c r="D5899">
        <v>264</v>
      </c>
    </row>
    <row r="5900" spans="1:4" ht="15.75" customHeight="1">
      <c r="A5900" t="s">
        <v>3534</v>
      </c>
      <c r="B5900" t="s">
        <v>36</v>
      </c>
      <c r="C5900" t="s">
        <v>37</v>
      </c>
      <c r="D5900">
        <v>263</v>
      </c>
    </row>
    <row r="5901" spans="1:4" ht="15.75" customHeight="1">
      <c r="A5901" t="s">
        <v>4295</v>
      </c>
      <c r="B5901" t="s">
        <v>36</v>
      </c>
      <c r="C5901" t="s">
        <v>37</v>
      </c>
      <c r="D5901">
        <v>262</v>
      </c>
    </row>
    <row r="5902" spans="1:4" ht="15.75" customHeight="1">
      <c r="A5902" t="s">
        <v>3956</v>
      </c>
      <c r="B5902" t="s">
        <v>36</v>
      </c>
      <c r="C5902" t="s">
        <v>37</v>
      </c>
      <c r="D5902">
        <v>262</v>
      </c>
    </row>
    <row r="5903" spans="1:4" ht="15.75" customHeight="1">
      <c r="A5903" t="s">
        <v>398</v>
      </c>
      <c r="B5903" t="s">
        <v>36</v>
      </c>
      <c r="C5903" t="s">
        <v>37</v>
      </c>
      <c r="D5903">
        <v>262</v>
      </c>
    </row>
    <row r="5904" spans="1:4" ht="15.75" customHeight="1">
      <c r="A5904" t="s">
        <v>1162</v>
      </c>
      <c r="B5904" t="s">
        <v>36</v>
      </c>
      <c r="C5904" t="s">
        <v>37</v>
      </c>
      <c r="D5904">
        <v>261</v>
      </c>
    </row>
    <row r="5905" spans="1:4" ht="15.75" customHeight="1">
      <c r="A5905" t="s">
        <v>3100</v>
      </c>
      <c r="B5905" t="s">
        <v>36</v>
      </c>
      <c r="C5905" t="s">
        <v>37</v>
      </c>
      <c r="D5905">
        <v>260</v>
      </c>
    </row>
    <row r="5906" spans="1:4" ht="15.75" customHeight="1">
      <c r="A5906" t="s">
        <v>2585</v>
      </c>
      <c r="B5906" t="s">
        <v>36</v>
      </c>
      <c r="C5906" t="s">
        <v>37</v>
      </c>
      <c r="D5906">
        <v>260</v>
      </c>
    </row>
    <row r="5907" spans="1:4" ht="15.75" customHeight="1">
      <c r="A5907" t="s">
        <v>3957</v>
      </c>
      <c r="B5907" t="s">
        <v>36</v>
      </c>
      <c r="C5907" t="s">
        <v>37</v>
      </c>
      <c r="D5907">
        <v>259</v>
      </c>
    </row>
    <row r="5908" spans="1:4" ht="15.75" customHeight="1">
      <c r="A5908" t="s">
        <v>3483</v>
      </c>
      <c r="B5908" t="s">
        <v>36</v>
      </c>
      <c r="C5908" t="s">
        <v>37</v>
      </c>
      <c r="D5908">
        <v>258</v>
      </c>
    </row>
    <row r="5909" spans="1:4" ht="15.75" customHeight="1">
      <c r="A5909" t="s">
        <v>3998</v>
      </c>
      <c r="B5909" t="s">
        <v>36</v>
      </c>
      <c r="C5909" t="s">
        <v>37</v>
      </c>
      <c r="D5909">
        <v>258</v>
      </c>
    </row>
    <row r="5910" spans="1:4" ht="15.75" customHeight="1">
      <c r="A5910" t="s">
        <v>3954</v>
      </c>
      <c r="B5910" t="s">
        <v>36</v>
      </c>
      <c r="C5910" t="s">
        <v>37</v>
      </c>
      <c r="D5910">
        <v>257</v>
      </c>
    </row>
    <row r="5911" spans="1:4" ht="15.75" customHeight="1">
      <c r="A5911" t="s">
        <v>4003</v>
      </c>
      <c r="B5911" t="s">
        <v>36</v>
      </c>
      <c r="C5911" t="s">
        <v>37</v>
      </c>
      <c r="D5911">
        <v>256</v>
      </c>
    </row>
    <row r="5912" spans="1:4" ht="15.75" customHeight="1">
      <c r="A5912" t="s">
        <v>1642</v>
      </c>
      <c r="B5912" t="s">
        <v>36</v>
      </c>
      <c r="C5912" t="s">
        <v>37</v>
      </c>
      <c r="D5912">
        <v>256</v>
      </c>
    </row>
    <row r="5913" spans="1:4" ht="15.75" customHeight="1">
      <c r="A5913" t="s">
        <v>1181</v>
      </c>
      <c r="B5913" t="s">
        <v>36</v>
      </c>
      <c r="C5913" t="s">
        <v>37</v>
      </c>
      <c r="D5913">
        <v>255</v>
      </c>
    </row>
    <row r="5914" spans="1:4" ht="15.75" customHeight="1">
      <c r="A5914" t="s">
        <v>3105</v>
      </c>
      <c r="B5914" t="s">
        <v>36</v>
      </c>
      <c r="C5914" t="s">
        <v>37</v>
      </c>
      <c r="D5914">
        <v>254</v>
      </c>
    </row>
    <row r="5915" spans="1:4" ht="15.75" customHeight="1">
      <c r="A5915" t="s">
        <v>373</v>
      </c>
      <c r="B5915" t="s">
        <v>36</v>
      </c>
      <c r="C5915" t="s">
        <v>37</v>
      </c>
      <c r="D5915">
        <v>251</v>
      </c>
    </row>
    <row r="5916" spans="1:4" ht="15.75" customHeight="1">
      <c r="A5916" t="s">
        <v>3965</v>
      </c>
      <c r="B5916" t="s">
        <v>36</v>
      </c>
      <c r="C5916" t="s">
        <v>37</v>
      </c>
      <c r="D5916">
        <v>251</v>
      </c>
    </row>
    <row r="5917" spans="1:4" ht="15.75" customHeight="1">
      <c r="A5917" t="s">
        <v>1994</v>
      </c>
      <c r="B5917" t="s">
        <v>36</v>
      </c>
      <c r="C5917" t="s">
        <v>37</v>
      </c>
      <c r="D5917">
        <v>251</v>
      </c>
    </row>
    <row r="5918" spans="1:4" ht="15.75" customHeight="1">
      <c r="A5918" t="s">
        <v>1990</v>
      </c>
      <c r="B5918" t="s">
        <v>36</v>
      </c>
      <c r="C5918" t="s">
        <v>37</v>
      </c>
      <c r="D5918">
        <v>251</v>
      </c>
    </row>
    <row r="5919" spans="1:4" ht="15.75" customHeight="1">
      <c r="A5919" t="s">
        <v>967</v>
      </c>
      <c r="B5919" t="s">
        <v>36</v>
      </c>
      <c r="C5919" t="s">
        <v>37</v>
      </c>
      <c r="D5919">
        <v>250</v>
      </c>
    </row>
    <row r="5920" spans="1:4" ht="15.75" customHeight="1">
      <c r="A5920" t="s">
        <v>3068</v>
      </c>
      <c r="B5920" t="s">
        <v>36</v>
      </c>
      <c r="C5920" t="s">
        <v>37</v>
      </c>
      <c r="D5920">
        <v>250</v>
      </c>
    </row>
    <row r="5921" spans="1:4" ht="15.75" customHeight="1">
      <c r="A5921" t="s">
        <v>2043</v>
      </c>
      <c r="B5921" t="s">
        <v>36</v>
      </c>
      <c r="C5921" t="s">
        <v>37</v>
      </c>
      <c r="D5921">
        <v>250</v>
      </c>
    </row>
    <row r="5922" spans="1:4" ht="15.75" customHeight="1">
      <c r="A5922" t="s">
        <v>3540</v>
      </c>
      <c r="B5922" t="s">
        <v>36</v>
      </c>
      <c r="C5922" t="s">
        <v>37</v>
      </c>
      <c r="D5922">
        <v>249</v>
      </c>
    </row>
    <row r="5923" spans="1:4" ht="15.75" customHeight="1">
      <c r="A5923" t="s">
        <v>4694</v>
      </c>
      <c r="B5923" t="s">
        <v>36</v>
      </c>
      <c r="C5923" t="s">
        <v>37</v>
      </c>
      <c r="D5923">
        <v>249</v>
      </c>
    </row>
    <row r="5924" spans="1:4" ht="15.75" customHeight="1">
      <c r="A5924" t="s">
        <v>1178</v>
      </c>
      <c r="B5924" t="s">
        <v>36</v>
      </c>
      <c r="C5924" t="s">
        <v>37</v>
      </c>
      <c r="D5924">
        <v>248</v>
      </c>
    </row>
    <row r="5925" spans="1:4" ht="15.75" customHeight="1">
      <c r="A5925" t="s">
        <v>2554</v>
      </c>
      <c r="B5925" t="s">
        <v>36</v>
      </c>
      <c r="C5925" t="s">
        <v>37</v>
      </c>
      <c r="D5925">
        <v>248</v>
      </c>
    </row>
    <row r="5926" spans="1:4" ht="15.75" customHeight="1">
      <c r="A5926" t="s">
        <v>1205</v>
      </c>
      <c r="B5926" t="s">
        <v>36</v>
      </c>
      <c r="C5926" t="s">
        <v>37</v>
      </c>
      <c r="D5926">
        <v>247</v>
      </c>
    </row>
    <row r="5927" spans="1:4" ht="15.75" customHeight="1">
      <c r="A5927" t="s">
        <v>4280</v>
      </c>
      <c r="B5927" t="s">
        <v>36</v>
      </c>
      <c r="C5927" t="s">
        <v>37</v>
      </c>
      <c r="D5927">
        <v>247</v>
      </c>
    </row>
    <row r="5928" spans="1:4" ht="15.75" customHeight="1">
      <c r="A5928" t="s">
        <v>417</v>
      </c>
      <c r="B5928" t="s">
        <v>36</v>
      </c>
      <c r="C5928" t="s">
        <v>37</v>
      </c>
      <c r="D5928">
        <v>246</v>
      </c>
    </row>
    <row r="5929" spans="1:4" ht="15.75" customHeight="1">
      <c r="A5929" t="s">
        <v>3120</v>
      </c>
      <c r="B5929" t="s">
        <v>36</v>
      </c>
      <c r="C5929" t="s">
        <v>37</v>
      </c>
      <c r="D5929">
        <v>246</v>
      </c>
    </row>
    <row r="5930" spans="1:4" ht="15.75" customHeight="1">
      <c r="A5930" t="s">
        <v>382</v>
      </c>
      <c r="B5930" t="s">
        <v>36</v>
      </c>
      <c r="C5930" t="s">
        <v>37</v>
      </c>
      <c r="D5930">
        <v>245</v>
      </c>
    </row>
    <row r="5931" spans="1:4" ht="15.75" customHeight="1">
      <c r="A5931" t="s">
        <v>2000</v>
      </c>
      <c r="B5931" t="s">
        <v>36</v>
      </c>
      <c r="C5931" t="s">
        <v>37</v>
      </c>
      <c r="D5931">
        <v>245</v>
      </c>
    </row>
    <row r="5932" spans="1:4" ht="15.75" customHeight="1">
      <c r="A5932" t="s">
        <v>3075</v>
      </c>
      <c r="B5932" t="s">
        <v>36</v>
      </c>
      <c r="C5932" t="s">
        <v>37</v>
      </c>
      <c r="D5932">
        <v>245</v>
      </c>
    </row>
    <row r="5933" spans="1:4" ht="15.75" customHeight="1">
      <c r="A5933" t="s">
        <v>1687</v>
      </c>
      <c r="B5933" t="s">
        <v>36</v>
      </c>
      <c r="C5933" t="s">
        <v>37</v>
      </c>
      <c r="D5933">
        <v>245</v>
      </c>
    </row>
    <row r="5934" spans="1:4" ht="15.75" customHeight="1">
      <c r="A5934" t="s">
        <v>1962</v>
      </c>
      <c r="B5934" t="s">
        <v>36</v>
      </c>
      <c r="C5934" t="s">
        <v>37</v>
      </c>
      <c r="D5934">
        <v>244</v>
      </c>
    </row>
    <row r="5935" spans="1:4" ht="15.75" customHeight="1">
      <c r="A5935" t="s">
        <v>2604</v>
      </c>
      <c r="B5935" t="s">
        <v>36</v>
      </c>
      <c r="C5935" t="s">
        <v>37</v>
      </c>
      <c r="D5935">
        <v>243</v>
      </c>
    </row>
    <row r="5936" spans="1:4" ht="15.75" customHeight="1">
      <c r="A5936" t="s">
        <v>1690</v>
      </c>
      <c r="B5936" t="s">
        <v>36</v>
      </c>
      <c r="C5936" t="s">
        <v>37</v>
      </c>
      <c r="D5936">
        <v>241</v>
      </c>
    </row>
    <row r="5937" spans="1:4" ht="15.75" customHeight="1">
      <c r="A5937" t="s">
        <v>357</v>
      </c>
      <c r="B5937" t="s">
        <v>36</v>
      </c>
      <c r="C5937" t="s">
        <v>37</v>
      </c>
      <c r="D5937">
        <v>240</v>
      </c>
    </row>
    <row r="5938" spans="1:4" ht="15.75" customHeight="1">
      <c r="A5938" t="s">
        <v>4692</v>
      </c>
      <c r="B5938" t="s">
        <v>36</v>
      </c>
      <c r="C5938" t="s">
        <v>37</v>
      </c>
      <c r="D5938">
        <v>239</v>
      </c>
    </row>
    <row r="5939" spans="1:4" ht="15.75" customHeight="1">
      <c r="A5939" t="s">
        <v>2085</v>
      </c>
      <c r="B5939" t="s">
        <v>36</v>
      </c>
      <c r="C5939" t="s">
        <v>37</v>
      </c>
      <c r="D5939">
        <v>239</v>
      </c>
    </row>
    <row r="5940" spans="1:4" ht="15.75" customHeight="1">
      <c r="A5940" t="s">
        <v>1971</v>
      </c>
      <c r="B5940" t="s">
        <v>36</v>
      </c>
      <c r="C5940" t="s">
        <v>37</v>
      </c>
      <c r="D5940">
        <v>239</v>
      </c>
    </row>
    <row r="5941" spans="1:4" ht="15.75" customHeight="1">
      <c r="A5941" t="s">
        <v>428</v>
      </c>
      <c r="B5941" t="s">
        <v>36</v>
      </c>
      <c r="C5941" t="s">
        <v>37</v>
      </c>
      <c r="D5941">
        <v>239</v>
      </c>
    </row>
    <row r="5942" spans="1:4" ht="15.75" customHeight="1">
      <c r="A5942" t="s">
        <v>3085</v>
      </c>
      <c r="B5942" t="s">
        <v>36</v>
      </c>
      <c r="C5942" t="s">
        <v>37</v>
      </c>
      <c r="D5942">
        <v>238</v>
      </c>
    </row>
    <row r="5943" spans="1:4" ht="15.75" customHeight="1">
      <c r="A5943" t="s">
        <v>394</v>
      </c>
      <c r="B5943" t="s">
        <v>36</v>
      </c>
      <c r="C5943" t="s">
        <v>37</v>
      </c>
      <c r="D5943">
        <v>238</v>
      </c>
    </row>
    <row r="5944" spans="1:4" ht="15.75" customHeight="1">
      <c r="A5944" t="s">
        <v>1615</v>
      </c>
      <c r="B5944" t="s">
        <v>36</v>
      </c>
      <c r="C5944" t="s">
        <v>37</v>
      </c>
      <c r="D5944">
        <v>238</v>
      </c>
    </row>
    <row r="5945" spans="1:4" ht="15.75" customHeight="1">
      <c r="A5945" t="s">
        <v>297</v>
      </c>
      <c r="B5945" t="s">
        <v>36</v>
      </c>
      <c r="C5945" t="s">
        <v>37</v>
      </c>
      <c r="D5945">
        <v>238</v>
      </c>
    </row>
    <row r="5946" spans="1:4" ht="15.75" customHeight="1">
      <c r="A5946" t="s">
        <v>3097</v>
      </c>
      <c r="B5946" t="s">
        <v>36</v>
      </c>
      <c r="C5946" t="s">
        <v>37</v>
      </c>
      <c r="D5946">
        <v>237</v>
      </c>
    </row>
    <row r="5947" spans="1:4" ht="15.75" customHeight="1">
      <c r="A5947" t="s">
        <v>2631</v>
      </c>
      <c r="B5947" t="s">
        <v>36</v>
      </c>
      <c r="C5947" t="s">
        <v>37</v>
      </c>
      <c r="D5947">
        <v>237</v>
      </c>
    </row>
    <row r="5948" spans="1:4" ht="15.75" customHeight="1">
      <c r="A5948" t="s">
        <v>1172</v>
      </c>
      <c r="B5948" t="s">
        <v>36</v>
      </c>
      <c r="C5948" t="s">
        <v>37</v>
      </c>
      <c r="D5948">
        <v>236</v>
      </c>
    </row>
    <row r="5949" spans="1:4" ht="15.75" customHeight="1">
      <c r="A5949" t="s">
        <v>1174</v>
      </c>
      <c r="B5949" t="s">
        <v>36</v>
      </c>
      <c r="C5949" t="s">
        <v>37</v>
      </c>
      <c r="D5949">
        <v>236</v>
      </c>
    </row>
    <row r="5950" spans="1:4" ht="15.75" customHeight="1">
      <c r="A5950" t="s">
        <v>2572</v>
      </c>
      <c r="B5950" t="s">
        <v>36</v>
      </c>
      <c r="C5950" t="s">
        <v>37</v>
      </c>
      <c r="D5950">
        <v>235</v>
      </c>
    </row>
    <row r="5951" spans="1:4" ht="15.75" customHeight="1">
      <c r="A5951" t="s">
        <v>1211</v>
      </c>
      <c r="B5951" t="s">
        <v>36</v>
      </c>
      <c r="C5951" t="s">
        <v>37</v>
      </c>
      <c r="D5951">
        <v>235</v>
      </c>
    </row>
    <row r="5952" spans="1:4" ht="15.75" customHeight="1">
      <c r="A5952" t="s">
        <v>308</v>
      </c>
      <c r="B5952" t="s">
        <v>36</v>
      </c>
      <c r="C5952" t="s">
        <v>37</v>
      </c>
      <c r="D5952">
        <v>235</v>
      </c>
    </row>
    <row r="5953" spans="1:4" ht="15.75" customHeight="1">
      <c r="A5953" t="s">
        <v>3050</v>
      </c>
      <c r="B5953" t="s">
        <v>36</v>
      </c>
      <c r="C5953" t="s">
        <v>37</v>
      </c>
      <c r="D5953">
        <v>234</v>
      </c>
    </row>
    <row r="5954" spans="1:4" ht="15.75" customHeight="1">
      <c r="A5954" t="s">
        <v>2628</v>
      </c>
      <c r="B5954" t="s">
        <v>36</v>
      </c>
      <c r="C5954" t="s">
        <v>37</v>
      </c>
      <c r="D5954">
        <v>234</v>
      </c>
    </row>
    <row r="5955" spans="1:4" ht="15.75" customHeight="1">
      <c r="A5955" t="s">
        <v>408</v>
      </c>
      <c r="B5955" t="s">
        <v>36</v>
      </c>
      <c r="C5955" t="s">
        <v>37</v>
      </c>
      <c r="D5955">
        <v>233</v>
      </c>
    </row>
    <row r="5956" spans="1:4" ht="15.75" customHeight="1">
      <c r="A5956" t="s">
        <v>1160</v>
      </c>
      <c r="B5956" t="s">
        <v>36</v>
      </c>
      <c r="C5956" t="s">
        <v>37</v>
      </c>
      <c r="D5956">
        <v>233</v>
      </c>
    </row>
    <row r="5957" spans="1:4" ht="15.75" customHeight="1">
      <c r="A5957" t="s">
        <v>4642</v>
      </c>
      <c r="B5957" t="s">
        <v>36</v>
      </c>
      <c r="C5957" t="s">
        <v>37</v>
      </c>
      <c r="D5957">
        <v>232</v>
      </c>
    </row>
    <row r="5958" spans="1:4" ht="15.75" customHeight="1">
      <c r="A5958" t="s">
        <v>3567</v>
      </c>
      <c r="B5958" t="s">
        <v>36</v>
      </c>
      <c r="C5958" t="s">
        <v>37</v>
      </c>
      <c r="D5958">
        <v>232</v>
      </c>
    </row>
    <row r="5959" spans="1:4" ht="15.75" customHeight="1">
      <c r="A5959" t="s">
        <v>1973</v>
      </c>
      <c r="B5959" t="s">
        <v>36</v>
      </c>
      <c r="C5959" t="s">
        <v>37</v>
      </c>
      <c r="D5959">
        <v>231</v>
      </c>
    </row>
    <row r="5960" spans="1:4" ht="15.75" customHeight="1">
      <c r="A5960" t="s">
        <v>4607</v>
      </c>
      <c r="B5960" t="s">
        <v>36</v>
      </c>
      <c r="C5960" t="s">
        <v>37</v>
      </c>
      <c r="D5960">
        <v>231</v>
      </c>
    </row>
    <row r="5961" spans="1:4" ht="15.75" customHeight="1">
      <c r="A5961" t="s">
        <v>4000</v>
      </c>
      <c r="B5961" t="s">
        <v>36</v>
      </c>
      <c r="C5961" t="s">
        <v>37</v>
      </c>
      <c r="D5961">
        <v>229</v>
      </c>
    </row>
    <row r="5962" spans="1:4" ht="15.75" customHeight="1">
      <c r="A5962" t="s">
        <v>1133</v>
      </c>
      <c r="B5962" t="s">
        <v>36</v>
      </c>
      <c r="C5962" t="s">
        <v>37</v>
      </c>
      <c r="D5962">
        <v>228</v>
      </c>
    </row>
    <row r="5963" spans="1:4" ht="15.75" customHeight="1">
      <c r="A5963" t="s">
        <v>347</v>
      </c>
      <c r="B5963" t="s">
        <v>36</v>
      </c>
      <c r="C5963" t="s">
        <v>37</v>
      </c>
      <c r="D5963">
        <v>228</v>
      </c>
    </row>
    <row r="5964" spans="1:4" ht="15.75" customHeight="1">
      <c r="A5964" t="s">
        <v>1987</v>
      </c>
      <c r="B5964" t="s">
        <v>36</v>
      </c>
      <c r="C5964" t="s">
        <v>37</v>
      </c>
      <c r="D5964">
        <v>228</v>
      </c>
    </row>
    <row r="5965" spans="1:4" ht="15.75" customHeight="1">
      <c r="A5965" t="s">
        <v>4292</v>
      </c>
      <c r="B5965" t="s">
        <v>36</v>
      </c>
      <c r="C5965" t="s">
        <v>37</v>
      </c>
      <c r="D5965">
        <v>228</v>
      </c>
    </row>
    <row r="5966" spans="1:4" ht="15.75" customHeight="1">
      <c r="A5966" t="s">
        <v>348</v>
      </c>
      <c r="B5966" t="s">
        <v>36</v>
      </c>
      <c r="C5966" t="s">
        <v>37</v>
      </c>
      <c r="D5966">
        <v>227</v>
      </c>
    </row>
    <row r="5967" spans="1:4" ht="15.75" customHeight="1">
      <c r="A5967" t="s">
        <v>4301</v>
      </c>
      <c r="B5967" t="s">
        <v>36</v>
      </c>
      <c r="C5967" t="s">
        <v>37</v>
      </c>
      <c r="D5967">
        <v>226</v>
      </c>
    </row>
    <row r="5968" spans="1:4" ht="15.75" customHeight="1">
      <c r="A5968" t="s">
        <v>3948</v>
      </c>
      <c r="B5968" t="s">
        <v>36</v>
      </c>
      <c r="C5968" t="s">
        <v>37</v>
      </c>
      <c r="D5968">
        <v>226</v>
      </c>
    </row>
    <row r="5969" spans="1:4" ht="15.75" customHeight="1">
      <c r="A5969" t="s">
        <v>3994</v>
      </c>
      <c r="B5969" t="s">
        <v>36</v>
      </c>
      <c r="C5969" t="s">
        <v>37</v>
      </c>
      <c r="D5969">
        <v>225</v>
      </c>
    </row>
    <row r="5970" spans="1:4" ht="15.75" customHeight="1">
      <c r="A5970" t="s">
        <v>2629</v>
      </c>
      <c r="B5970" t="s">
        <v>36</v>
      </c>
      <c r="C5970" t="s">
        <v>37</v>
      </c>
      <c r="D5970">
        <v>224</v>
      </c>
    </row>
    <row r="5971" spans="1:4" ht="15.75" customHeight="1">
      <c r="A5971" t="s">
        <v>1195</v>
      </c>
      <c r="B5971" t="s">
        <v>36</v>
      </c>
      <c r="C5971" t="s">
        <v>37</v>
      </c>
      <c r="D5971">
        <v>224</v>
      </c>
    </row>
    <row r="5972" spans="1:4" ht="15.75" customHeight="1">
      <c r="A5972" t="s">
        <v>407</v>
      </c>
      <c r="B5972" t="s">
        <v>36</v>
      </c>
      <c r="C5972" t="s">
        <v>37</v>
      </c>
      <c r="D5972">
        <v>223</v>
      </c>
    </row>
    <row r="5973" spans="1:4" ht="15.75" customHeight="1">
      <c r="A5973" t="s">
        <v>1688</v>
      </c>
      <c r="B5973" t="s">
        <v>36</v>
      </c>
      <c r="C5973" t="s">
        <v>37</v>
      </c>
      <c r="D5973">
        <v>223</v>
      </c>
    </row>
    <row r="5974" spans="1:4" ht="15.75" customHeight="1">
      <c r="A5974" t="s">
        <v>4276</v>
      </c>
      <c r="B5974" t="s">
        <v>36</v>
      </c>
      <c r="C5974" t="s">
        <v>37</v>
      </c>
      <c r="D5974">
        <v>222</v>
      </c>
    </row>
    <row r="5975" spans="1:4" ht="15.75" customHeight="1">
      <c r="A5975" t="s">
        <v>2586</v>
      </c>
      <c r="B5975" t="s">
        <v>36</v>
      </c>
      <c r="C5975" t="s">
        <v>37</v>
      </c>
      <c r="D5975">
        <v>221</v>
      </c>
    </row>
    <row r="5976" spans="1:4" ht="15.75" customHeight="1">
      <c r="A5976" t="s">
        <v>418</v>
      </c>
      <c r="B5976" t="s">
        <v>36</v>
      </c>
      <c r="C5976" t="s">
        <v>37</v>
      </c>
      <c r="D5976">
        <v>221</v>
      </c>
    </row>
    <row r="5977" spans="1:4" ht="15.75" customHeight="1">
      <c r="A5977" t="s">
        <v>3932</v>
      </c>
      <c r="B5977" t="s">
        <v>36</v>
      </c>
      <c r="C5977" t="s">
        <v>37</v>
      </c>
      <c r="D5977">
        <v>220</v>
      </c>
    </row>
    <row r="5978" spans="1:4" ht="15.75" customHeight="1">
      <c r="A5978" t="s">
        <v>3107</v>
      </c>
      <c r="B5978" t="s">
        <v>36</v>
      </c>
      <c r="C5978" t="s">
        <v>37</v>
      </c>
      <c r="D5978">
        <v>220</v>
      </c>
    </row>
    <row r="5979" spans="1:4" ht="15.75" customHeight="1">
      <c r="A5979" t="s">
        <v>1150</v>
      </c>
      <c r="B5979" t="s">
        <v>36</v>
      </c>
      <c r="C5979" t="s">
        <v>37</v>
      </c>
      <c r="D5979">
        <v>220</v>
      </c>
    </row>
    <row r="5980" spans="1:4" ht="15.75" customHeight="1">
      <c r="A5980" t="s">
        <v>2048</v>
      </c>
      <c r="B5980" t="s">
        <v>36</v>
      </c>
      <c r="C5980" t="s">
        <v>37</v>
      </c>
      <c r="D5980">
        <v>220</v>
      </c>
    </row>
    <row r="5981" spans="1:4" ht="15.75" customHeight="1">
      <c r="A5981" t="s">
        <v>2611</v>
      </c>
      <c r="B5981" t="s">
        <v>36</v>
      </c>
      <c r="C5981" t="s">
        <v>37</v>
      </c>
      <c r="D5981">
        <v>219</v>
      </c>
    </row>
    <row r="5982" spans="1:4" ht="15.75" customHeight="1">
      <c r="A5982" t="s">
        <v>1663</v>
      </c>
      <c r="B5982" t="s">
        <v>36</v>
      </c>
      <c r="C5982" t="s">
        <v>37</v>
      </c>
      <c r="D5982">
        <v>218</v>
      </c>
    </row>
    <row r="5983" spans="1:4" ht="15.75" customHeight="1">
      <c r="A5983" t="s">
        <v>3088</v>
      </c>
      <c r="B5983" t="s">
        <v>36</v>
      </c>
      <c r="C5983" t="s">
        <v>37</v>
      </c>
      <c r="D5983">
        <v>216</v>
      </c>
    </row>
    <row r="5984" spans="1:4" ht="15.75" customHeight="1">
      <c r="A5984" t="s">
        <v>3507</v>
      </c>
      <c r="B5984" t="s">
        <v>36</v>
      </c>
      <c r="C5984" t="s">
        <v>37</v>
      </c>
      <c r="D5984">
        <v>216</v>
      </c>
    </row>
    <row r="5985" spans="1:4" ht="15.75" customHeight="1">
      <c r="A5985" t="s">
        <v>4698</v>
      </c>
      <c r="B5985" t="s">
        <v>36</v>
      </c>
      <c r="C5985" t="s">
        <v>37</v>
      </c>
      <c r="D5985">
        <v>216</v>
      </c>
    </row>
    <row r="5986" spans="1:4" ht="15.75" customHeight="1">
      <c r="A5986" t="s">
        <v>421</v>
      </c>
      <c r="B5986" t="s">
        <v>36</v>
      </c>
      <c r="C5986" t="s">
        <v>37</v>
      </c>
      <c r="D5986">
        <v>216</v>
      </c>
    </row>
    <row r="5987" spans="1:4" ht="15.75" customHeight="1">
      <c r="A5987" t="s">
        <v>345</v>
      </c>
      <c r="B5987" t="s">
        <v>36</v>
      </c>
      <c r="C5987" t="s">
        <v>37</v>
      </c>
      <c r="D5987">
        <v>215</v>
      </c>
    </row>
    <row r="5988" spans="1:4" ht="15.75" customHeight="1">
      <c r="A5988" t="s">
        <v>2068</v>
      </c>
      <c r="B5988" t="s">
        <v>36</v>
      </c>
      <c r="C5988" t="s">
        <v>37</v>
      </c>
      <c r="D5988">
        <v>215</v>
      </c>
    </row>
    <row r="5989" spans="1:4" ht="15.75" customHeight="1">
      <c r="A5989" t="s">
        <v>2616</v>
      </c>
      <c r="B5989" t="s">
        <v>36</v>
      </c>
      <c r="C5989" t="s">
        <v>37</v>
      </c>
      <c r="D5989">
        <v>215</v>
      </c>
    </row>
    <row r="5990" spans="1:4" ht="15.75" customHeight="1">
      <c r="A5990" t="s">
        <v>4306</v>
      </c>
      <c r="B5990" t="s">
        <v>36</v>
      </c>
      <c r="C5990" t="s">
        <v>37</v>
      </c>
      <c r="D5990">
        <v>215</v>
      </c>
    </row>
    <row r="5991" spans="1:4" ht="15.75" customHeight="1">
      <c r="A5991" t="s">
        <v>2638</v>
      </c>
      <c r="B5991" t="s">
        <v>36</v>
      </c>
      <c r="C5991" t="s">
        <v>37</v>
      </c>
      <c r="D5991">
        <v>214</v>
      </c>
    </row>
    <row r="5992" spans="1:4" ht="15.75" customHeight="1">
      <c r="A5992" t="s">
        <v>3053</v>
      </c>
      <c r="B5992" t="s">
        <v>36</v>
      </c>
      <c r="C5992" t="s">
        <v>37</v>
      </c>
      <c r="D5992">
        <v>214</v>
      </c>
    </row>
    <row r="5993" spans="1:4" ht="15.75" customHeight="1">
      <c r="A5993" t="s">
        <v>294</v>
      </c>
      <c r="B5993" t="s">
        <v>36</v>
      </c>
      <c r="C5993" t="s">
        <v>37</v>
      </c>
      <c r="D5993">
        <v>213</v>
      </c>
    </row>
    <row r="5994" spans="1:4" ht="15.75" customHeight="1">
      <c r="A5994" t="s">
        <v>3558</v>
      </c>
      <c r="B5994" t="s">
        <v>36</v>
      </c>
      <c r="C5994" t="s">
        <v>37</v>
      </c>
      <c r="D5994">
        <v>213</v>
      </c>
    </row>
    <row r="5995" spans="1:4" ht="15.75" customHeight="1">
      <c r="A5995" t="s">
        <v>1670</v>
      </c>
      <c r="B5995" t="s">
        <v>36</v>
      </c>
      <c r="C5995" t="s">
        <v>37</v>
      </c>
      <c r="D5995">
        <v>213</v>
      </c>
    </row>
    <row r="5996" spans="1:4" ht="15.75" customHeight="1">
      <c r="A5996" t="s">
        <v>1176</v>
      </c>
      <c r="B5996" t="s">
        <v>36</v>
      </c>
      <c r="C5996" t="s">
        <v>37</v>
      </c>
      <c r="D5996">
        <v>212</v>
      </c>
    </row>
    <row r="5997" spans="1:4" ht="15.75" customHeight="1">
      <c r="A5997" t="s">
        <v>2050</v>
      </c>
      <c r="B5997" t="s">
        <v>36</v>
      </c>
      <c r="C5997" t="s">
        <v>37</v>
      </c>
      <c r="D5997">
        <v>212</v>
      </c>
    </row>
    <row r="5998" spans="1:4" ht="15.75" customHeight="1">
      <c r="A5998" t="s">
        <v>2648</v>
      </c>
      <c r="B5998" t="s">
        <v>36</v>
      </c>
      <c r="C5998" t="s">
        <v>37</v>
      </c>
      <c r="D5998">
        <v>212</v>
      </c>
    </row>
    <row r="5999" spans="1:4" ht="15.75" customHeight="1">
      <c r="A5999" t="s">
        <v>3112</v>
      </c>
      <c r="B5999" t="s">
        <v>36</v>
      </c>
      <c r="C5999" t="s">
        <v>37</v>
      </c>
      <c r="D5999">
        <v>211</v>
      </c>
    </row>
    <row r="6000" spans="1:4" ht="15.75" customHeight="1">
      <c r="A6000" t="s">
        <v>4337</v>
      </c>
      <c r="B6000" t="s">
        <v>36</v>
      </c>
      <c r="C6000" t="s">
        <v>37</v>
      </c>
      <c r="D6000">
        <v>211</v>
      </c>
    </row>
    <row r="6001" spans="1:4" ht="15.75" customHeight="1">
      <c r="A6001" t="s">
        <v>419</v>
      </c>
      <c r="B6001" t="s">
        <v>36</v>
      </c>
      <c r="C6001" t="s">
        <v>37</v>
      </c>
      <c r="D6001">
        <v>211</v>
      </c>
    </row>
    <row r="6002" spans="1:4" ht="15.75" customHeight="1">
      <c r="A6002" t="s">
        <v>1662</v>
      </c>
      <c r="B6002" t="s">
        <v>36</v>
      </c>
      <c r="C6002" t="s">
        <v>37</v>
      </c>
      <c r="D6002">
        <v>210</v>
      </c>
    </row>
    <row r="6003" spans="1:4" ht="15.75" customHeight="1">
      <c r="A6003" t="s">
        <v>4330</v>
      </c>
      <c r="B6003" t="s">
        <v>36</v>
      </c>
      <c r="C6003" t="s">
        <v>37</v>
      </c>
      <c r="D6003">
        <v>210</v>
      </c>
    </row>
    <row r="6004" spans="1:4" ht="15.75" customHeight="1">
      <c r="A6004" t="s">
        <v>3113</v>
      </c>
      <c r="B6004" t="s">
        <v>36</v>
      </c>
      <c r="C6004" t="s">
        <v>37</v>
      </c>
      <c r="D6004">
        <v>210</v>
      </c>
    </row>
    <row r="6005" spans="1:4" ht="15.75" customHeight="1">
      <c r="A6005" t="s">
        <v>372</v>
      </c>
      <c r="B6005" t="s">
        <v>36</v>
      </c>
      <c r="C6005" t="s">
        <v>37</v>
      </c>
      <c r="D6005">
        <v>208</v>
      </c>
    </row>
    <row r="6006" spans="1:4" ht="15.75" customHeight="1">
      <c r="A6006" t="s">
        <v>361</v>
      </c>
      <c r="B6006" t="s">
        <v>36</v>
      </c>
      <c r="C6006" t="s">
        <v>37</v>
      </c>
      <c r="D6006">
        <v>207</v>
      </c>
    </row>
    <row r="6007" spans="1:4" ht="15.75" customHeight="1">
      <c r="A6007" t="s">
        <v>3092</v>
      </c>
      <c r="B6007" t="s">
        <v>36</v>
      </c>
      <c r="C6007" t="s">
        <v>37</v>
      </c>
      <c r="D6007">
        <v>207</v>
      </c>
    </row>
    <row r="6008" spans="1:4" ht="15.75" customHeight="1">
      <c r="A6008" t="s">
        <v>2613</v>
      </c>
      <c r="B6008" t="s">
        <v>36</v>
      </c>
      <c r="C6008" t="s">
        <v>37</v>
      </c>
      <c r="D6008">
        <v>207</v>
      </c>
    </row>
    <row r="6009" spans="1:4" ht="15.75" customHeight="1">
      <c r="A6009" t="s">
        <v>2626</v>
      </c>
      <c r="B6009" t="s">
        <v>36</v>
      </c>
      <c r="C6009" t="s">
        <v>37</v>
      </c>
      <c r="D6009">
        <v>207</v>
      </c>
    </row>
    <row r="6010" spans="1:4" ht="15.75" customHeight="1">
      <c r="A6010" t="s">
        <v>1681</v>
      </c>
      <c r="B6010" t="s">
        <v>36</v>
      </c>
      <c r="C6010" t="s">
        <v>37</v>
      </c>
      <c r="D6010">
        <v>207</v>
      </c>
    </row>
    <row r="6011" spans="1:4" ht="15.75" customHeight="1">
      <c r="A6011" t="s">
        <v>1207</v>
      </c>
      <c r="B6011" t="s">
        <v>36</v>
      </c>
      <c r="C6011" t="s">
        <v>37</v>
      </c>
      <c r="D6011">
        <v>206</v>
      </c>
    </row>
    <row r="6012" spans="1:4" ht="15.75" customHeight="1">
      <c r="A6012" t="s">
        <v>3055</v>
      </c>
      <c r="B6012" t="s">
        <v>36</v>
      </c>
      <c r="C6012" t="s">
        <v>37</v>
      </c>
      <c r="D6012">
        <v>206</v>
      </c>
    </row>
    <row r="6013" spans="1:4" ht="15.75" customHeight="1">
      <c r="A6013" t="s">
        <v>3993</v>
      </c>
      <c r="B6013" t="s">
        <v>36</v>
      </c>
      <c r="C6013" t="s">
        <v>37</v>
      </c>
      <c r="D6013">
        <v>205</v>
      </c>
    </row>
    <row r="6014" spans="1:4" ht="15.75" customHeight="1">
      <c r="A6014" t="s">
        <v>2024</v>
      </c>
      <c r="B6014" t="s">
        <v>36</v>
      </c>
      <c r="C6014" t="s">
        <v>37</v>
      </c>
      <c r="D6014">
        <v>205</v>
      </c>
    </row>
    <row r="6015" spans="1:4" ht="15.75" customHeight="1">
      <c r="A6015" t="s">
        <v>1680</v>
      </c>
      <c r="B6015" t="s">
        <v>36</v>
      </c>
      <c r="C6015" t="s">
        <v>37</v>
      </c>
      <c r="D6015">
        <v>205</v>
      </c>
    </row>
    <row r="6016" spans="1:4" ht="15.75" customHeight="1">
      <c r="A6016" t="s">
        <v>1651</v>
      </c>
      <c r="B6016" t="s">
        <v>36</v>
      </c>
      <c r="C6016" t="s">
        <v>37</v>
      </c>
      <c r="D6016">
        <v>204</v>
      </c>
    </row>
    <row r="6017" spans="1:4" ht="15.75" customHeight="1">
      <c r="A6017" t="s">
        <v>3040</v>
      </c>
      <c r="B6017" t="s">
        <v>36</v>
      </c>
      <c r="C6017" t="s">
        <v>37</v>
      </c>
      <c r="D6017">
        <v>204</v>
      </c>
    </row>
    <row r="6018" spans="1:4" ht="15.75" customHeight="1">
      <c r="A6018" t="s">
        <v>426</v>
      </c>
      <c r="B6018" t="s">
        <v>36</v>
      </c>
      <c r="C6018" t="s">
        <v>37</v>
      </c>
      <c r="D6018">
        <v>203</v>
      </c>
    </row>
    <row r="6019" spans="1:4" ht="15.75" customHeight="1">
      <c r="A6019" t="s">
        <v>2614</v>
      </c>
      <c r="B6019" t="s">
        <v>36</v>
      </c>
      <c r="C6019" t="s">
        <v>37</v>
      </c>
      <c r="D6019">
        <v>203</v>
      </c>
    </row>
    <row r="6020" spans="1:4" ht="15.75" customHeight="1">
      <c r="A6020" t="s">
        <v>1665</v>
      </c>
      <c r="B6020" t="s">
        <v>36</v>
      </c>
      <c r="C6020" t="s">
        <v>37</v>
      </c>
      <c r="D6020">
        <v>202</v>
      </c>
    </row>
    <row r="6021" spans="1:4" ht="15.75" customHeight="1">
      <c r="A6021" t="s">
        <v>3980</v>
      </c>
      <c r="B6021" t="s">
        <v>36</v>
      </c>
      <c r="C6021" t="s">
        <v>37</v>
      </c>
      <c r="D6021">
        <v>202</v>
      </c>
    </row>
    <row r="6022" spans="1:4" ht="15.75" customHeight="1">
      <c r="A6022" t="s">
        <v>2027</v>
      </c>
      <c r="B6022" t="s">
        <v>36</v>
      </c>
      <c r="C6022" t="s">
        <v>37</v>
      </c>
      <c r="D6022">
        <v>202</v>
      </c>
    </row>
    <row r="6023" spans="1:4" ht="15.75" customHeight="1">
      <c r="A6023" t="s">
        <v>4303</v>
      </c>
      <c r="B6023" t="s">
        <v>36</v>
      </c>
      <c r="C6023" t="s">
        <v>37</v>
      </c>
      <c r="D6023">
        <v>201</v>
      </c>
    </row>
    <row r="6024" spans="1:4" ht="15.75" customHeight="1">
      <c r="A6024" t="s">
        <v>1664</v>
      </c>
      <c r="B6024" t="s">
        <v>36</v>
      </c>
      <c r="C6024" t="s">
        <v>37</v>
      </c>
      <c r="D6024">
        <v>201</v>
      </c>
    </row>
    <row r="6025" spans="1:4" ht="15.75" customHeight="1">
      <c r="A6025" t="s">
        <v>2049</v>
      </c>
      <c r="B6025" t="s">
        <v>36</v>
      </c>
      <c r="C6025" t="s">
        <v>37</v>
      </c>
      <c r="D6025">
        <v>201</v>
      </c>
    </row>
    <row r="6026" spans="1:4" ht="15.75" customHeight="1">
      <c r="A6026" t="s">
        <v>2081</v>
      </c>
      <c r="B6026" t="s">
        <v>36</v>
      </c>
      <c r="C6026" t="s">
        <v>37</v>
      </c>
      <c r="D6026">
        <v>201</v>
      </c>
    </row>
    <row r="6027" spans="1:4" ht="15.75" customHeight="1">
      <c r="A6027" t="s">
        <v>3942</v>
      </c>
      <c r="B6027" t="s">
        <v>36</v>
      </c>
      <c r="C6027" t="s">
        <v>37</v>
      </c>
      <c r="D6027">
        <v>201</v>
      </c>
    </row>
    <row r="6028" spans="1:4" ht="15.75" customHeight="1">
      <c r="A6028" t="s">
        <v>4297</v>
      </c>
      <c r="B6028" t="s">
        <v>36</v>
      </c>
      <c r="C6028" t="s">
        <v>37</v>
      </c>
      <c r="D6028">
        <v>200</v>
      </c>
    </row>
    <row r="6029" spans="1:4" ht="15.75" customHeight="1">
      <c r="A6029" t="s">
        <v>420</v>
      </c>
      <c r="B6029" t="s">
        <v>36</v>
      </c>
      <c r="C6029" t="s">
        <v>37</v>
      </c>
      <c r="D6029">
        <v>200</v>
      </c>
    </row>
    <row r="6030" spans="1:4" ht="15.75" customHeight="1">
      <c r="A6030" t="s">
        <v>1210</v>
      </c>
      <c r="B6030" t="s">
        <v>36</v>
      </c>
      <c r="C6030" t="s">
        <v>37</v>
      </c>
      <c r="D6030">
        <v>199</v>
      </c>
    </row>
    <row r="6031" spans="1:4" ht="15.75" customHeight="1">
      <c r="A6031" t="s">
        <v>2623</v>
      </c>
      <c r="B6031" t="s">
        <v>36</v>
      </c>
      <c r="C6031" t="s">
        <v>37</v>
      </c>
      <c r="D6031">
        <v>199</v>
      </c>
    </row>
    <row r="6032" spans="1:4" ht="15.75" customHeight="1">
      <c r="A6032" t="s">
        <v>2600</v>
      </c>
      <c r="B6032" t="s">
        <v>36</v>
      </c>
      <c r="C6032" t="s">
        <v>37</v>
      </c>
      <c r="D6032">
        <v>199</v>
      </c>
    </row>
    <row r="6033" spans="1:4" ht="15.75" customHeight="1">
      <c r="A6033" t="s">
        <v>378</v>
      </c>
      <c r="B6033" t="s">
        <v>36</v>
      </c>
      <c r="C6033" t="s">
        <v>37</v>
      </c>
      <c r="D6033">
        <v>199</v>
      </c>
    </row>
    <row r="6034" spans="1:4" ht="15.75" customHeight="1">
      <c r="A6034" t="s">
        <v>388</v>
      </c>
      <c r="B6034" t="s">
        <v>36</v>
      </c>
      <c r="C6034" t="s">
        <v>37</v>
      </c>
      <c r="D6034">
        <v>198</v>
      </c>
    </row>
    <row r="6035" spans="1:4" ht="15.75" customHeight="1">
      <c r="A6035" t="s">
        <v>1221</v>
      </c>
      <c r="B6035" t="s">
        <v>36</v>
      </c>
      <c r="C6035" t="s">
        <v>37</v>
      </c>
      <c r="D6035">
        <v>198</v>
      </c>
    </row>
    <row r="6036" spans="1:4" ht="15.75" customHeight="1">
      <c r="A6036" t="s">
        <v>3967</v>
      </c>
      <c r="B6036" t="s">
        <v>36</v>
      </c>
      <c r="C6036" t="s">
        <v>37</v>
      </c>
      <c r="D6036">
        <v>197</v>
      </c>
    </row>
    <row r="6037" spans="1:4" ht="15.75" customHeight="1">
      <c r="A6037" t="s">
        <v>3082</v>
      </c>
      <c r="B6037" t="s">
        <v>36</v>
      </c>
      <c r="C6037" t="s">
        <v>37</v>
      </c>
      <c r="D6037">
        <v>196</v>
      </c>
    </row>
    <row r="6038" spans="1:4" ht="15.75" customHeight="1">
      <c r="A6038" t="s">
        <v>4317</v>
      </c>
      <c r="B6038" t="s">
        <v>36</v>
      </c>
      <c r="C6038" t="s">
        <v>37</v>
      </c>
      <c r="D6038">
        <v>196</v>
      </c>
    </row>
    <row r="6039" spans="1:4" ht="15.75" customHeight="1">
      <c r="A6039" t="s">
        <v>3977</v>
      </c>
      <c r="B6039" t="s">
        <v>36</v>
      </c>
      <c r="C6039" t="s">
        <v>37</v>
      </c>
      <c r="D6039">
        <v>196</v>
      </c>
    </row>
    <row r="6040" spans="1:4" ht="15.75" customHeight="1">
      <c r="A6040" t="s">
        <v>3109</v>
      </c>
      <c r="B6040" t="s">
        <v>36</v>
      </c>
      <c r="C6040" t="s">
        <v>37</v>
      </c>
      <c r="D6040">
        <v>196</v>
      </c>
    </row>
    <row r="6041" spans="1:4" ht="15.75" customHeight="1">
      <c r="A6041" t="s">
        <v>1666</v>
      </c>
      <c r="B6041" t="s">
        <v>36</v>
      </c>
      <c r="C6041" t="s">
        <v>37</v>
      </c>
      <c r="D6041">
        <v>196</v>
      </c>
    </row>
    <row r="6042" spans="1:4" ht="15.75" customHeight="1">
      <c r="A6042" t="s">
        <v>3579</v>
      </c>
      <c r="B6042" t="s">
        <v>36</v>
      </c>
      <c r="C6042" t="s">
        <v>37</v>
      </c>
      <c r="D6042">
        <v>195</v>
      </c>
    </row>
    <row r="6043" spans="1:4" ht="15.75" customHeight="1">
      <c r="A6043" t="s">
        <v>4287</v>
      </c>
      <c r="B6043" t="s">
        <v>36</v>
      </c>
      <c r="C6043" t="s">
        <v>37</v>
      </c>
      <c r="D6043">
        <v>195</v>
      </c>
    </row>
    <row r="6044" spans="1:4" ht="15.75" customHeight="1">
      <c r="A6044" t="s">
        <v>4006</v>
      </c>
      <c r="B6044" t="s">
        <v>36</v>
      </c>
      <c r="C6044" t="s">
        <v>37</v>
      </c>
      <c r="D6044">
        <v>195</v>
      </c>
    </row>
    <row r="6045" spans="1:4" ht="15.75" customHeight="1">
      <c r="A6045" t="s">
        <v>2622</v>
      </c>
      <c r="B6045" t="s">
        <v>36</v>
      </c>
      <c r="C6045" t="s">
        <v>37</v>
      </c>
      <c r="D6045">
        <v>194</v>
      </c>
    </row>
    <row r="6046" spans="1:4" ht="15.75" customHeight="1">
      <c r="A6046" t="s">
        <v>299</v>
      </c>
      <c r="B6046" t="s">
        <v>36</v>
      </c>
      <c r="C6046" t="s">
        <v>37</v>
      </c>
      <c r="D6046">
        <v>193</v>
      </c>
    </row>
    <row r="6047" spans="1:4" ht="15.75" customHeight="1">
      <c r="A6047" t="s">
        <v>1218</v>
      </c>
      <c r="B6047" t="s">
        <v>36</v>
      </c>
      <c r="C6047" t="s">
        <v>37</v>
      </c>
      <c r="D6047">
        <v>193</v>
      </c>
    </row>
    <row r="6048" spans="1:4" ht="15.75" customHeight="1">
      <c r="A6048" t="s">
        <v>4341</v>
      </c>
      <c r="B6048" t="s">
        <v>36</v>
      </c>
      <c r="C6048" t="s">
        <v>37</v>
      </c>
      <c r="D6048">
        <v>193</v>
      </c>
    </row>
    <row r="6049" spans="1:4" ht="15.75" customHeight="1">
      <c r="A6049" t="s">
        <v>2637</v>
      </c>
      <c r="B6049" t="s">
        <v>36</v>
      </c>
      <c r="C6049" t="s">
        <v>37</v>
      </c>
      <c r="D6049">
        <v>192</v>
      </c>
    </row>
    <row r="6050" spans="1:4" ht="15.75" customHeight="1">
      <c r="A6050" t="s">
        <v>412</v>
      </c>
      <c r="B6050" t="s">
        <v>36</v>
      </c>
      <c r="C6050" t="s">
        <v>37</v>
      </c>
      <c r="D6050">
        <v>192</v>
      </c>
    </row>
    <row r="6051" spans="1:4" ht="15.75" customHeight="1">
      <c r="A6051" t="s">
        <v>1676</v>
      </c>
      <c r="B6051" t="s">
        <v>36</v>
      </c>
      <c r="C6051" t="s">
        <v>37</v>
      </c>
      <c r="D6051">
        <v>192</v>
      </c>
    </row>
    <row r="6052" spans="1:4" ht="15.75" customHeight="1">
      <c r="A6052" t="s">
        <v>3573</v>
      </c>
      <c r="B6052" t="s">
        <v>36</v>
      </c>
      <c r="C6052" t="s">
        <v>37</v>
      </c>
      <c r="D6052">
        <v>192</v>
      </c>
    </row>
    <row r="6053" spans="1:4" ht="15.75" customHeight="1">
      <c r="A6053" t="s">
        <v>3089</v>
      </c>
      <c r="B6053" t="s">
        <v>36</v>
      </c>
      <c r="C6053" t="s">
        <v>37</v>
      </c>
      <c r="D6053">
        <v>191</v>
      </c>
    </row>
    <row r="6054" spans="1:4" ht="15.75" customHeight="1">
      <c r="A6054" t="s">
        <v>1650</v>
      </c>
      <c r="B6054" t="s">
        <v>36</v>
      </c>
      <c r="C6054" t="s">
        <v>37</v>
      </c>
      <c r="D6054">
        <v>191</v>
      </c>
    </row>
    <row r="6055" spans="1:4" ht="15.75" customHeight="1">
      <c r="A6055" t="s">
        <v>396</v>
      </c>
      <c r="B6055" t="s">
        <v>36</v>
      </c>
      <c r="C6055" t="s">
        <v>37</v>
      </c>
      <c r="D6055">
        <v>191</v>
      </c>
    </row>
    <row r="6056" spans="1:4" ht="15.75" customHeight="1">
      <c r="A6056" t="s">
        <v>1203</v>
      </c>
      <c r="B6056" t="s">
        <v>36</v>
      </c>
      <c r="C6056" t="s">
        <v>37</v>
      </c>
      <c r="D6056">
        <v>189</v>
      </c>
    </row>
    <row r="6057" spans="1:4" ht="15.75" customHeight="1">
      <c r="A6057" t="s">
        <v>3584</v>
      </c>
      <c r="B6057" t="s">
        <v>36</v>
      </c>
      <c r="C6057" t="s">
        <v>37</v>
      </c>
      <c r="D6057">
        <v>189</v>
      </c>
    </row>
    <row r="6058" spans="1:4" ht="15.75" customHeight="1">
      <c r="A6058" t="s">
        <v>3586</v>
      </c>
      <c r="B6058" t="s">
        <v>36</v>
      </c>
      <c r="C6058" t="s">
        <v>37</v>
      </c>
      <c r="D6058">
        <v>188</v>
      </c>
    </row>
    <row r="6059" spans="1:4" ht="15.75" customHeight="1">
      <c r="A6059" t="s">
        <v>2039</v>
      </c>
      <c r="B6059" t="s">
        <v>36</v>
      </c>
      <c r="C6059" t="s">
        <v>37</v>
      </c>
      <c r="D6059">
        <v>187</v>
      </c>
    </row>
    <row r="6060" spans="1:4" ht="15.75" customHeight="1">
      <c r="A6060" t="s">
        <v>380</v>
      </c>
      <c r="B6060" t="s">
        <v>36</v>
      </c>
      <c r="C6060" t="s">
        <v>37</v>
      </c>
      <c r="D6060">
        <v>187</v>
      </c>
    </row>
    <row r="6061" spans="1:4" ht="15.75" customHeight="1">
      <c r="A6061" t="s">
        <v>377</v>
      </c>
      <c r="B6061" t="s">
        <v>36</v>
      </c>
      <c r="C6061" t="s">
        <v>37</v>
      </c>
      <c r="D6061">
        <v>186</v>
      </c>
    </row>
    <row r="6062" spans="1:4" ht="15.75" customHeight="1">
      <c r="A6062" t="s">
        <v>1201</v>
      </c>
      <c r="B6062" t="s">
        <v>36</v>
      </c>
      <c r="C6062" t="s">
        <v>37</v>
      </c>
      <c r="D6062">
        <v>185</v>
      </c>
    </row>
    <row r="6063" spans="1:4" ht="15.75" customHeight="1">
      <c r="A6063" t="s">
        <v>3108</v>
      </c>
      <c r="B6063" t="s">
        <v>36</v>
      </c>
      <c r="C6063" t="s">
        <v>37</v>
      </c>
      <c r="D6063">
        <v>185</v>
      </c>
    </row>
    <row r="6064" spans="1:4" ht="15.75" customHeight="1">
      <c r="A6064" t="s">
        <v>1219</v>
      </c>
      <c r="B6064" t="s">
        <v>36</v>
      </c>
      <c r="C6064" t="s">
        <v>37</v>
      </c>
      <c r="D6064">
        <v>185</v>
      </c>
    </row>
    <row r="6065" spans="1:4" ht="15.75" customHeight="1">
      <c r="A6065" t="s">
        <v>2021</v>
      </c>
      <c r="B6065" t="s">
        <v>36</v>
      </c>
      <c r="C6065" t="s">
        <v>37</v>
      </c>
      <c r="D6065">
        <v>184</v>
      </c>
    </row>
    <row r="6066" spans="1:4" ht="15.75" customHeight="1">
      <c r="A6066" t="s">
        <v>143</v>
      </c>
      <c r="B6066" t="s">
        <v>36</v>
      </c>
      <c r="C6066" t="s">
        <v>37</v>
      </c>
      <c r="D6066">
        <v>183</v>
      </c>
    </row>
    <row r="6067" spans="1:4" ht="15.75" customHeight="1">
      <c r="A6067" t="s">
        <v>4334</v>
      </c>
      <c r="B6067" t="s">
        <v>36</v>
      </c>
      <c r="C6067" t="s">
        <v>37</v>
      </c>
      <c r="D6067">
        <v>182</v>
      </c>
    </row>
    <row r="6068" spans="1:4" ht="15.75" customHeight="1">
      <c r="A6068" t="s">
        <v>4338</v>
      </c>
      <c r="B6068" t="s">
        <v>36</v>
      </c>
      <c r="C6068" t="s">
        <v>37</v>
      </c>
      <c r="D6068">
        <v>182</v>
      </c>
    </row>
    <row r="6069" spans="1:4" ht="15.75" customHeight="1">
      <c r="A6069" t="s">
        <v>4316</v>
      </c>
      <c r="B6069" t="s">
        <v>36</v>
      </c>
      <c r="C6069" t="s">
        <v>37</v>
      </c>
      <c r="D6069">
        <v>181</v>
      </c>
    </row>
    <row r="6070" spans="1:4" ht="15.75" customHeight="1">
      <c r="A6070" t="s">
        <v>3066</v>
      </c>
      <c r="B6070" t="s">
        <v>36</v>
      </c>
      <c r="C6070" t="s">
        <v>37</v>
      </c>
      <c r="D6070">
        <v>181</v>
      </c>
    </row>
    <row r="6071" spans="1:4" ht="15.75" customHeight="1">
      <c r="A6071" t="s">
        <v>2633</v>
      </c>
      <c r="B6071" t="s">
        <v>36</v>
      </c>
      <c r="C6071" t="s">
        <v>37</v>
      </c>
      <c r="D6071">
        <v>180</v>
      </c>
    </row>
    <row r="6072" spans="1:4" ht="15.75" customHeight="1">
      <c r="A6072" t="s">
        <v>4305</v>
      </c>
      <c r="B6072" t="s">
        <v>36</v>
      </c>
      <c r="C6072" t="s">
        <v>37</v>
      </c>
      <c r="D6072">
        <v>179</v>
      </c>
    </row>
    <row r="6073" spans="1:4" ht="15.75" customHeight="1">
      <c r="A6073" t="s">
        <v>3489</v>
      </c>
      <c r="B6073" t="s">
        <v>36</v>
      </c>
      <c r="C6073" t="s">
        <v>37</v>
      </c>
      <c r="D6073">
        <v>178</v>
      </c>
    </row>
    <row r="6074" spans="1:4" ht="15.75" customHeight="1">
      <c r="A6074" t="s">
        <v>3553</v>
      </c>
      <c r="B6074" t="s">
        <v>36</v>
      </c>
      <c r="C6074" t="s">
        <v>37</v>
      </c>
      <c r="D6074">
        <v>177</v>
      </c>
    </row>
    <row r="6075" spans="1:4" ht="15.75" customHeight="1">
      <c r="A6075" t="s">
        <v>1198</v>
      </c>
      <c r="B6075" t="s">
        <v>36</v>
      </c>
      <c r="C6075" t="s">
        <v>37</v>
      </c>
      <c r="D6075">
        <v>176</v>
      </c>
    </row>
    <row r="6076" spans="1:4" ht="15.75" customHeight="1">
      <c r="A6076" t="s">
        <v>3060</v>
      </c>
      <c r="B6076" t="s">
        <v>36</v>
      </c>
      <c r="C6076" t="s">
        <v>37</v>
      </c>
      <c r="D6076">
        <v>176</v>
      </c>
    </row>
    <row r="6077" spans="1:4" ht="15.75" customHeight="1">
      <c r="A6077" t="s">
        <v>2044</v>
      </c>
      <c r="B6077" t="s">
        <v>36</v>
      </c>
      <c r="C6077" t="s">
        <v>37</v>
      </c>
      <c r="D6077">
        <v>176</v>
      </c>
    </row>
    <row r="6078" spans="1:4" ht="15.75" customHeight="1">
      <c r="A6078" t="s">
        <v>3500</v>
      </c>
      <c r="B6078" t="s">
        <v>36</v>
      </c>
      <c r="C6078" t="s">
        <v>37</v>
      </c>
      <c r="D6078">
        <v>176</v>
      </c>
    </row>
    <row r="6079" spans="1:4" ht="15.75" customHeight="1">
      <c r="A6079" t="s">
        <v>4336</v>
      </c>
      <c r="B6079" t="s">
        <v>36</v>
      </c>
      <c r="C6079" t="s">
        <v>37</v>
      </c>
      <c r="D6079">
        <v>176</v>
      </c>
    </row>
    <row r="6080" spans="1:4" ht="15.75" customHeight="1">
      <c r="A6080" t="s">
        <v>1139</v>
      </c>
      <c r="B6080" t="s">
        <v>36</v>
      </c>
      <c r="C6080" t="s">
        <v>37</v>
      </c>
      <c r="D6080">
        <v>175</v>
      </c>
    </row>
    <row r="6081" spans="1:4" ht="15.75" customHeight="1">
      <c r="A6081" t="s">
        <v>2083</v>
      </c>
      <c r="B6081" t="s">
        <v>36</v>
      </c>
      <c r="C6081" t="s">
        <v>37</v>
      </c>
      <c r="D6081">
        <v>173</v>
      </c>
    </row>
    <row r="6082" spans="1:4" ht="15.75" customHeight="1">
      <c r="A6082" t="s">
        <v>2606</v>
      </c>
      <c r="B6082" t="s">
        <v>36</v>
      </c>
      <c r="C6082" t="s">
        <v>37</v>
      </c>
      <c r="D6082">
        <v>173</v>
      </c>
    </row>
    <row r="6083" spans="1:4" ht="15.75" customHeight="1">
      <c r="A6083" t="s">
        <v>1656</v>
      </c>
      <c r="B6083" t="s">
        <v>36</v>
      </c>
      <c r="C6083" t="s">
        <v>37</v>
      </c>
      <c r="D6083">
        <v>172</v>
      </c>
    </row>
    <row r="6084" spans="1:4" ht="15.75" customHeight="1">
      <c r="A6084" t="s">
        <v>1212</v>
      </c>
      <c r="B6084" t="s">
        <v>36</v>
      </c>
      <c r="C6084" t="s">
        <v>37</v>
      </c>
      <c r="D6084">
        <v>172</v>
      </c>
    </row>
    <row r="6085" spans="1:4" ht="15.75" customHeight="1">
      <c r="A6085" t="s">
        <v>3493</v>
      </c>
      <c r="B6085" t="s">
        <v>36</v>
      </c>
      <c r="C6085" t="s">
        <v>37</v>
      </c>
      <c r="D6085">
        <v>171</v>
      </c>
    </row>
    <row r="6086" spans="1:4" ht="15.75" customHeight="1">
      <c r="A6086" t="s">
        <v>2055</v>
      </c>
      <c r="B6086" t="s">
        <v>36</v>
      </c>
      <c r="C6086" t="s">
        <v>37</v>
      </c>
      <c r="D6086">
        <v>171</v>
      </c>
    </row>
    <row r="6087" spans="1:4" ht="15.75" customHeight="1">
      <c r="A6087" t="s">
        <v>2608</v>
      </c>
      <c r="B6087" t="s">
        <v>36</v>
      </c>
      <c r="C6087" t="s">
        <v>37</v>
      </c>
      <c r="D6087">
        <v>171</v>
      </c>
    </row>
    <row r="6088" spans="1:4" ht="15.75" customHeight="1">
      <c r="A6088" t="s">
        <v>2641</v>
      </c>
      <c r="B6088" t="s">
        <v>36</v>
      </c>
      <c r="C6088" t="s">
        <v>37</v>
      </c>
      <c r="D6088">
        <v>170</v>
      </c>
    </row>
    <row r="6089" spans="1:4" ht="15.75" customHeight="1">
      <c r="A6089" t="s">
        <v>3962</v>
      </c>
      <c r="B6089" t="s">
        <v>36</v>
      </c>
      <c r="C6089" t="s">
        <v>37</v>
      </c>
      <c r="D6089">
        <v>169</v>
      </c>
    </row>
    <row r="6090" spans="1:4" ht="15.75" customHeight="1">
      <c r="A6090" t="s">
        <v>2004</v>
      </c>
      <c r="B6090" t="s">
        <v>36</v>
      </c>
      <c r="C6090" t="s">
        <v>37</v>
      </c>
      <c r="D6090">
        <v>168</v>
      </c>
    </row>
    <row r="6091" spans="1:4" ht="15.75" customHeight="1">
      <c r="A6091" t="s">
        <v>3552</v>
      </c>
      <c r="B6091" t="s">
        <v>36</v>
      </c>
      <c r="C6091" t="s">
        <v>37</v>
      </c>
      <c r="D6091">
        <v>167</v>
      </c>
    </row>
    <row r="6092" spans="1:4" ht="15.75" customHeight="1">
      <c r="A6092" t="s">
        <v>2592</v>
      </c>
      <c r="B6092" t="s">
        <v>36</v>
      </c>
      <c r="C6092" t="s">
        <v>37</v>
      </c>
      <c r="D6092">
        <v>165</v>
      </c>
    </row>
    <row r="6093" spans="1:4" ht="15.75" customHeight="1">
      <c r="A6093" t="s">
        <v>4708</v>
      </c>
      <c r="B6093" t="s">
        <v>36</v>
      </c>
      <c r="C6093" t="s">
        <v>37</v>
      </c>
      <c r="D6093">
        <v>165</v>
      </c>
    </row>
    <row r="6094" spans="1:4" ht="15.75" customHeight="1">
      <c r="A6094" t="s">
        <v>3549</v>
      </c>
      <c r="B6094" t="s">
        <v>36</v>
      </c>
      <c r="C6094" t="s">
        <v>37</v>
      </c>
      <c r="D6094">
        <v>164</v>
      </c>
    </row>
    <row r="6095" spans="1:4" ht="15.75" customHeight="1">
      <c r="A6095" t="s">
        <v>3127</v>
      </c>
      <c r="B6095" t="s">
        <v>36</v>
      </c>
      <c r="C6095" t="s">
        <v>37</v>
      </c>
      <c r="D6095">
        <v>164</v>
      </c>
    </row>
    <row r="6096" spans="1:4" ht="15.75" customHeight="1">
      <c r="A6096" t="s">
        <v>4668</v>
      </c>
      <c r="B6096" t="s">
        <v>36</v>
      </c>
      <c r="C6096" t="s">
        <v>37</v>
      </c>
      <c r="D6096">
        <v>164</v>
      </c>
    </row>
    <row r="6097" spans="1:4" ht="15.75" customHeight="1">
      <c r="A6097" t="s">
        <v>2056</v>
      </c>
      <c r="B6097" t="s">
        <v>36</v>
      </c>
      <c r="C6097" t="s">
        <v>37</v>
      </c>
      <c r="D6097">
        <v>163</v>
      </c>
    </row>
    <row r="6098" spans="1:4" ht="15.75" customHeight="1">
      <c r="A6098" t="s">
        <v>4290</v>
      </c>
      <c r="B6098" t="s">
        <v>36</v>
      </c>
      <c r="C6098" t="s">
        <v>37</v>
      </c>
      <c r="D6098">
        <v>163</v>
      </c>
    </row>
    <row r="6099" spans="1:4" ht="15.75" customHeight="1">
      <c r="A6099" t="s">
        <v>1193</v>
      </c>
      <c r="B6099" t="s">
        <v>36</v>
      </c>
      <c r="C6099" t="s">
        <v>37</v>
      </c>
      <c r="D6099">
        <v>162</v>
      </c>
    </row>
    <row r="6100" spans="1:4" ht="15.75" customHeight="1">
      <c r="A6100" t="s">
        <v>4604</v>
      </c>
      <c r="B6100" t="s">
        <v>36</v>
      </c>
      <c r="C6100" t="s">
        <v>37</v>
      </c>
      <c r="D6100">
        <v>162</v>
      </c>
    </row>
    <row r="6101" spans="1:4" ht="15.75" customHeight="1">
      <c r="A6101" t="s">
        <v>2617</v>
      </c>
      <c r="B6101" t="s">
        <v>36</v>
      </c>
      <c r="C6101" t="s">
        <v>37</v>
      </c>
      <c r="D6101">
        <v>161</v>
      </c>
    </row>
    <row r="6102" spans="1:4" ht="15.75" customHeight="1">
      <c r="A6102" t="s">
        <v>333</v>
      </c>
      <c r="B6102" t="s">
        <v>36</v>
      </c>
      <c r="C6102" t="s">
        <v>37</v>
      </c>
      <c r="D6102">
        <v>161</v>
      </c>
    </row>
    <row r="6103" spans="1:4" ht="15.75" customHeight="1">
      <c r="A6103" t="s">
        <v>4345</v>
      </c>
      <c r="B6103" t="s">
        <v>36</v>
      </c>
      <c r="C6103" t="s">
        <v>37</v>
      </c>
      <c r="D6103">
        <v>160</v>
      </c>
    </row>
    <row r="6104" spans="1:4" ht="15.75" customHeight="1">
      <c r="A6104" t="s">
        <v>3049</v>
      </c>
      <c r="B6104" t="s">
        <v>36</v>
      </c>
      <c r="C6104" t="s">
        <v>37</v>
      </c>
      <c r="D6104">
        <v>159</v>
      </c>
    </row>
    <row r="6105" spans="1:4" ht="15.75" customHeight="1">
      <c r="A6105" t="s">
        <v>2019</v>
      </c>
      <c r="B6105" t="s">
        <v>36</v>
      </c>
      <c r="C6105" t="s">
        <v>37</v>
      </c>
      <c r="D6105">
        <v>158</v>
      </c>
    </row>
    <row r="6106" spans="1:4" ht="15.75" customHeight="1">
      <c r="A6106" t="s">
        <v>1979</v>
      </c>
      <c r="B6106" t="s">
        <v>36</v>
      </c>
      <c r="C6106" t="s">
        <v>37</v>
      </c>
      <c r="D6106">
        <v>158</v>
      </c>
    </row>
    <row r="6107" spans="1:4" ht="15.75" customHeight="1">
      <c r="A6107" t="s">
        <v>4618</v>
      </c>
      <c r="B6107" t="s">
        <v>36</v>
      </c>
      <c r="C6107" t="s">
        <v>37</v>
      </c>
      <c r="D6107">
        <v>157</v>
      </c>
    </row>
    <row r="6108" spans="1:4" ht="15.75" customHeight="1">
      <c r="A6108" t="s">
        <v>4321</v>
      </c>
      <c r="B6108" t="s">
        <v>36</v>
      </c>
      <c r="C6108" t="s">
        <v>37</v>
      </c>
      <c r="D6108">
        <v>157</v>
      </c>
    </row>
    <row r="6109" spans="1:4" ht="15.75" customHeight="1">
      <c r="A6109" t="s">
        <v>1192</v>
      </c>
      <c r="B6109" t="s">
        <v>36</v>
      </c>
      <c r="C6109" t="s">
        <v>37</v>
      </c>
      <c r="D6109">
        <v>157</v>
      </c>
    </row>
    <row r="6110" spans="1:4" ht="15.75" customHeight="1">
      <c r="A6110" t="s">
        <v>3086</v>
      </c>
      <c r="B6110" t="s">
        <v>36</v>
      </c>
      <c r="C6110" t="s">
        <v>37</v>
      </c>
      <c r="D6110">
        <v>156</v>
      </c>
    </row>
    <row r="6111" spans="1:4" ht="15.75" customHeight="1">
      <c r="A6111" t="s">
        <v>4691</v>
      </c>
      <c r="B6111" t="s">
        <v>36</v>
      </c>
      <c r="C6111" t="s">
        <v>37</v>
      </c>
      <c r="D6111">
        <v>156</v>
      </c>
    </row>
    <row r="6112" spans="1:4" ht="15.75" customHeight="1">
      <c r="A6112" t="s">
        <v>3052</v>
      </c>
      <c r="B6112" t="s">
        <v>36</v>
      </c>
      <c r="C6112" t="s">
        <v>37</v>
      </c>
      <c r="D6112">
        <v>156</v>
      </c>
    </row>
    <row r="6113" spans="1:4" ht="15.75" customHeight="1">
      <c r="A6113" t="s">
        <v>2006</v>
      </c>
      <c r="B6113" t="s">
        <v>36</v>
      </c>
      <c r="C6113" t="s">
        <v>37</v>
      </c>
      <c r="D6113">
        <v>155</v>
      </c>
    </row>
    <row r="6114" spans="1:4" ht="15.75" customHeight="1">
      <c r="A6114" t="s">
        <v>3065</v>
      </c>
      <c r="B6114" t="s">
        <v>36</v>
      </c>
      <c r="C6114" t="s">
        <v>37</v>
      </c>
      <c r="D6114">
        <v>155</v>
      </c>
    </row>
    <row r="6115" spans="1:4" ht="15.75" customHeight="1">
      <c r="A6115" t="s">
        <v>1189</v>
      </c>
      <c r="B6115" t="s">
        <v>36</v>
      </c>
      <c r="C6115" t="s">
        <v>37</v>
      </c>
      <c r="D6115">
        <v>154</v>
      </c>
    </row>
    <row r="6116" spans="1:4" ht="15.75" customHeight="1">
      <c r="A6116" t="s">
        <v>1196</v>
      </c>
      <c r="B6116" t="s">
        <v>36</v>
      </c>
      <c r="C6116" t="s">
        <v>37</v>
      </c>
      <c r="D6116">
        <v>154</v>
      </c>
    </row>
    <row r="6117" spans="1:4" ht="15.75" customHeight="1">
      <c r="A6117" t="s">
        <v>3499</v>
      </c>
      <c r="B6117" t="s">
        <v>36</v>
      </c>
      <c r="C6117" t="s">
        <v>37</v>
      </c>
      <c r="D6117">
        <v>153</v>
      </c>
    </row>
    <row r="6118" spans="1:4" ht="15.75" customHeight="1">
      <c r="A6118" t="s">
        <v>1163</v>
      </c>
      <c r="B6118" t="s">
        <v>36</v>
      </c>
      <c r="C6118" t="s">
        <v>37</v>
      </c>
      <c r="D6118">
        <v>152</v>
      </c>
    </row>
    <row r="6119" spans="1:4" ht="15.75" customHeight="1">
      <c r="A6119" t="s">
        <v>4653</v>
      </c>
      <c r="B6119" t="s">
        <v>36</v>
      </c>
      <c r="C6119" t="s">
        <v>37</v>
      </c>
      <c r="D6119">
        <v>152</v>
      </c>
    </row>
    <row r="6120" spans="1:4" ht="15.75" customHeight="1">
      <c r="A6120" t="s">
        <v>1993</v>
      </c>
      <c r="B6120" t="s">
        <v>36</v>
      </c>
      <c r="C6120" t="s">
        <v>37</v>
      </c>
      <c r="D6120">
        <v>152</v>
      </c>
    </row>
    <row r="6121" spans="1:4" ht="15.75" customHeight="1">
      <c r="A6121" t="s">
        <v>3984</v>
      </c>
      <c r="B6121" t="s">
        <v>36</v>
      </c>
      <c r="C6121" t="s">
        <v>37</v>
      </c>
      <c r="D6121">
        <v>152</v>
      </c>
    </row>
    <row r="6122" spans="1:4" ht="15.75" customHeight="1">
      <c r="A6122" t="s">
        <v>3062</v>
      </c>
      <c r="B6122" t="s">
        <v>36</v>
      </c>
      <c r="C6122" t="s">
        <v>37</v>
      </c>
      <c r="D6122">
        <v>151</v>
      </c>
    </row>
    <row r="6123" spans="1:4" ht="15.75" customHeight="1">
      <c r="A6123" t="s">
        <v>1202</v>
      </c>
      <c r="B6123" t="s">
        <v>36</v>
      </c>
      <c r="C6123" t="s">
        <v>37</v>
      </c>
      <c r="D6123">
        <v>151</v>
      </c>
    </row>
    <row r="6124" spans="1:4" ht="15.75" customHeight="1">
      <c r="A6124" t="s">
        <v>2601</v>
      </c>
      <c r="B6124" t="s">
        <v>36</v>
      </c>
      <c r="C6124" t="s">
        <v>37</v>
      </c>
      <c r="D6124">
        <v>151</v>
      </c>
    </row>
    <row r="6125" spans="1:4" ht="15.75" customHeight="1">
      <c r="A6125" t="s">
        <v>303</v>
      </c>
      <c r="B6125" t="s">
        <v>36</v>
      </c>
      <c r="C6125" t="s">
        <v>37</v>
      </c>
      <c r="D6125">
        <v>151</v>
      </c>
    </row>
    <row r="6126" spans="1:4" ht="15.75" customHeight="1">
      <c r="A6126" t="s">
        <v>2051</v>
      </c>
      <c r="B6126" t="s">
        <v>36</v>
      </c>
      <c r="C6126" t="s">
        <v>37</v>
      </c>
      <c r="D6126">
        <v>151</v>
      </c>
    </row>
    <row r="6127" spans="1:4" ht="15.75" customHeight="1">
      <c r="A6127" t="s">
        <v>4661</v>
      </c>
      <c r="B6127" t="s">
        <v>36</v>
      </c>
      <c r="C6127" t="s">
        <v>37</v>
      </c>
      <c r="D6127">
        <v>150</v>
      </c>
    </row>
    <row r="6128" spans="1:4" ht="15.75" customHeight="1">
      <c r="A6128" t="s">
        <v>2520</v>
      </c>
      <c r="B6128" t="s">
        <v>36</v>
      </c>
      <c r="C6128" t="s">
        <v>37</v>
      </c>
      <c r="D6128">
        <v>150</v>
      </c>
    </row>
    <row r="6129" spans="1:4" ht="15.75" customHeight="1">
      <c r="A6129" t="s">
        <v>3940</v>
      </c>
      <c r="B6129" t="s">
        <v>36</v>
      </c>
      <c r="C6129" t="s">
        <v>37</v>
      </c>
      <c r="D6129">
        <v>149</v>
      </c>
    </row>
    <row r="6130" spans="1:4" ht="15.75" customHeight="1">
      <c r="A6130" t="s">
        <v>3508</v>
      </c>
      <c r="B6130" t="s">
        <v>36</v>
      </c>
      <c r="C6130" t="s">
        <v>37</v>
      </c>
      <c r="D6130">
        <v>149</v>
      </c>
    </row>
    <row r="6131" spans="1:4" ht="15.75" customHeight="1">
      <c r="A6131" t="s">
        <v>1619</v>
      </c>
      <c r="B6131" t="s">
        <v>36</v>
      </c>
      <c r="C6131" t="s">
        <v>37</v>
      </c>
      <c r="D6131">
        <v>149</v>
      </c>
    </row>
    <row r="6132" spans="1:4" ht="15.75" customHeight="1">
      <c r="A6132" t="s">
        <v>4699</v>
      </c>
      <c r="B6132" t="s">
        <v>36</v>
      </c>
      <c r="C6132" t="s">
        <v>37</v>
      </c>
      <c r="D6132">
        <v>147</v>
      </c>
    </row>
    <row r="6133" spans="1:4" ht="15.75" customHeight="1">
      <c r="A6133" t="s">
        <v>3031</v>
      </c>
      <c r="B6133" t="s">
        <v>36</v>
      </c>
      <c r="C6133" t="s">
        <v>37</v>
      </c>
      <c r="D6133">
        <v>147</v>
      </c>
    </row>
    <row r="6134" spans="1:4" ht="15.75" customHeight="1">
      <c r="A6134" t="s">
        <v>3991</v>
      </c>
      <c r="B6134" t="s">
        <v>36</v>
      </c>
      <c r="C6134" t="s">
        <v>37</v>
      </c>
      <c r="D6134">
        <v>146</v>
      </c>
    </row>
    <row r="6135" spans="1:4" ht="15.75" customHeight="1">
      <c r="A6135" t="s">
        <v>3970</v>
      </c>
      <c r="B6135" t="s">
        <v>36</v>
      </c>
      <c r="C6135" t="s">
        <v>37</v>
      </c>
      <c r="D6135">
        <v>146</v>
      </c>
    </row>
    <row r="6136" spans="1:4" ht="15.75" customHeight="1">
      <c r="A6136" t="s">
        <v>3087</v>
      </c>
      <c r="B6136" t="s">
        <v>36</v>
      </c>
      <c r="C6136" t="s">
        <v>37</v>
      </c>
      <c r="D6136">
        <v>145</v>
      </c>
    </row>
    <row r="6137" spans="1:4" ht="15.75" customHeight="1">
      <c r="A6137" t="s">
        <v>4326</v>
      </c>
      <c r="B6137" t="s">
        <v>36</v>
      </c>
      <c r="C6137" t="s">
        <v>37</v>
      </c>
      <c r="D6137">
        <v>145</v>
      </c>
    </row>
    <row r="6138" spans="1:4" ht="15.75" customHeight="1">
      <c r="A6138" t="s">
        <v>3562</v>
      </c>
      <c r="B6138" t="s">
        <v>36</v>
      </c>
      <c r="C6138" t="s">
        <v>37</v>
      </c>
      <c r="D6138">
        <v>144</v>
      </c>
    </row>
    <row r="6139" spans="1:4" ht="15.75" customHeight="1">
      <c r="A6139" t="s">
        <v>3988</v>
      </c>
      <c r="B6139" t="s">
        <v>36</v>
      </c>
      <c r="C6139" t="s">
        <v>37</v>
      </c>
      <c r="D6139">
        <v>144</v>
      </c>
    </row>
    <row r="6140" spans="1:4" ht="15.75" customHeight="1">
      <c r="A6140" t="s">
        <v>55</v>
      </c>
      <c r="B6140" t="s">
        <v>36</v>
      </c>
      <c r="C6140" t="s">
        <v>37</v>
      </c>
      <c r="D6140">
        <v>143</v>
      </c>
    </row>
    <row r="6141" spans="1:4" ht="15.75" customHeight="1">
      <c r="A6141" t="s">
        <v>2086</v>
      </c>
      <c r="B6141" t="s">
        <v>36</v>
      </c>
      <c r="C6141" t="s">
        <v>37</v>
      </c>
      <c r="D6141">
        <v>143</v>
      </c>
    </row>
    <row r="6142" spans="1:4" ht="15.75" customHeight="1">
      <c r="A6142" t="s">
        <v>1624</v>
      </c>
      <c r="B6142" t="s">
        <v>36</v>
      </c>
      <c r="C6142" t="s">
        <v>37</v>
      </c>
      <c r="D6142">
        <v>142</v>
      </c>
    </row>
    <row r="6143" spans="1:4" ht="15.75" customHeight="1">
      <c r="A6143" t="s">
        <v>4335</v>
      </c>
      <c r="B6143" t="s">
        <v>36</v>
      </c>
      <c r="C6143" t="s">
        <v>37</v>
      </c>
      <c r="D6143">
        <v>142</v>
      </c>
    </row>
    <row r="6144" spans="1:4" ht="15.75" customHeight="1">
      <c r="A6144" t="s">
        <v>3073</v>
      </c>
      <c r="B6144" t="s">
        <v>36</v>
      </c>
      <c r="C6144" t="s">
        <v>37</v>
      </c>
      <c r="D6144">
        <v>142</v>
      </c>
    </row>
    <row r="6145" spans="1:4" ht="15.75" customHeight="1">
      <c r="A6145" t="s">
        <v>2014</v>
      </c>
      <c r="B6145" t="s">
        <v>36</v>
      </c>
      <c r="C6145" t="s">
        <v>37</v>
      </c>
      <c r="D6145">
        <v>140</v>
      </c>
    </row>
    <row r="6146" spans="1:4" ht="15.75" customHeight="1">
      <c r="A6146" t="s">
        <v>1182</v>
      </c>
      <c r="B6146" t="s">
        <v>36</v>
      </c>
      <c r="C6146" t="s">
        <v>37</v>
      </c>
      <c r="D6146">
        <v>139</v>
      </c>
    </row>
    <row r="6147" spans="1:4" ht="15.75" customHeight="1">
      <c r="A6147" t="s">
        <v>2594</v>
      </c>
      <c r="B6147" t="s">
        <v>36</v>
      </c>
      <c r="C6147" t="s">
        <v>37</v>
      </c>
      <c r="D6147">
        <v>139</v>
      </c>
    </row>
    <row r="6148" spans="1:4" ht="15.75" customHeight="1">
      <c r="A6148" t="s">
        <v>1638</v>
      </c>
      <c r="B6148" t="s">
        <v>36</v>
      </c>
      <c r="C6148" t="s">
        <v>37</v>
      </c>
      <c r="D6148">
        <v>139</v>
      </c>
    </row>
    <row r="6149" spans="1:4" ht="15.75" customHeight="1">
      <c r="A6149" t="s">
        <v>3128</v>
      </c>
      <c r="B6149" t="s">
        <v>36</v>
      </c>
      <c r="C6149" t="s">
        <v>37</v>
      </c>
      <c r="D6149">
        <v>139</v>
      </c>
    </row>
    <row r="6150" spans="1:4" ht="15.75" customHeight="1">
      <c r="A6150" t="s">
        <v>94</v>
      </c>
      <c r="B6150" t="s">
        <v>36</v>
      </c>
      <c r="C6150" t="s">
        <v>37</v>
      </c>
      <c r="D6150">
        <v>138</v>
      </c>
    </row>
    <row r="6151" spans="1:4" ht="15.75" customHeight="1">
      <c r="A6151" t="s">
        <v>4651</v>
      </c>
      <c r="B6151" t="s">
        <v>36</v>
      </c>
      <c r="C6151" t="s">
        <v>37</v>
      </c>
      <c r="D6151">
        <v>137</v>
      </c>
    </row>
    <row r="6152" spans="1:4" ht="15.75" customHeight="1">
      <c r="A6152" t="s">
        <v>3996</v>
      </c>
      <c r="B6152" t="s">
        <v>36</v>
      </c>
      <c r="C6152" t="s">
        <v>37</v>
      </c>
      <c r="D6152">
        <v>137</v>
      </c>
    </row>
    <row r="6153" spans="1:4" ht="15.75" customHeight="1">
      <c r="A6153" t="s">
        <v>2624</v>
      </c>
      <c r="B6153" t="s">
        <v>36</v>
      </c>
      <c r="C6153" t="s">
        <v>37</v>
      </c>
      <c r="D6153">
        <v>137</v>
      </c>
    </row>
    <row r="6154" spans="1:4" ht="15.75" customHeight="1">
      <c r="A6154" t="s">
        <v>3035</v>
      </c>
      <c r="B6154" t="s">
        <v>36</v>
      </c>
      <c r="C6154" t="s">
        <v>37</v>
      </c>
      <c r="D6154">
        <v>136</v>
      </c>
    </row>
    <row r="6155" spans="1:4" ht="15.75" customHeight="1">
      <c r="A6155" t="s">
        <v>4323</v>
      </c>
      <c r="B6155" t="s">
        <v>36</v>
      </c>
      <c r="C6155" t="s">
        <v>37</v>
      </c>
      <c r="D6155">
        <v>136</v>
      </c>
    </row>
    <row r="6156" spans="1:4" ht="15.75" customHeight="1">
      <c r="A6156" t="s">
        <v>3547</v>
      </c>
      <c r="B6156" t="s">
        <v>36</v>
      </c>
      <c r="C6156" t="s">
        <v>37</v>
      </c>
      <c r="D6156">
        <v>135</v>
      </c>
    </row>
    <row r="6157" spans="1:4" ht="15.75" customHeight="1">
      <c r="A6157" t="s">
        <v>1977</v>
      </c>
      <c r="B6157" t="s">
        <v>36</v>
      </c>
      <c r="C6157" t="s">
        <v>37</v>
      </c>
      <c r="D6157">
        <v>135</v>
      </c>
    </row>
    <row r="6158" spans="1:4" ht="15.75" customHeight="1">
      <c r="A6158" t="s">
        <v>4308</v>
      </c>
      <c r="B6158" t="s">
        <v>36</v>
      </c>
      <c r="C6158" t="s">
        <v>37</v>
      </c>
      <c r="D6158">
        <v>135</v>
      </c>
    </row>
    <row r="6159" spans="1:4" ht="15.75" customHeight="1">
      <c r="A6159" t="s">
        <v>1206</v>
      </c>
      <c r="B6159" t="s">
        <v>36</v>
      </c>
      <c r="C6159" t="s">
        <v>37</v>
      </c>
      <c r="D6159">
        <v>134</v>
      </c>
    </row>
    <row r="6160" spans="1:4" ht="15.75" customHeight="1">
      <c r="A6160" t="s">
        <v>3555</v>
      </c>
      <c r="B6160" t="s">
        <v>36</v>
      </c>
      <c r="C6160" t="s">
        <v>37</v>
      </c>
      <c r="D6160">
        <v>134</v>
      </c>
    </row>
    <row r="6161" spans="1:4" ht="15.75" customHeight="1">
      <c r="A6161" t="s">
        <v>1672</v>
      </c>
      <c r="B6161" t="s">
        <v>36</v>
      </c>
      <c r="C6161" t="s">
        <v>37</v>
      </c>
      <c r="D6161">
        <v>134</v>
      </c>
    </row>
    <row r="6162" spans="1:4" ht="15.75" customHeight="1">
      <c r="A6162" t="s">
        <v>3071</v>
      </c>
      <c r="B6162" t="s">
        <v>36</v>
      </c>
      <c r="C6162" t="s">
        <v>37</v>
      </c>
      <c r="D6162">
        <v>134</v>
      </c>
    </row>
    <row r="6163" spans="1:4" ht="15.75" customHeight="1">
      <c r="A6163" t="s">
        <v>3047</v>
      </c>
      <c r="B6163" t="s">
        <v>36</v>
      </c>
      <c r="C6163" t="s">
        <v>37</v>
      </c>
      <c r="D6163">
        <v>133</v>
      </c>
    </row>
    <row r="6164" spans="1:4" ht="15.75" customHeight="1">
      <c r="A6164" t="s">
        <v>3061</v>
      </c>
      <c r="B6164" t="s">
        <v>36</v>
      </c>
      <c r="C6164" t="s">
        <v>37</v>
      </c>
      <c r="D6164">
        <v>133</v>
      </c>
    </row>
    <row r="6165" spans="1:4" ht="15.75" customHeight="1">
      <c r="A6165" t="s">
        <v>3043</v>
      </c>
      <c r="B6165" t="s">
        <v>36</v>
      </c>
      <c r="C6165" t="s">
        <v>37</v>
      </c>
      <c r="D6165">
        <v>133</v>
      </c>
    </row>
    <row r="6166" spans="1:4" ht="15.75" customHeight="1">
      <c r="A6166" t="s">
        <v>1678</v>
      </c>
      <c r="B6166" t="s">
        <v>36</v>
      </c>
      <c r="C6166" t="s">
        <v>37</v>
      </c>
      <c r="D6166">
        <v>133</v>
      </c>
    </row>
    <row r="6167" spans="1:4" ht="15.75" customHeight="1">
      <c r="A6167" t="s">
        <v>2518</v>
      </c>
      <c r="B6167" t="s">
        <v>36</v>
      </c>
      <c r="C6167" t="s">
        <v>37</v>
      </c>
      <c r="D6167">
        <v>132</v>
      </c>
    </row>
    <row r="6168" spans="1:4" ht="15.75" customHeight="1">
      <c r="A6168" t="s">
        <v>3099</v>
      </c>
      <c r="B6168" t="s">
        <v>36</v>
      </c>
      <c r="C6168" t="s">
        <v>37</v>
      </c>
      <c r="D6168">
        <v>132</v>
      </c>
    </row>
    <row r="6169" spans="1:4" ht="15.75" customHeight="1">
      <c r="A6169" t="s">
        <v>1149</v>
      </c>
      <c r="B6169" t="s">
        <v>36</v>
      </c>
      <c r="C6169" t="s">
        <v>37</v>
      </c>
      <c r="D6169">
        <v>130</v>
      </c>
    </row>
    <row r="6170" spans="1:4" ht="15.75" customHeight="1">
      <c r="A6170" t="s">
        <v>2588</v>
      </c>
      <c r="B6170" t="s">
        <v>36</v>
      </c>
      <c r="C6170" t="s">
        <v>37</v>
      </c>
      <c r="D6170">
        <v>130</v>
      </c>
    </row>
    <row r="6171" spans="1:4" ht="15.75" customHeight="1">
      <c r="A6171" t="s">
        <v>4695</v>
      </c>
      <c r="B6171" t="s">
        <v>36</v>
      </c>
      <c r="C6171" t="s">
        <v>37</v>
      </c>
      <c r="D6171">
        <v>130</v>
      </c>
    </row>
    <row r="6172" spans="1:4" ht="15.75" customHeight="1">
      <c r="A6172" t="s">
        <v>3902</v>
      </c>
      <c r="B6172" t="s">
        <v>36</v>
      </c>
      <c r="C6172" t="s">
        <v>37</v>
      </c>
      <c r="D6172">
        <v>130</v>
      </c>
    </row>
    <row r="6173" spans="1:4" ht="15.75" customHeight="1">
      <c r="A6173" t="s">
        <v>326</v>
      </c>
      <c r="B6173" t="s">
        <v>36</v>
      </c>
      <c r="C6173" t="s">
        <v>37</v>
      </c>
      <c r="D6173">
        <v>129</v>
      </c>
    </row>
    <row r="6174" spans="1:4" ht="15.75" customHeight="1">
      <c r="A6174" t="s">
        <v>1217</v>
      </c>
      <c r="B6174" t="s">
        <v>36</v>
      </c>
      <c r="C6174" t="s">
        <v>37</v>
      </c>
      <c r="D6174">
        <v>129</v>
      </c>
    </row>
    <row r="6175" spans="1:4" ht="15.75" customHeight="1">
      <c r="A6175" t="s">
        <v>4681</v>
      </c>
      <c r="B6175" t="s">
        <v>36</v>
      </c>
      <c r="C6175" t="s">
        <v>37</v>
      </c>
      <c r="D6175">
        <v>129</v>
      </c>
    </row>
    <row r="6176" spans="1:4" ht="15.75" customHeight="1">
      <c r="A6176" t="s">
        <v>1123</v>
      </c>
      <c r="B6176" t="s">
        <v>36</v>
      </c>
      <c r="C6176" t="s">
        <v>37</v>
      </c>
      <c r="D6176">
        <v>128</v>
      </c>
    </row>
    <row r="6177" spans="1:4" ht="15.75" customHeight="1">
      <c r="A6177" t="s">
        <v>1194</v>
      </c>
      <c r="B6177" t="s">
        <v>36</v>
      </c>
      <c r="C6177" t="s">
        <v>37</v>
      </c>
      <c r="D6177">
        <v>128</v>
      </c>
    </row>
    <row r="6178" spans="1:4" ht="15.75" customHeight="1">
      <c r="A6178" t="s">
        <v>1215</v>
      </c>
      <c r="B6178" t="s">
        <v>36</v>
      </c>
      <c r="C6178" t="s">
        <v>37</v>
      </c>
      <c r="D6178">
        <v>127</v>
      </c>
    </row>
    <row r="6179" spans="1:4" ht="15.75" customHeight="1">
      <c r="A6179" t="s">
        <v>2064</v>
      </c>
      <c r="B6179" t="s">
        <v>36</v>
      </c>
      <c r="C6179" t="s">
        <v>37</v>
      </c>
      <c r="D6179">
        <v>127</v>
      </c>
    </row>
    <row r="6180" spans="1:4" ht="15.75" customHeight="1">
      <c r="A6180" t="s">
        <v>3896</v>
      </c>
      <c r="B6180" t="s">
        <v>36</v>
      </c>
      <c r="C6180" t="s">
        <v>37</v>
      </c>
      <c r="D6180">
        <v>126</v>
      </c>
    </row>
    <row r="6181" spans="1:4" ht="15.75" customHeight="1">
      <c r="A6181" t="s">
        <v>2053</v>
      </c>
      <c r="B6181" t="s">
        <v>36</v>
      </c>
      <c r="C6181" t="s">
        <v>37</v>
      </c>
      <c r="D6181">
        <v>126</v>
      </c>
    </row>
    <row r="6182" spans="1:4" ht="15.75" customHeight="1">
      <c r="A6182" t="s">
        <v>3098</v>
      </c>
      <c r="B6182" t="s">
        <v>36</v>
      </c>
      <c r="C6182" t="s">
        <v>37</v>
      </c>
      <c r="D6182">
        <v>126</v>
      </c>
    </row>
    <row r="6183" spans="1:4" ht="15.75" customHeight="1">
      <c r="A6183" t="s">
        <v>1111</v>
      </c>
      <c r="B6183" t="s">
        <v>36</v>
      </c>
      <c r="C6183" t="s">
        <v>37</v>
      </c>
      <c r="D6183">
        <v>126</v>
      </c>
    </row>
    <row r="6184" spans="1:4" ht="15.75" customHeight="1">
      <c r="A6184" t="s">
        <v>4346</v>
      </c>
      <c r="B6184" t="s">
        <v>36</v>
      </c>
      <c r="C6184" t="s">
        <v>37</v>
      </c>
      <c r="D6184">
        <v>126</v>
      </c>
    </row>
    <row r="6185" spans="1:4" ht="15.75" customHeight="1">
      <c r="A6185" t="s">
        <v>3094</v>
      </c>
      <c r="B6185" t="s">
        <v>36</v>
      </c>
      <c r="C6185" t="s">
        <v>37</v>
      </c>
      <c r="D6185">
        <v>125</v>
      </c>
    </row>
    <row r="6186" spans="1:4" ht="15.75" customHeight="1">
      <c r="A6186" t="s">
        <v>4583</v>
      </c>
      <c r="B6186" t="s">
        <v>36</v>
      </c>
      <c r="C6186" t="s">
        <v>37</v>
      </c>
      <c r="D6186">
        <v>125</v>
      </c>
    </row>
    <row r="6187" spans="1:4" ht="15.75" customHeight="1">
      <c r="A6187" t="s">
        <v>3531</v>
      </c>
      <c r="B6187" t="s">
        <v>36</v>
      </c>
      <c r="C6187" t="s">
        <v>37</v>
      </c>
      <c r="D6187">
        <v>125</v>
      </c>
    </row>
    <row r="6188" spans="1:4" ht="15.75" customHeight="1">
      <c r="A6188" t="s">
        <v>3960</v>
      </c>
      <c r="B6188" t="s">
        <v>36</v>
      </c>
      <c r="C6188" t="s">
        <v>37</v>
      </c>
      <c r="D6188">
        <v>125</v>
      </c>
    </row>
    <row r="6189" spans="1:4" ht="15.75" customHeight="1">
      <c r="A6189" t="s">
        <v>3057</v>
      </c>
      <c r="B6189" t="s">
        <v>36</v>
      </c>
      <c r="C6189" t="s">
        <v>37</v>
      </c>
      <c r="D6189">
        <v>124</v>
      </c>
    </row>
    <row r="6190" spans="1:4" ht="15.75" customHeight="1">
      <c r="A6190" t="s">
        <v>4286</v>
      </c>
      <c r="B6190" t="s">
        <v>36</v>
      </c>
      <c r="C6190" t="s">
        <v>37</v>
      </c>
      <c r="D6190">
        <v>124</v>
      </c>
    </row>
    <row r="6191" spans="1:4" ht="15.75" customHeight="1">
      <c r="A6191" t="s">
        <v>3575</v>
      </c>
      <c r="B6191" t="s">
        <v>36</v>
      </c>
      <c r="C6191" t="s">
        <v>37</v>
      </c>
      <c r="D6191">
        <v>123</v>
      </c>
    </row>
    <row r="6192" spans="1:4" ht="15.75" customHeight="1">
      <c r="A6192" t="s">
        <v>4322</v>
      </c>
      <c r="B6192" t="s">
        <v>36</v>
      </c>
      <c r="C6192" t="s">
        <v>37</v>
      </c>
      <c r="D6192">
        <v>122</v>
      </c>
    </row>
    <row r="6193" spans="1:4" ht="15.75" customHeight="1">
      <c r="A6193" t="s">
        <v>3103</v>
      </c>
      <c r="B6193" t="s">
        <v>36</v>
      </c>
      <c r="C6193" t="s">
        <v>37</v>
      </c>
      <c r="D6193">
        <v>122</v>
      </c>
    </row>
    <row r="6194" spans="1:4" ht="15.75" customHeight="1">
      <c r="A6194" t="s">
        <v>3114</v>
      </c>
      <c r="B6194" t="s">
        <v>36</v>
      </c>
      <c r="C6194" t="s">
        <v>37</v>
      </c>
      <c r="D6194">
        <v>122</v>
      </c>
    </row>
    <row r="6195" spans="1:4" ht="15.75" customHeight="1">
      <c r="A6195" t="s">
        <v>3968</v>
      </c>
      <c r="B6195" t="s">
        <v>36</v>
      </c>
      <c r="C6195" t="s">
        <v>37</v>
      </c>
      <c r="D6195">
        <v>121</v>
      </c>
    </row>
    <row r="6196" spans="1:4" ht="15.75" customHeight="1">
      <c r="A6196" t="s">
        <v>3079</v>
      </c>
      <c r="B6196" t="s">
        <v>36</v>
      </c>
      <c r="C6196" t="s">
        <v>37</v>
      </c>
      <c r="D6196">
        <v>121</v>
      </c>
    </row>
    <row r="6197" spans="1:4" ht="15.75" customHeight="1">
      <c r="A6197" t="s">
        <v>1113</v>
      </c>
      <c r="B6197" t="s">
        <v>36</v>
      </c>
      <c r="C6197" t="s">
        <v>37</v>
      </c>
      <c r="D6197">
        <v>120</v>
      </c>
    </row>
    <row r="6198" spans="1:4" ht="15.75" customHeight="1">
      <c r="A6198" t="s">
        <v>4703</v>
      </c>
      <c r="B6198" t="s">
        <v>36</v>
      </c>
      <c r="C6198" t="s">
        <v>37</v>
      </c>
      <c r="D6198">
        <v>119</v>
      </c>
    </row>
    <row r="6199" spans="1:4" ht="15.75" customHeight="1">
      <c r="A6199" t="s">
        <v>1166</v>
      </c>
      <c r="B6199" t="s">
        <v>36</v>
      </c>
      <c r="C6199" t="s">
        <v>37</v>
      </c>
      <c r="D6199">
        <v>119</v>
      </c>
    </row>
    <row r="6200" spans="1:4" ht="15.75" customHeight="1">
      <c r="A6200" t="s">
        <v>4304</v>
      </c>
      <c r="B6200" t="s">
        <v>36</v>
      </c>
      <c r="C6200" t="s">
        <v>37</v>
      </c>
      <c r="D6200">
        <v>119</v>
      </c>
    </row>
    <row r="6201" spans="1:4" ht="15.75" customHeight="1">
      <c r="A6201" t="s">
        <v>320</v>
      </c>
      <c r="B6201" t="s">
        <v>36</v>
      </c>
      <c r="C6201" t="s">
        <v>37</v>
      </c>
      <c r="D6201">
        <v>119</v>
      </c>
    </row>
    <row r="6202" spans="1:4" ht="15.75" customHeight="1">
      <c r="A6202" t="s">
        <v>3513</v>
      </c>
      <c r="B6202" t="s">
        <v>36</v>
      </c>
      <c r="C6202" t="s">
        <v>37</v>
      </c>
      <c r="D6202">
        <v>119</v>
      </c>
    </row>
    <row r="6203" spans="1:4" ht="15.75" customHeight="1">
      <c r="A6203" t="s">
        <v>3924</v>
      </c>
      <c r="B6203" t="s">
        <v>36</v>
      </c>
      <c r="C6203" t="s">
        <v>37</v>
      </c>
      <c r="D6203">
        <v>118</v>
      </c>
    </row>
    <row r="6204" spans="1:4" ht="15.75" customHeight="1">
      <c r="A6204" t="s">
        <v>1622</v>
      </c>
      <c r="B6204" t="s">
        <v>36</v>
      </c>
      <c r="C6204" t="s">
        <v>37</v>
      </c>
      <c r="D6204">
        <v>118</v>
      </c>
    </row>
    <row r="6205" spans="1:4" ht="15.75" customHeight="1">
      <c r="A6205" t="s">
        <v>1170</v>
      </c>
      <c r="B6205" t="s">
        <v>36</v>
      </c>
      <c r="C6205" t="s">
        <v>37</v>
      </c>
      <c r="D6205">
        <v>118</v>
      </c>
    </row>
    <row r="6206" spans="1:4" ht="15.75" customHeight="1">
      <c r="A6206" t="s">
        <v>4640</v>
      </c>
      <c r="B6206" t="s">
        <v>36</v>
      </c>
      <c r="C6206" t="s">
        <v>37</v>
      </c>
      <c r="D6206">
        <v>117</v>
      </c>
    </row>
    <row r="6207" spans="1:4" ht="15.75" customHeight="1">
      <c r="A6207" t="s">
        <v>4646</v>
      </c>
      <c r="B6207" t="s">
        <v>36</v>
      </c>
      <c r="C6207" t="s">
        <v>37</v>
      </c>
      <c r="D6207">
        <v>116</v>
      </c>
    </row>
    <row r="6208" spans="1:4" ht="15.75" customHeight="1">
      <c r="A6208" t="s">
        <v>3064</v>
      </c>
      <c r="B6208" t="s">
        <v>36</v>
      </c>
      <c r="C6208" t="s">
        <v>37</v>
      </c>
      <c r="D6208">
        <v>116</v>
      </c>
    </row>
    <row r="6209" spans="1:4" ht="15.75" customHeight="1">
      <c r="A6209" t="s">
        <v>4324</v>
      </c>
      <c r="B6209" t="s">
        <v>36</v>
      </c>
      <c r="C6209" t="s">
        <v>37</v>
      </c>
      <c r="D6209">
        <v>116</v>
      </c>
    </row>
    <row r="6210" spans="1:4" ht="15.75" customHeight="1">
      <c r="A6210" t="s">
        <v>4611</v>
      </c>
      <c r="B6210" t="s">
        <v>36</v>
      </c>
      <c r="C6210" t="s">
        <v>37</v>
      </c>
      <c r="D6210">
        <v>116</v>
      </c>
    </row>
    <row r="6211" spans="1:4" ht="15.75" customHeight="1">
      <c r="A6211" t="s">
        <v>4344</v>
      </c>
      <c r="B6211" t="s">
        <v>36</v>
      </c>
      <c r="C6211" t="s">
        <v>37</v>
      </c>
      <c r="D6211">
        <v>116</v>
      </c>
    </row>
    <row r="6212" spans="1:4" ht="15.75" customHeight="1">
      <c r="A6212" t="s">
        <v>4311</v>
      </c>
      <c r="B6212" t="s">
        <v>36</v>
      </c>
      <c r="C6212" t="s">
        <v>37</v>
      </c>
      <c r="D6212">
        <v>115</v>
      </c>
    </row>
    <row r="6213" spans="1:4" ht="15.75" customHeight="1">
      <c r="A6213" t="s">
        <v>4632</v>
      </c>
      <c r="B6213" t="s">
        <v>36</v>
      </c>
      <c r="C6213" t="s">
        <v>37</v>
      </c>
      <c r="D6213">
        <v>115</v>
      </c>
    </row>
    <row r="6214" spans="1:4" ht="15.75" customHeight="1">
      <c r="A6214" t="s">
        <v>3894</v>
      </c>
      <c r="B6214" t="s">
        <v>36</v>
      </c>
      <c r="C6214" t="s">
        <v>37</v>
      </c>
      <c r="D6214">
        <v>115</v>
      </c>
    </row>
    <row r="6215" spans="1:4" ht="15.75" customHeight="1">
      <c r="A6215" t="s">
        <v>3533</v>
      </c>
      <c r="B6215" t="s">
        <v>36</v>
      </c>
      <c r="C6215" t="s">
        <v>37</v>
      </c>
      <c r="D6215">
        <v>115</v>
      </c>
    </row>
    <row r="6216" spans="1:4" ht="15.75" customHeight="1">
      <c r="A6216" t="s">
        <v>3505</v>
      </c>
      <c r="B6216" t="s">
        <v>36</v>
      </c>
      <c r="C6216" t="s">
        <v>37</v>
      </c>
      <c r="D6216">
        <v>114</v>
      </c>
    </row>
    <row r="6217" spans="1:4" ht="15.75" customHeight="1">
      <c r="A6217" t="s">
        <v>1975</v>
      </c>
      <c r="B6217" t="s">
        <v>36</v>
      </c>
      <c r="C6217" t="s">
        <v>37</v>
      </c>
      <c r="D6217">
        <v>114</v>
      </c>
    </row>
    <row r="6218" spans="1:4" ht="15.75" customHeight="1">
      <c r="A6218" t="s">
        <v>2619</v>
      </c>
      <c r="B6218" t="s">
        <v>36</v>
      </c>
      <c r="C6218" t="s">
        <v>37</v>
      </c>
      <c r="D6218">
        <v>113</v>
      </c>
    </row>
    <row r="6219" spans="1:4" ht="15.75" customHeight="1">
      <c r="A6219" t="s">
        <v>1179</v>
      </c>
      <c r="B6219" t="s">
        <v>36</v>
      </c>
      <c r="C6219" t="s">
        <v>37</v>
      </c>
      <c r="D6219">
        <v>112</v>
      </c>
    </row>
    <row r="6220" spans="1:4" ht="15.75" customHeight="1">
      <c r="A6220" t="s">
        <v>2016</v>
      </c>
      <c r="B6220" t="s">
        <v>36</v>
      </c>
      <c r="C6220" t="s">
        <v>37</v>
      </c>
      <c r="D6220">
        <v>112</v>
      </c>
    </row>
    <row r="6221" spans="1:4" ht="15.75" customHeight="1">
      <c r="A6221" t="s">
        <v>3520</v>
      </c>
      <c r="B6221" t="s">
        <v>36</v>
      </c>
      <c r="C6221" t="s">
        <v>37</v>
      </c>
      <c r="D6221">
        <v>111</v>
      </c>
    </row>
    <row r="6222" spans="1:4" ht="15.75" customHeight="1">
      <c r="A6222" t="s">
        <v>2524</v>
      </c>
      <c r="B6222" t="s">
        <v>36</v>
      </c>
      <c r="C6222" t="s">
        <v>37</v>
      </c>
      <c r="D6222">
        <v>111</v>
      </c>
    </row>
    <row r="6223" spans="1:4" ht="15.75" customHeight="1">
      <c r="A6223" t="s">
        <v>4623</v>
      </c>
      <c r="B6223" t="s">
        <v>36</v>
      </c>
      <c r="C6223" t="s">
        <v>37</v>
      </c>
      <c r="D6223">
        <v>111</v>
      </c>
    </row>
    <row r="6224" spans="1:4" ht="15.75" customHeight="1">
      <c r="A6224" t="s">
        <v>3923</v>
      </c>
      <c r="B6224" t="s">
        <v>36</v>
      </c>
      <c r="C6224" t="s">
        <v>37</v>
      </c>
      <c r="D6224">
        <v>111</v>
      </c>
    </row>
    <row r="6225" spans="1:4" ht="15.75" customHeight="1">
      <c r="A6225" t="s">
        <v>4682</v>
      </c>
      <c r="B6225" t="s">
        <v>36</v>
      </c>
      <c r="C6225" t="s">
        <v>37</v>
      </c>
      <c r="D6225">
        <v>110</v>
      </c>
    </row>
    <row r="6226" spans="1:4" ht="15.75" customHeight="1">
      <c r="A6226" t="s">
        <v>1147</v>
      </c>
      <c r="B6226" t="s">
        <v>36</v>
      </c>
      <c r="C6226" t="s">
        <v>37</v>
      </c>
      <c r="D6226">
        <v>110</v>
      </c>
    </row>
    <row r="6227" spans="1:4" ht="15.75" customHeight="1">
      <c r="A6227" t="s">
        <v>4634</v>
      </c>
      <c r="B6227" t="s">
        <v>36</v>
      </c>
      <c r="C6227" t="s">
        <v>37</v>
      </c>
      <c r="D6227">
        <v>110</v>
      </c>
    </row>
    <row r="6228" spans="1:4" ht="15.75" customHeight="1">
      <c r="A6228" t="s">
        <v>3510</v>
      </c>
      <c r="B6228" t="s">
        <v>36</v>
      </c>
      <c r="C6228" t="s">
        <v>37</v>
      </c>
      <c r="D6228">
        <v>110</v>
      </c>
    </row>
    <row r="6229" spans="1:4" ht="15.75" customHeight="1">
      <c r="A6229" t="s">
        <v>2522</v>
      </c>
      <c r="B6229" t="s">
        <v>36</v>
      </c>
      <c r="C6229" t="s">
        <v>37</v>
      </c>
      <c r="D6229">
        <v>110</v>
      </c>
    </row>
    <row r="6230" spans="1:4" ht="15.75" customHeight="1">
      <c r="A6230" t="s">
        <v>4644</v>
      </c>
      <c r="B6230" t="s">
        <v>36</v>
      </c>
      <c r="C6230" t="s">
        <v>37</v>
      </c>
      <c r="D6230">
        <v>109</v>
      </c>
    </row>
    <row r="6231" spans="1:4" ht="15.75" customHeight="1">
      <c r="A6231" t="s">
        <v>3556</v>
      </c>
      <c r="B6231" t="s">
        <v>36</v>
      </c>
      <c r="C6231" t="s">
        <v>37</v>
      </c>
      <c r="D6231">
        <v>109</v>
      </c>
    </row>
    <row r="6232" spans="1:4" ht="15.75" customHeight="1">
      <c r="A6232" t="s">
        <v>331</v>
      </c>
      <c r="B6232" t="s">
        <v>36</v>
      </c>
      <c r="C6232" t="s">
        <v>37</v>
      </c>
      <c r="D6232">
        <v>109</v>
      </c>
    </row>
    <row r="6233" spans="1:4" ht="15.75" customHeight="1">
      <c r="A6233" t="s">
        <v>4339</v>
      </c>
      <c r="B6233" t="s">
        <v>36</v>
      </c>
      <c r="C6233" t="s">
        <v>37</v>
      </c>
      <c r="D6233">
        <v>109</v>
      </c>
    </row>
    <row r="6234" spans="1:4" ht="15.75" customHeight="1">
      <c r="A6234" t="s">
        <v>2642</v>
      </c>
      <c r="B6234" t="s">
        <v>36</v>
      </c>
      <c r="C6234" t="s">
        <v>37</v>
      </c>
      <c r="D6234">
        <v>109</v>
      </c>
    </row>
    <row r="6235" spans="1:4" ht="15.75" customHeight="1">
      <c r="A6235" t="s">
        <v>4639</v>
      </c>
      <c r="B6235" t="s">
        <v>36</v>
      </c>
      <c r="C6235" t="s">
        <v>37</v>
      </c>
      <c r="D6235">
        <v>108</v>
      </c>
    </row>
    <row r="6236" spans="1:4" ht="15.75" customHeight="1">
      <c r="A6236" t="s">
        <v>3936</v>
      </c>
      <c r="B6236" t="s">
        <v>36</v>
      </c>
      <c r="C6236" t="s">
        <v>37</v>
      </c>
      <c r="D6236">
        <v>108</v>
      </c>
    </row>
    <row r="6237" spans="1:4" ht="15.75" customHeight="1">
      <c r="A6237" t="s">
        <v>2052</v>
      </c>
      <c r="B6237" t="s">
        <v>36</v>
      </c>
      <c r="C6237" t="s">
        <v>37</v>
      </c>
      <c r="D6237">
        <v>108</v>
      </c>
    </row>
    <row r="6238" spans="1:4" ht="15.75" customHeight="1">
      <c r="A6238" t="s">
        <v>1175</v>
      </c>
      <c r="B6238" t="s">
        <v>36</v>
      </c>
      <c r="C6238" t="s">
        <v>37</v>
      </c>
      <c r="D6238">
        <v>108</v>
      </c>
    </row>
    <row r="6239" spans="1:4" ht="15.75" customHeight="1">
      <c r="A6239" t="s">
        <v>1138</v>
      </c>
      <c r="B6239" t="s">
        <v>36</v>
      </c>
      <c r="C6239" t="s">
        <v>37</v>
      </c>
      <c r="D6239">
        <v>108</v>
      </c>
    </row>
    <row r="6240" spans="1:4" ht="15.75" customHeight="1">
      <c r="A6240" t="s">
        <v>2042</v>
      </c>
      <c r="B6240" t="s">
        <v>36</v>
      </c>
      <c r="C6240" t="s">
        <v>37</v>
      </c>
      <c r="D6240">
        <v>108</v>
      </c>
    </row>
    <row r="6241" spans="1:4" ht="15.75" customHeight="1">
      <c r="A6241" t="s">
        <v>1679</v>
      </c>
      <c r="B6241" t="s">
        <v>36</v>
      </c>
      <c r="C6241" t="s">
        <v>37</v>
      </c>
      <c r="D6241">
        <v>108</v>
      </c>
    </row>
    <row r="6242" spans="1:4" ht="15.75" customHeight="1">
      <c r="A6242" t="s">
        <v>3494</v>
      </c>
      <c r="B6242" t="s">
        <v>36</v>
      </c>
      <c r="C6242" t="s">
        <v>37</v>
      </c>
      <c r="D6242">
        <v>107</v>
      </c>
    </row>
    <row r="6243" spans="1:4" ht="15.75" customHeight="1">
      <c r="A6243" t="s">
        <v>1677</v>
      </c>
      <c r="B6243" t="s">
        <v>36</v>
      </c>
      <c r="C6243" t="s">
        <v>37</v>
      </c>
      <c r="D6243">
        <v>107</v>
      </c>
    </row>
    <row r="6244" spans="1:4" ht="15.75" customHeight="1">
      <c r="A6244" t="s">
        <v>4004</v>
      </c>
      <c r="B6244" t="s">
        <v>36</v>
      </c>
      <c r="C6244" t="s">
        <v>37</v>
      </c>
      <c r="D6244">
        <v>107</v>
      </c>
    </row>
    <row r="6245" spans="1:4" ht="15.75" customHeight="1">
      <c r="A6245" t="s">
        <v>3912</v>
      </c>
      <c r="B6245" t="s">
        <v>36</v>
      </c>
      <c r="C6245" t="s">
        <v>37</v>
      </c>
      <c r="D6245">
        <v>106</v>
      </c>
    </row>
    <row r="6246" spans="1:4" ht="15.75" customHeight="1">
      <c r="A6246" t="s">
        <v>3560</v>
      </c>
      <c r="B6246" t="s">
        <v>36</v>
      </c>
      <c r="C6246" t="s">
        <v>37</v>
      </c>
      <c r="D6246">
        <v>106</v>
      </c>
    </row>
    <row r="6247" spans="1:4" ht="15.75" customHeight="1">
      <c r="A6247" t="s">
        <v>4318</v>
      </c>
      <c r="B6247" t="s">
        <v>36</v>
      </c>
      <c r="C6247" t="s">
        <v>37</v>
      </c>
      <c r="D6247">
        <v>105</v>
      </c>
    </row>
    <row r="6248" spans="1:4" ht="15.75" customHeight="1">
      <c r="A6248" t="s">
        <v>4329</v>
      </c>
      <c r="B6248" t="s">
        <v>36</v>
      </c>
      <c r="C6248" t="s">
        <v>37</v>
      </c>
      <c r="D6248">
        <v>105</v>
      </c>
    </row>
    <row r="6249" spans="1:4" ht="15.75" customHeight="1">
      <c r="A6249" t="s">
        <v>3979</v>
      </c>
      <c r="B6249" t="s">
        <v>36</v>
      </c>
      <c r="C6249" t="s">
        <v>37</v>
      </c>
      <c r="D6249">
        <v>105</v>
      </c>
    </row>
    <row r="6250" spans="1:4" ht="15.75" customHeight="1">
      <c r="A6250" t="s">
        <v>3582</v>
      </c>
      <c r="B6250" t="s">
        <v>36</v>
      </c>
      <c r="C6250" t="s">
        <v>37</v>
      </c>
      <c r="D6250">
        <v>105</v>
      </c>
    </row>
    <row r="6251" spans="1:4" ht="15.75" customHeight="1">
      <c r="A6251" t="s">
        <v>3070</v>
      </c>
      <c r="B6251" t="s">
        <v>36</v>
      </c>
      <c r="C6251" t="s">
        <v>37</v>
      </c>
      <c r="D6251">
        <v>104</v>
      </c>
    </row>
    <row r="6252" spans="1:4" ht="15.75" customHeight="1">
      <c r="A6252" t="s">
        <v>3021</v>
      </c>
      <c r="B6252" t="s">
        <v>36</v>
      </c>
      <c r="C6252" t="s">
        <v>37</v>
      </c>
      <c r="D6252">
        <v>104</v>
      </c>
    </row>
    <row r="6253" spans="1:4" ht="15.75" customHeight="1">
      <c r="A6253" t="s">
        <v>2526</v>
      </c>
      <c r="B6253" t="s">
        <v>36</v>
      </c>
      <c r="C6253" t="s">
        <v>37</v>
      </c>
      <c r="D6253">
        <v>102</v>
      </c>
    </row>
    <row r="6254" spans="1:4" ht="15.75" customHeight="1">
      <c r="A6254" t="s">
        <v>1204</v>
      </c>
      <c r="B6254" t="s">
        <v>36</v>
      </c>
      <c r="C6254" t="s">
        <v>37</v>
      </c>
      <c r="D6254">
        <v>102</v>
      </c>
    </row>
    <row r="6255" spans="1:4" ht="15.75" customHeight="1">
      <c r="A6255" t="s">
        <v>1985</v>
      </c>
      <c r="B6255" t="s">
        <v>36</v>
      </c>
      <c r="C6255" t="s">
        <v>37</v>
      </c>
      <c r="D6255">
        <v>102</v>
      </c>
    </row>
    <row r="6256" spans="1:4" ht="15.75" customHeight="1">
      <c r="A6256" t="s">
        <v>3918</v>
      </c>
      <c r="B6256" t="s">
        <v>36</v>
      </c>
      <c r="C6256" t="s">
        <v>37</v>
      </c>
      <c r="D6256">
        <v>101</v>
      </c>
    </row>
    <row r="6257" spans="1:4" ht="15.75" customHeight="1">
      <c r="A6257" t="s">
        <v>4704</v>
      </c>
      <c r="B6257" t="s">
        <v>36</v>
      </c>
      <c r="C6257" t="s">
        <v>37</v>
      </c>
      <c r="D6257">
        <v>101</v>
      </c>
    </row>
    <row r="6258" spans="1:4" ht="15.75" customHeight="1">
      <c r="A6258" t="s">
        <v>4684</v>
      </c>
      <c r="B6258" t="s">
        <v>36</v>
      </c>
      <c r="C6258" t="s">
        <v>37</v>
      </c>
      <c r="D6258">
        <v>100</v>
      </c>
    </row>
    <row r="6259" spans="1:4" ht="15.75" customHeight="1">
      <c r="A6259" t="s">
        <v>3514</v>
      </c>
      <c r="B6259" t="s">
        <v>36</v>
      </c>
      <c r="C6259" t="s">
        <v>37</v>
      </c>
      <c r="D6259">
        <v>100</v>
      </c>
    </row>
    <row r="6260" spans="1:4" ht="15.75" customHeight="1">
      <c r="A6260" t="s">
        <v>3504</v>
      </c>
      <c r="B6260" t="s">
        <v>36</v>
      </c>
      <c r="C6260" t="s">
        <v>37</v>
      </c>
      <c r="D6260">
        <v>100</v>
      </c>
    </row>
    <row r="6261" spans="1:4" ht="15.75" customHeight="1">
      <c r="A6261" t="s">
        <v>4679</v>
      </c>
      <c r="B6261" t="s">
        <v>36</v>
      </c>
      <c r="C6261" t="s">
        <v>37</v>
      </c>
      <c r="D6261">
        <v>99</v>
      </c>
    </row>
    <row r="6262" spans="1:4" ht="15.75" customHeight="1">
      <c r="A6262" t="s">
        <v>4673</v>
      </c>
      <c r="B6262" t="s">
        <v>36</v>
      </c>
      <c r="C6262" t="s">
        <v>37</v>
      </c>
      <c r="D6262">
        <v>99</v>
      </c>
    </row>
    <row r="6263" spans="1:4" ht="15.75" customHeight="1">
      <c r="A6263" t="s">
        <v>2069</v>
      </c>
      <c r="B6263" t="s">
        <v>36</v>
      </c>
      <c r="C6263" t="s">
        <v>37</v>
      </c>
      <c r="D6263">
        <v>99</v>
      </c>
    </row>
    <row r="6264" spans="1:4" ht="15.75" customHeight="1">
      <c r="A6264" t="s">
        <v>1657</v>
      </c>
      <c r="B6264" t="s">
        <v>36</v>
      </c>
      <c r="C6264" t="s">
        <v>37</v>
      </c>
      <c r="D6264">
        <v>98</v>
      </c>
    </row>
    <row r="6265" spans="1:4" ht="15.75" customHeight="1">
      <c r="A6265" t="s">
        <v>4705</v>
      </c>
      <c r="B6265" t="s">
        <v>36</v>
      </c>
      <c r="C6265" t="s">
        <v>37</v>
      </c>
      <c r="D6265">
        <v>98</v>
      </c>
    </row>
    <row r="6266" spans="1:4" ht="15.75" customHeight="1">
      <c r="A6266" t="s">
        <v>1988</v>
      </c>
      <c r="B6266" t="s">
        <v>36</v>
      </c>
      <c r="C6266" t="s">
        <v>37</v>
      </c>
      <c r="D6266">
        <v>98</v>
      </c>
    </row>
    <row r="6267" spans="1:4" ht="15.75" customHeight="1">
      <c r="A6267" t="s">
        <v>1626</v>
      </c>
      <c r="B6267" t="s">
        <v>36</v>
      </c>
      <c r="C6267" t="s">
        <v>37</v>
      </c>
      <c r="D6267">
        <v>97</v>
      </c>
    </row>
    <row r="6268" spans="1:4" ht="15.75" customHeight="1">
      <c r="A6268" t="s">
        <v>354</v>
      </c>
      <c r="B6268" t="s">
        <v>36</v>
      </c>
      <c r="C6268" t="s">
        <v>37</v>
      </c>
      <c r="D6268">
        <v>97</v>
      </c>
    </row>
    <row r="6269" spans="1:4" ht="15.75" customHeight="1">
      <c r="A6269" t="s">
        <v>4319</v>
      </c>
      <c r="B6269" t="s">
        <v>36</v>
      </c>
      <c r="C6269" t="s">
        <v>37</v>
      </c>
      <c r="D6269">
        <v>96</v>
      </c>
    </row>
    <row r="6270" spans="1:4" ht="15.75" customHeight="1">
      <c r="A6270" t="s">
        <v>4314</v>
      </c>
      <c r="B6270" t="s">
        <v>36</v>
      </c>
      <c r="C6270" t="s">
        <v>37</v>
      </c>
      <c r="D6270">
        <v>95</v>
      </c>
    </row>
    <row r="6271" spans="1:4" ht="15.75" customHeight="1">
      <c r="A6271" t="s">
        <v>2636</v>
      </c>
      <c r="B6271" t="s">
        <v>36</v>
      </c>
      <c r="C6271" t="s">
        <v>37</v>
      </c>
      <c r="D6271">
        <v>95</v>
      </c>
    </row>
    <row r="6272" spans="1:4" ht="15.75" customHeight="1">
      <c r="A6272" t="s">
        <v>422</v>
      </c>
      <c r="B6272" t="s">
        <v>36</v>
      </c>
      <c r="C6272" t="s">
        <v>37</v>
      </c>
      <c r="D6272">
        <v>95</v>
      </c>
    </row>
    <row r="6273" spans="1:4" ht="15.75" customHeight="1">
      <c r="A6273" t="s">
        <v>2539</v>
      </c>
      <c r="B6273" t="s">
        <v>36</v>
      </c>
      <c r="C6273" t="s">
        <v>37</v>
      </c>
      <c r="D6273">
        <v>95</v>
      </c>
    </row>
    <row r="6274" spans="1:4" ht="15.75" customHeight="1">
      <c r="A6274" t="s">
        <v>410</v>
      </c>
      <c r="B6274" t="s">
        <v>36</v>
      </c>
      <c r="C6274" t="s">
        <v>37</v>
      </c>
      <c r="D6274">
        <v>95</v>
      </c>
    </row>
    <row r="6275" spans="1:4" ht="15.75" customHeight="1">
      <c r="A6275" t="s">
        <v>341</v>
      </c>
      <c r="B6275" t="s">
        <v>36</v>
      </c>
      <c r="C6275" t="s">
        <v>37</v>
      </c>
      <c r="D6275">
        <v>95</v>
      </c>
    </row>
    <row r="6276" spans="1:4" ht="15.75" customHeight="1">
      <c r="A6276" t="s">
        <v>3023</v>
      </c>
      <c r="B6276" t="s">
        <v>36</v>
      </c>
      <c r="C6276" t="s">
        <v>37</v>
      </c>
      <c r="D6276">
        <v>95</v>
      </c>
    </row>
    <row r="6277" spans="1:4" ht="15.75" customHeight="1">
      <c r="A6277" t="s">
        <v>3118</v>
      </c>
      <c r="B6277" t="s">
        <v>36</v>
      </c>
      <c r="C6277" t="s">
        <v>37</v>
      </c>
      <c r="D6277">
        <v>95</v>
      </c>
    </row>
    <row r="6278" spans="1:4" ht="15.75" customHeight="1">
      <c r="A6278" t="s">
        <v>3997</v>
      </c>
      <c r="B6278" t="s">
        <v>36</v>
      </c>
      <c r="C6278" t="s">
        <v>37</v>
      </c>
      <c r="D6278">
        <v>95</v>
      </c>
    </row>
    <row r="6279" spans="1:4" ht="15.75" customHeight="1">
      <c r="A6279" t="s">
        <v>1645</v>
      </c>
      <c r="B6279" t="s">
        <v>36</v>
      </c>
      <c r="C6279" t="s">
        <v>37</v>
      </c>
      <c r="D6279">
        <v>94</v>
      </c>
    </row>
    <row r="6280" spans="1:4" ht="15.75" customHeight="1">
      <c r="A6280" t="s">
        <v>1200</v>
      </c>
      <c r="B6280" t="s">
        <v>36</v>
      </c>
      <c r="C6280" t="s">
        <v>37</v>
      </c>
      <c r="D6280">
        <v>94</v>
      </c>
    </row>
    <row r="6281" spans="1:4" ht="15.75" customHeight="1">
      <c r="A6281" t="s">
        <v>3124</v>
      </c>
      <c r="B6281" t="s">
        <v>36</v>
      </c>
      <c r="C6281" t="s">
        <v>37</v>
      </c>
      <c r="D6281">
        <v>94</v>
      </c>
    </row>
    <row r="6282" spans="1:4" ht="15.75" customHeight="1">
      <c r="A6282" t="s">
        <v>3018</v>
      </c>
      <c r="B6282" t="s">
        <v>36</v>
      </c>
      <c r="C6282" t="s">
        <v>37</v>
      </c>
      <c r="D6282">
        <v>94</v>
      </c>
    </row>
    <row r="6283" spans="1:4" ht="15.75" customHeight="1">
      <c r="A6283" t="s">
        <v>3119</v>
      </c>
      <c r="B6283" t="s">
        <v>36</v>
      </c>
      <c r="C6283" t="s">
        <v>37</v>
      </c>
      <c r="D6283">
        <v>94</v>
      </c>
    </row>
    <row r="6284" spans="1:4" ht="15.75" customHeight="1">
      <c r="A6284" t="s">
        <v>3521</v>
      </c>
      <c r="B6284" t="s">
        <v>36</v>
      </c>
      <c r="C6284" t="s">
        <v>37</v>
      </c>
      <c r="D6284">
        <v>93</v>
      </c>
    </row>
    <row r="6285" spans="1:4" ht="15.75" customHeight="1">
      <c r="A6285" t="s">
        <v>4685</v>
      </c>
      <c r="B6285" t="s">
        <v>36</v>
      </c>
      <c r="C6285" t="s">
        <v>37</v>
      </c>
      <c r="D6285">
        <v>93</v>
      </c>
    </row>
    <row r="6286" spans="1:4" ht="15.75" customHeight="1">
      <c r="A6286" t="s">
        <v>4629</v>
      </c>
      <c r="B6286" t="s">
        <v>36</v>
      </c>
      <c r="C6286" t="s">
        <v>37</v>
      </c>
      <c r="D6286">
        <v>93</v>
      </c>
    </row>
    <row r="6287" spans="1:4" ht="15.75" customHeight="1">
      <c r="A6287" t="s">
        <v>4597</v>
      </c>
      <c r="B6287" t="s">
        <v>36</v>
      </c>
      <c r="C6287" t="s">
        <v>37</v>
      </c>
      <c r="D6287">
        <v>93</v>
      </c>
    </row>
    <row r="6288" spans="1:4" ht="15.75" customHeight="1">
      <c r="A6288" t="s">
        <v>3081</v>
      </c>
      <c r="B6288" t="s">
        <v>36</v>
      </c>
      <c r="C6288" t="s">
        <v>37</v>
      </c>
      <c r="D6288">
        <v>93</v>
      </c>
    </row>
    <row r="6289" spans="1:4" ht="15.75" customHeight="1">
      <c r="A6289" t="s">
        <v>4320</v>
      </c>
      <c r="B6289" t="s">
        <v>36</v>
      </c>
      <c r="C6289" t="s">
        <v>37</v>
      </c>
      <c r="D6289">
        <v>92</v>
      </c>
    </row>
    <row r="6290" spans="1:4" ht="15.75" customHeight="1">
      <c r="A6290" t="s">
        <v>1119</v>
      </c>
      <c r="B6290" t="s">
        <v>36</v>
      </c>
      <c r="C6290" t="s">
        <v>37</v>
      </c>
      <c r="D6290">
        <v>92</v>
      </c>
    </row>
    <row r="6291" spans="1:4" ht="15.75" customHeight="1">
      <c r="A6291" t="s">
        <v>1999</v>
      </c>
      <c r="B6291" t="s">
        <v>36</v>
      </c>
      <c r="C6291" t="s">
        <v>37</v>
      </c>
      <c r="D6291">
        <v>92</v>
      </c>
    </row>
    <row r="6292" spans="1:4" ht="15.75" customHeight="1">
      <c r="A6292" t="s">
        <v>4636</v>
      </c>
      <c r="B6292" t="s">
        <v>36</v>
      </c>
      <c r="C6292" t="s">
        <v>37</v>
      </c>
      <c r="D6292">
        <v>92</v>
      </c>
    </row>
    <row r="6293" spans="1:4" ht="15.75" customHeight="1">
      <c r="A6293" t="s">
        <v>2054</v>
      </c>
      <c r="B6293" t="s">
        <v>36</v>
      </c>
      <c r="C6293" t="s">
        <v>37</v>
      </c>
      <c r="D6293">
        <v>91</v>
      </c>
    </row>
    <row r="6294" spans="1:4" ht="15.75" customHeight="1">
      <c r="A6294" t="s">
        <v>3532</v>
      </c>
      <c r="B6294" t="s">
        <v>36</v>
      </c>
      <c r="C6294" t="s">
        <v>37</v>
      </c>
      <c r="D6294">
        <v>91</v>
      </c>
    </row>
    <row r="6295" spans="1:4" ht="15.75" customHeight="1">
      <c r="A6295" t="s">
        <v>3550</v>
      </c>
      <c r="B6295" t="s">
        <v>36</v>
      </c>
      <c r="C6295" t="s">
        <v>37</v>
      </c>
      <c r="D6295">
        <v>90</v>
      </c>
    </row>
    <row r="6296" spans="1:4" ht="15.75" customHeight="1">
      <c r="A6296" t="s">
        <v>3519</v>
      </c>
      <c r="B6296" t="s">
        <v>36</v>
      </c>
      <c r="C6296" t="s">
        <v>37</v>
      </c>
      <c r="D6296">
        <v>90</v>
      </c>
    </row>
    <row r="6297" spans="1:4" ht="15.75" customHeight="1">
      <c r="A6297" t="s">
        <v>4288</v>
      </c>
      <c r="B6297" t="s">
        <v>36</v>
      </c>
      <c r="C6297" t="s">
        <v>37</v>
      </c>
      <c r="D6297">
        <v>89</v>
      </c>
    </row>
    <row r="6298" spans="1:4" ht="15.75" customHeight="1">
      <c r="A6298" t="s">
        <v>1682</v>
      </c>
      <c r="B6298" t="s">
        <v>36</v>
      </c>
      <c r="C6298" t="s">
        <v>37</v>
      </c>
      <c r="D6298">
        <v>88</v>
      </c>
    </row>
    <row r="6299" spans="1:4" ht="15.75" customHeight="1">
      <c r="A6299" t="s">
        <v>2009</v>
      </c>
      <c r="B6299" t="s">
        <v>36</v>
      </c>
      <c r="C6299" t="s">
        <v>37</v>
      </c>
      <c r="D6299">
        <v>88</v>
      </c>
    </row>
    <row r="6300" spans="1:4" ht="15.75" customHeight="1">
      <c r="A6300" t="s">
        <v>355</v>
      </c>
      <c r="B6300" t="s">
        <v>36</v>
      </c>
      <c r="C6300" t="s">
        <v>37</v>
      </c>
      <c r="D6300">
        <v>87</v>
      </c>
    </row>
    <row r="6301" spans="1:4" ht="15.75" customHeight="1">
      <c r="A6301" t="s">
        <v>376</v>
      </c>
      <c r="B6301" t="s">
        <v>36</v>
      </c>
      <c r="C6301" t="s">
        <v>37</v>
      </c>
      <c r="D6301">
        <v>87</v>
      </c>
    </row>
    <row r="6302" spans="1:4" ht="15.75" customHeight="1">
      <c r="A6302" t="s">
        <v>2082</v>
      </c>
      <c r="B6302" t="s">
        <v>36</v>
      </c>
      <c r="C6302" t="s">
        <v>37</v>
      </c>
      <c r="D6302">
        <v>87</v>
      </c>
    </row>
    <row r="6303" spans="1:4" ht="15.75" customHeight="1">
      <c r="A6303" t="s">
        <v>3554</v>
      </c>
      <c r="B6303" t="s">
        <v>36</v>
      </c>
      <c r="C6303" t="s">
        <v>37</v>
      </c>
      <c r="D6303">
        <v>86</v>
      </c>
    </row>
    <row r="6304" spans="1:4" ht="15.75" customHeight="1">
      <c r="A6304" t="s">
        <v>4331</v>
      </c>
      <c r="B6304" t="s">
        <v>36</v>
      </c>
      <c r="C6304" t="s">
        <v>37</v>
      </c>
      <c r="D6304">
        <v>86</v>
      </c>
    </row>
    <row r="6305" spans="1:4" ht="15.75" customHeight="1">
      <c r="A6305" t="s">
        <v>368</v>
      </c>
      <c r="B6305" t="s">
        <v>36</v>
      </c>
      <c r="C6305" t="s">
        <v>37</v>
      </c>
      <c r="D6305">
        <v>86</v>
      </c>
    </row>
    <row r="6306" spans="1:4" ht="15.75" customHeight="1">
      <c r="A6306" t="s">
        <v>3898</v>
      </c>
      <c r="B6306" t="s">
        <v>36</v>
      </c>
      <c r="C6306" t="s">
        <v>37</v>
      </c>
      <c r="D6306">
        <v>86</v>
      </c>
    </row>
    <row r="6307" spans="1:4" ht="15.75" customHeight="1">
      <c r="A6307" t="s">
        <v>4342</v>
      </c>
      <c r="B6307" t="s">
        <v>36</v>
      </c>
      <c r="C6307" t="s">
        <v>37</v>
      </c>
      <c r="D6307">
        <v>86</v>
      </c>
    </row>
    <row r="6308" spans="1:4" ht="15.75" customHeight="1">
      <c r="A6308" t="s">
        <v>1165</v>
      </c>
      <c r="B6308" t="s">
        <v>36</v>
      </c>
      <c r="C6308" t="s">
        <v>37</v>
      </c>
      <c r="D6308">
        <v>85</v>
      </c>
    </row>
    <row r="6309" spans="1:4" ht="15.75" customHeight="1">
      <c r="A6309" t="s">
        <v>3516</v>
      </c>
      <c r="B6309" t="s">
        <v>36</v>
      </c>
      <c r="C6309" t="s">
        <v>37</v>
      </c>
      <c r="D6309">
        <v>85</v>
      </c>
    </row>
    <row r="6310" spans="1:4" ht="15.75" customHeight="1">
      <c r="A6310" t="s">
        <v>2013</v>
      </c>
      <c r="B6310" t="s">
        <v>36</v>
      </c>
      <c r="C6310" t="s">
        <v>37</v>
      </c>
      <c r="D6310">
        <v>85</v>
      </c>
    </row>
    <row r="6311" spans="1:4" ht="15.75" customHeight="1">
      <c r="A6311" t="s">
        <v>4599</v>
      </c>
      <c r="B6311" t="s">
        <v>36</v>
      </c>
      <c r="C6311" t="s">
        <v>37</v>
      </c>
      <c r="D6311">
        <v>85</v>
      </c>
    </row>
    <row r="6312" spans="1:4" ht="15.75" customHeight="1">
      <c r="A6312" t="s">
        <v>3537</v>
      </c>
      <c r="B6312" t="s">
        <v>36</v>
      </c>
      <c r="C6312" t="s">
        <v>37</v>
      </c>
      <c r="D6312">
        <v>85</v>
      </c>
    </row>
    <row r="6313" spans="1:4" ht="15.75" customHeight="1">
      <c r="A6313" t="s">
        <v>4649</v>
      </c>
      <c r="B6313" t="s">
        <v>36</v>
      </c>
      <c r="C6313" t="s">
        <v>37</v>
      </c>
      <c r="D6313">
        <v>84</v>
      </c>
    </row>
    <row r="6314" spans="1:4" ht="15.75" customHeight="1">
      <c r="A6314" t="s">
        <v>1646</v>
      </c>
      <c r="B6314" t="s">
        <v>36</v>
      </c>
      <c r="C6314" t="s">
        <v>37</v>
      </c>
      <c r="D6314">
        <v>84</v>
      </c>
    </row>
    <row r="6315" spans="1:4" ht="15.75" customHeight="1">
      <c r="A6315" t="s">
        <v>1647</v>
      </c>
      <c r="B6315" t="s">
        <v>36</v>
      </c>
      <c r="C6315" t="s">
        <v>37</v>
      </c>
      <c r="D6315">
        <v>84</v>
      </c>
    </row>
    <row r="6316" spans="1:4" ht="15.75" customHeight="1">
      <c r="A6316" t="s">
        <v>2030</v>
      </c>
      <c r="B6316" t="s">
        <v>36</v>
      </c>
      <c r="C6316" t="s">
        <v>37</v>
      </c>
      <c r="D6316">
        <v>84</v>
      </c>
    </row>
    <row r="6317" spans="1:4" ht="15.75" customHeight="1">
      <c r="A6317" t="s">
        <v>4670</v>
      </c>
      <c r="B6317" t="s">
        <v>36</v>
      </c>
      <c r="C6317" t="s">
        <v>37</v>
      </c>
      <c r="D6317">
        <v>83</v>
      </c>
    </row>
    <row r="6318" spans="1:4" ht="15.75" customHeight="1">
      <c r="A6318" t="s">
        <v>4343</v>
      </c>
      <c r="B6318" t="s">
        <v>36</v>
      </c>
      <c r="C6318" t="s">
        <v>37</v>
      </c>
      <c r="D6318">
        <v>83</v>
      </c>
    </row>
    <row r="6319" spans="1:4" ht="15.75" customHeight="1">
      <c r="A6319" t="s">
        <v>3536</v>
      </c>
      <c r="B6319" t="s">
        <v>36</v>
      </c>
      <c r="C6319" t="s">
        <v>37</v>
      </c>
      <c r="D6319">
        <v>83</v>
      </c>
    </row>
    <row r="6320" spans="1:4" ht="15.75" customHeight="1">
      <c r="A6320" t="s">
        <v>1689</v>
      </c>
      <c r="B6320" t="s">
        <v>36</v>
      </c>
      <c r="C6320" t="s">
        <v>37</v>
      </c>
      <c r="D6320">
        <v>83</v>
      </c>
    </row>
    <row r="6321" spans="1:4" ht="15.75" customHeight="1">
      <c r="A6321" t="s">
        <v>2544</v>
      </c>
      <c r="B6321" t="s">
        <v>36</v>
      </c>
      <c r="C6321" t="s">
        <v>37</v>
      </c>
      <c r="D6321">
        <v>82</v>
      </c>
    </row>
    <row r="6322" spans="1:4" ht="15.75" customHeight="1">
      <c r="A6322" t="s">
        <v>3495</v>
      </c>
      <c r="B6322" t="s">
        <v>36</v>
      </c>
      <c r="C6322" t="s">
        <v>37</v>
      </c>
      <c r="D6322">
        <v>82</v>
      </c>
    </row>
    <row r="6323" spans="1:4" ht="15.75" customHeight="1">
      <c r="A6323" t="s">
        <v>4587</v>
      </c>
      <c r="B6323" t="s">
        <v>36</v>
      </c>
      <c r="C6323" t="s">
        <v>37</v>
      </c>
      <c r="D6323">
        <v>82</v>
      </c>
    </row>
    <row r="6324" spans="1:4" ht="15.75" customHeight="1">
      <c r="A6324" t="s">
        <v>3077</v>
      </c>
      <c r="B6324" t="s">
        <v>36</v>
      </c>
      <c r="C6324" t="s">
        <v>37</v>
      </c>
      <c r="D6324">
        <v>82</v>
      </c>
    </row>
    <row r="6325" spans="1:4" ht="15.75" customHeight="1">
      <c r="A6325" t="s">
        <v>4637</v>
      </c>
      <c r="B6325" t="s">
        <v>36</v>
      </c>
      <c r="C6325" t="s">
        <v>37</v>
      </c>
      <c r="D6325">
        <v>81</v>
      </c>
    </row>
    <row r="6326" spans="1:4" ht="15.75" customHeight="1">
      <c r="A6326" t="s">
        <v>2532</v>
      </c>
      <c r="B6326" t="s">
        <v>36</v>
      </c>
      <c r="C6326" t="s">
        <v>37</v>
      </c>
      <c r="D6326">
        <v>81</v>
      </c>
    </row>
    <row r="6327" spans="1:4" ht="15.75" customHeight="1">
      <c r="A6327" t="s">
        <v>3966</v>
      </c>
      <c r="B6327" t="s">
        <v>36</v>
      </c>
      <c r="C6327" t="s">
        <v>37</v>
      </c>
      <c r="D6327">
        <v>81</v>
      </c>
    </row>
    <row r="6328" spans="1:4" ht="15.75" customHeight="1">
      <c r="A6328" t="s">
        <v>1115</v>
      </c>
      <c r="B6328" t="s">
        <v>36</v>
      </c>
      <c r="C6328" t="s">
        <v>37</v>
      </c>
      <c r="D6328">
        <v>81</v>
      </c>
    </row>
    <row r="6329" spans="1:4" ht="15.75" customHeight="1">
      <c r="A6329" t="s">
        <v>395</v>
      </c>
      <c r="B6329" t="s">
        <v>36</v>
      </c>
      <c r="C6329" t="s">
        <v>37</v>
      </c>
      <c r="D6329">
        <v>81</v>
      </c>
    </row>
    <row r="6330" spans="1:4" ht="15.75" customHeight="1">
      <c r="A6330" t="s">
        <v>1634</v>
      </c>
      <c r="B6330" t="s">
        <v>36</v>
      </c>
      <c r="C6330" t="s">
        <v>37</v>
      </c>
      <c r="D6330">
        <v>80</v>
      </c>
    </row>
    <row r="6331" spans="1:4" ht="15.75" customHeight="1">
      <c r="A6331" t="s">
        <v>4577</v>
      </c>
      <c r="B6331" t="s">
        <v>36</v>
      </c>
      <c r="C6331" t="s">
        <v>37</v>
      </c>
      <c r="D6331">
        <v>80</v>
      </c>
    </row>
    <row r="6332" spans="1:4" ht="15.75" customHeight="1">
      <c r="A6332" t="s">
        <v>4293</v>
      </c>
      <c r="B6332" t="s">
        <v>36</v>
      </c>
      <c r="C6332" t="s">
        <v>37</v>
      </c>
      <c r="D6332">
        <v>79</v>
      </c>
    </row>
    <row r="6333" spans="1:4" ht="15.75" customHeight="1">
      <c r="A6333" t="s">
        <v>2008</v>
      </c>
      <c r="B6333" t="s">
        <v>36</v>
      </c>
      <c r="C6333" t="s">
        <v>37</v>
      </c>
      <c r="D6333">
        <v>79</v>
      </c>
    </row>
    <row r="6334" spans="1:4" ht="15.75" customHeight="1">
      <c r="A6334" t="s">
        <v>3978</v>
      </c>
      <c r="B6334" t="s">
        <v>36</v>
      </c>
      <c r="C6334" t="s">
        <v>37</v>
      </c>
      <c r="D6334">
        <v>79</v>
      </c>
    </row>
    <row r="6335" spans="1:4" ht="15.75" customHeight="1">
      <c r="A6335" t="s">
        <v>4627</v>
      </c>
      <c r="B6335" t="s">
        <v>36</v>
      </c>
      <c r="C6335" t="s">
        <v>37</v>
      </c>
      <c r="D6335">
        <v>79</v>
      </c>
    </row>
    <row r="6336" spans="1:4" ht="15.75" customHeight="1">
      <c r="A6336" t="s">
        <v>343</v>
      </c>
      <c r="B6336" t="s">
        <v>36</v>
      </c>
      <c r="C6336" t="s">
        <v>37</v>
      </c>
      <c r="D6336">
        <v>78</v>
      </c>
    </row>
    <row r="6337" spans="1:4" ht="15.75" customHeight="1">
      <c r="A6337" t="s">
        <v>337</v>
      </c>
      <c r="B6337" t="s">
        <v>36</v>
      </c>
      <c r="C6337" t="s">
        <v>37</v>
      </c>
      <c r="D6337">
        <v>78</v>
      </c>
    </row>
    <row r="6338" spans="1:4" ht="15.75" customHeight="1">
      <c r="A6338" t="s">
        <v>4616</v>
      </c>
      <c r="B6338" t="s">
        <v>36</v>
      </c>
      <c r="C6338" t="s">
        <v>37</v>
      </c>
      <c r="D6338">
        <v>78</v>
      </c>
    </row>
    <row r="6339" spans="1:4" ht="15.75" customHeight="1">
      <c r="A6339" t="s">
        <v>2059</v>
      </c>
      <c r="B6339" t="s">
        <v>36</v>
      </c>
      <c r="C6339" t="s">
        <v>37</v>
      </c>
      <c r="D6339">
        <v>78</v>
      </c>
    </row>
    <row r="6340" spans="1:4" ht="15.75" customHeight="1">
      <c r="A6340" t="s">
        <v>3543</v>
      </c>
      <c r="B6340" t="s">
        <v>36</v>
      </c>
      <c r="C6340" t="s">
        <v>37</v>
      </c>
      <c r="D6340">
        <v>77</v>
      </c>
    </row>
    <row r="6341" spans="1:4" ht="15.75" customHeight="1">
      <c r="A6341" t="s">
        <v>4702</v>
      </c>
      <c r="B6341" t="s">
        <v>36</v>
      </c>
      <c r="C6341" t="s">
        <v>37</v>
      </c>
      <c r="D6341">
        <v>77</v>
      </c>
    </row>
    <row r="6342" spans="1:4" ht="15.75" customHeight="1">
      <c r="A6342" t="s">
        <v>3551</v>
      </c>
      <c r="B6342" t="s">
        <v>36</v>
      </c>
      <c r="C6342" t="s">
        <v>37</v>
      </c>
      <c r="D6342">
        <v>77</v>
      </c>
    </row>
    <row r="6343" spans="1:4" ht="15.75" customHeight="1">
      <c r="A6343" t="s">
        <v>4579</v>
      </c>
      <c r="B6343" t="s">
        <v>36</v>
      </c>
      <c r="C6343" t="s">
        <v>37</v>
      </c>
      <c r="D6343">
        <v>77</v>
      </c>
    </row>
    <row r="6344" spans="1:4" ht="15.75" customHeight="1">
      <c r="A6344" t="s">
        <v>3123</v>
      </c>
      <c r="B6344" t="s">
        <v>36</v>
      </c>
      <c r="C6344" t="s">
        <v>37</v>
      </c>
      <c r="D6344">
        <v>76</v>
      </c>
    </row>
    <row r="6345" spans="1:4" ht="15.75" customHeight="1">
      <c r="A6345" t="s">
        <v>4271</v>
      </c>
      <c r="B6345" t="s">
        <v>36</v>
      </c>
      <c r="C6345" t="s">
        <v>37</v>
      </c>
      <c r="D6345">
        <v>76</v>
      </c>
    </row>
    <row r="6346" spans="1:4" ht="15.75" customHeight="1">
      <c r="A6346" t="s">
        <v>2597</v>
      </c>
      <c r="B6346" t="s">
        <v>36</v>
      </c>
      <c r="C6346" t="s">
        <v>37</v>
      </c>
      <c r="D6346">
        <v>75</v>
      </c>
    </row>
    <row r="6347" spans="1:4" ht="15.75" customHeight="1">
      <c r="A6347" t="s">
        <v>3048</v>
      </c>
      <c r="B6347" t="s">
        <v>36</v>
      </c>
      <c r="C6347" t="s">
        <v>37</v>
      </c>
      <c r="D6347">
        <v>75</v>
      </c>
    </row>
    <row r="6348" spans="1:4" ht="15.75" customHeight="1">
      <c r="A6348" t="s">
        <v>4701</v>
      </c>
      <c r="B6348" t="s">
        <v>36</v>
      </c>
      <c r="C6348" t="s">
        <v>37</v>
      </c>
      <c r="D6348">
        <v>75</v>
      </c>
    </row>
    <row r="6349" spans="1:4" ht="15.75" customHeight="1">
      <c r="A6349" t="s">
        <v>4677</v>
      </c>
      <c r="B6349" t="s">
        <v>36</v>
      </c>
      <c r="C6349" t="s">
        <v>37</v>
      </c>
      <c r="D6349">
        <v>74</v>
      </c>
    </row>
    <row r="6350" spans="1:4" ht="15.75" customHeight="1">
      <c r="A6350" t="s">
        <v>312</v>
      </c>
      <c r="B6350" t="s">
        <v>36</v>
      </c>
      <c r="C6350" t="s">
        <v>37</v>
      </c>
      <c r="D6350">
        <v>74</v>
      </c>
    </row>
    <row r="6351" spans="1:4" ht="15.75" customHeight="1">
      <c r="A6351" t="s">
        <v>2025</v>
      </c>
      <c r="B6351" t="s">
        <v>36</v>
      </c>
      <c r="C6351" t="s">
        <v>37</v>
      </c>
      <c r="D6351">
        <v>74</v>
      </c>
    </row>
    <row r="6352" spans="1:4" ht="15.75" customHeight="1">
      <c r="A6352" t="s">
        <v>1654</v>
      </c>
      <c r="B6352" t="s">
        <v>36</v>
      </c>
      <c r="C6352" t="s">
        <v>37</v>
      </c>
      <c r="D6352">
        <v>74</v>
      </c>
    </row>
    <row r="6353" spans="1:4" ht="15.75" customHeight="1">
      <c r="A6353" t="s">
        <v>4581</v>
      </c>
      <c r="B6353" t="s">
        <v>36</v>
      </c>
      <c r="C6353" t="s">
        <v>37</v>
      </c>
      <c r="D6353">
        <v>74</v>
      </c>
    </row>
    <row r="6354" spans="1:4" ht="15.75" customHeight="1">
      <c r="A6354" t="s">
        <v>2632</v>
      </c>
      <c r="B6354" t="s">
        <v>36</v>
      </c>
      <c r="C6354" t="s">
        <v>37</v>
      </c>
      <c r="D6354">
        <v>74</v>
      </c>
    </row>
    <row r="6355" spans="1:4" ht="15.75" customHeight="1">
      <c r="A6355" t="s">
        <v>2607</v>
      </c>
      <c r="B6355" t="s">
        <v>36</v>
      </c>
      <c r="C6355" t="s">
        <v>37</v>
      </c>
      <c r="D6355">
        <v>74</v>
      </c>
    </row>
    <row r="6356" spans="1:4" ht="15.75" customHeight="1">
      <c r="A6356" t="s">
        <v>2574</v>
      </c>
      <c r="B6356" t="s">
        <v>36</v>
      </c>
      <c r="C6356" t="s">
        <v>37</v>
      </c>
      <c r="D6356">
        <v>73</v>
      </c>
    </row>
    <row r="6357" spans="1:4" ht="15.75" customHeight="1">
      <c r="A6357" t="s">
        <v>3090</v>
      </c>
      <c r="B6357" t="s">
        <v>36</v>
      </c>
      <c r="C6357" t="s">
        <v>37</v>
      </c>
      <c r="D6357">
        <v>73</v>
      </c>
    </row>
    <row r="6358" spans="1:4" ht="15.75" customHeight="1">
      <c r="A6358" t="s">
        <v>1167</v>
      </c>
      <c r="B6358" t="s">
        <v>36</v>
      </c>
      <c r="C6358" t="s">
        <v>37</v>
      </c>
      <c r="D6358">
        <v>73</v>
      </c>
    </row>
    <row r="6359" spans="1:4" ht="15.75" customHeight="1">
      <c r="A6359" t="s">
        <v>3530</v>
      </c>
      <c r="B6359" t="s">
        <v>36</v>
      </c>
      <c r="C6359" t="s">
        <v>37</v>
      </c>
      <c r="D6359">
        <v>73</v>
      </c>
    </row>
    <row r="6360" spans="1:4" ht="15.75" customHeight="1">
      <c r="A6360" t="s">
        <v>430</v>
      </c>
      <c r="B6360" t="s">
        <v>36</v>
      </c>
      <c r="C6360" t="s">
        <v>37</v>
      </c>
      <c r="D6360">
        <v>73</v>
      </c>
    </row>
    <row r="6361" spans="1:4" ht="15.75" customHeight="1">
      <c r="A6361" t="s">
        <v>3044</v>
      </c>
      <c r="B6361" t="s">
        <v>36</v>
      </c>
      <c r="C6361" t="s">
        <v>37</v>
      </c>
      <c r="D6361">
        <v>72</v>
      </c>
    </row>
    <row r="6362" spans="1:4" ht="15.75" customHeight="1">
      <c r="A6362" t="s">
        <v>1669</v>
      </c>
      <c r="B6362" t="s">
        <v>36</v>
      </c>
      <c r="C6362" t="s">
        <v>37</v>
      </c>
      <c r="D6362">
        <v>72</v>
      </c>
    </row>
    <row r="6363" spans="1:4" ht="15.75" customHeight="1">
      <c r="A6363" t="s">
        <v>4593</v>
      </c>
      <c r="B6363" t="s">
        <v>36</v>
      </c>
      <c r="C6363" t="s">
        <v>37</v>
      </c>
      <c r="D6363">
        <v>71</v>
      </c>
    </row>
    <row r="6364" spans="1:4" ht="15.75" customHeight="1">
      <c r="A6364" t="s">
        <v>1683</v>
      </c>
      <c r="B6364" t="s">
        <v>36</v>
      </c>
      <c r="C6364" t="s">
        <v>37</v>
      </c>
      <c r="D6364">
        <v>71</v>
      </c>
    </row>
    <row r="6365" spans="1:4" ht="15.75" customHeight="1">
      <c r="A6365" t="s">
        <v>3900</v>
      </c>
      <c r="B6365" t="s">
        <v>36</v>
      </c>
      <c r="C6365" t="s">
        <v>37</v>
      </c>
      <c r="D6365">
        <v>71</v>
      </c>
    </row>
    <row r="6366" spans="1:4" ht="15.75" customHeight="1">
      <c r="A6366" t="s">
        <v>4693</v>
      </c>
      <c r="B6366" t="s">
        <v>36</v>
      </c>
      <c r="C6366" t="s">
        <v>37</v>
      </c>
      <c r="D6366">
        <v>70</v>
      </c>
    </row>
    <row r="6367" spans="1:4" ht="15.75" customHeight="1">
      <c r="A6367" t="s">
        <v>4300</v>
      </c>
      <c r="B6367" t="s">
        <v>36</v>
      </c>
      <c r="C6367" t="s">
        <v>37</v>
      </c>
      <c r="D6367">
        <v>70</v>
      </c>
    </row>
    <row r="6368" spans="1:4" ht="15.75" customHeight="1">
      <c r="A6368" t="s">
        <v>4296</v>
      </c>
      <c r="B6368" t="s">
        <v>36</v>
      </c>
      <c r="C6368" t="s">
        <v>37</v>
      </c>
      <c r="D6368">
        <v>70</v>
      </c>
    </row>
    <row r="6369" spans="1:4" ht="15.75" customHeight="1">
      <c r="A6369" t="s">
        <v>2022</v>
      </c>
      <c r="B6369" t="s">
        <v>36</v>
      </c>
      <c r="C6369" t="s">
        <v>37</v>
      </c>
      <c r="D6369">
        <v>70</v>
      </c>
    </row>
    <row r="6370" spans="1:4" ht="15.75" customHeight="1">
      <c r="A6370" t="s">
        <v>3570</v>
      </c>
      <c r="B6370" t="s">
        <v>36</v>
      </c>
      <c r="C6370" t="s">
        <v>37</v>
      </c>
      <c r="D6370">
        <v>70</v>
      </c>
    </row>
    <row r="6371" spans="1:4" ht="15.75" customHeight="1">
      <c r="A6371" t="s">
        <v>4656</v>
      </c>
      <c r="B6371" t="s">
        <v>36</v>
      </c>
      <c r="C6371" t="s">
        <v>37</v>
      </c>
      <c r="D6371">
        <v>70</v>
      </c>
    </row>
    <row r="6372" spans="1:4" ht="15.75" customHeight="1">
      <c r="A6372" t="s">
        <v>4675</v>
      </c>
      <c r="B6372" t="s">
        <v>36</v>
      </c>
      <c r="C6372" t="s">
        <v>37</v>
      </c>
      <c r="D6372">
        <v>70</v>
      </c>
    </row>
    <row r="6373" spans="1:4" ht="15.75" customHeight="1">
      <c r="A6373" t="s">
        <v>2076</v>
      </c>
      <c r="B6373" t="s">
        <v>36</v>
      </c>
      <c r="C6373" t="s">
        <v>37</v>
      </c>
      <c r="D6373">
        <v>69</v>
      </c>
    </row>
    <row r="6374" spans="1:4" ht="15.75" customHeight="1">
      <c r="A6374" t="s">
        <v>1991</v>
      </c>
      <c r="B6374" t="s">
        <v>36</v>
      </c>
      <c r="C6374" t="s">
        <v>37</v>
      </c>
      <c r="D6374">
        <v>69</v>
      </c>
    </row>
    <row r="6375" spans="1:4" ht="15.75" customHeight="1">
      <c r="A6375" t="s">
        <v>3525</v>
      </c>
      <c r="B6375" t="s">
        <v>36</v>
      </c>
      <c r="C6375" t="s">
        <v>37</v>
      </c>
      <c r="D6375">
        <v>69</v>
      </c>
    </row>
    <row r="6376" spans="1:4" ht="15.75" customHeight="1">
      <c r="A6376" t="s">
        <v>4659</v>
      </c>
      <c r="B6376" t="s">
        <v>36</v>
      </c>
      <c r="C6376" t="s">
        <v>37</v>
      </c>
      <c r="D6376">
        <v>69</v>
      </c>
    </row>
    <row r="6377" spans="1:4" ht="15.75" customHeight="1">
      <c r="A6377" t="s">
        <v>1635</v>
      </c>
      <c r="B6377" t="s">
        <v>36</v>
      </c>
      <c r="C6377" t="s">
        <v>37</v>
      </c>
      <c r="D6377">
        <v>69</v>
      </c>
    </row>
    <row r="6378" spans="1:4" ht="15.75" customHeight="1">
      <c r="A6378" t="s">
        <v>3037</v>
      </c>
      <c r="B6378" t="s">
        <v>36</v>
      </c>
      <c r="C6378" t="s">
        <v>37</v>
      </c>
      <c r="D6378">
        <v>68</v>
      </c>
    </row>
    <row r="6379" spans="1:4" ht="15.75" customHeight="1">
      <c r="A6379" t="s">
        <v>3029</v>
      </c>
      <c r="B6379" t="s">
        <v>36</v>
      </c>
      <c r="C6379" t="s">
        <v>37</v>
      </c>
      <c r="D6379">
        <v>68</v>
      </c>
    </row>
    <row r="6380" spans="1:4" ht="15.75" customHeight="1">
      <c r="A6380" t="s">
        <v>3046</v>
      </c>
      <c r="B6380" t="s">
        <v>36</v>
      </c>
      <c r="C6380" t="s">
        <v>37</v>
      </c>
      <c r="D6380">
        <v>67</v>
      </c>
    </row>
    <row r="6381" spans="1:4" ht="15.75" customHeight="1">
      <c r="A6381" t="s">
        <v>1630</v>
      </c>
      <c r="B6381" t="s">
        <v>36</v>
      </c>
      <c r="C6381" t="s">
        <v>37</v>
      </c>
      <c r="D6381">
        <v>67</v>
      </c>
    </row>
    <row r="6382" spans="1:4" ht="15.75" customHeight="1">
      <c r="A6382" t="s">
        <v>3526</v>
      </c>
      <c r="B6382" t="s">
        <v>36</v>
      </c>
      <c r="C6382" t="s">
        <v>37</v>
      </c>
      <c r="D6382">
        <v>67</v>
      </c>
    </row>
    <row r="6383" spans="1:4" ht="15.75" customHeight="1">
      <c r="A6383" t="s">
        <v>3566</v>
      </c>
      <c r="B6383" t="s">
        <v>36</v>
      </c>
      <c r="C6383" t="s">
        <v>37</v>
      </c>
      <c r="D6383">
        <v>67</v>
      </c>
    </row>
    <row r="6384" spans="1:4" ht="15.75" customHeight="1">
      <c r="A6384" t="s">
        <v>4660</v>
      </c>
      <c r="B6384" t="s">
        <v>36</v>
      </c>
      <c r="C6384" t="s">
        <v>37</v>
      </c>
      <c r="D6384">
        <v>67</v>
      </c>
    </row>
    <row r="6385" spans="1:4" ht="15.75" customHeight="1">
      <c r="A6385" t="s">
        <v>2090</v>
      </c>
      <c r="B6385" t="s">
        <v>36</v>
      </c>
      <c r="C6385" t="s">
        <v>37</v>
      </c>
      <c r="D6385">
        <v>67</v>
      </c>
    </row>
    <row r="6386" spans="1:4" ht="15.75" customHeight="1">
      <c r="A6386" t="s">
        <v>4313</v>
      </c>
      <c r="B6386" t="s">
        <v>36</v>
      </c>
      <c r="C6386" t="s">
        <v>37</v>
      </c>
      <c r="D6386">
        <v>66</v>
      </c>
    </row>
    <row r="6387" spans="1:4" ht="15.75" customHeight="1">
      <c r="A6387" t="s">
        <v>1628</v>
      </c>
      <c r="B6387" t="s">
        <v>36</v>
      </c>
      <c r="C6387" t="s">
        <v>37</v>
      </c>
      <c r="D6387">
        <v>66</v>
      </c>
    </row>
    <row r="6388" spans="1:4" ht="15.75" customHeight="1">
      <c r="A6388" t="s">
        <v>3036</v>
      </c>
      <c r="B6388" t="s">
        <v>36</v>
      </c>
      <c r="C6388" t="s">
        <v>37</v>
      </c>
      <c r="D6388">
        <v>66</v>
      </c>
    </row>
    <row r="6389" spans="1:4" ht="15.75" customHeight="1">
      <c r="A6389" t="s">
        <v>3545</v>
      </c>
      <c r="B6389" t="s">
        <v>36</v>
      </c>
      <c r="C6389" t="s">
        <v>37</v>
      </c>
      <c r="D6389">
        <v>65</v>
      </c>
    </row>
    <row r="6390" spans="1:4" ht="15.75" customHeight="1">
      <c r="A6390" t="s">
        <v>3964</v>
      </c>
      <c r="B6390" t="s">
        <v>36</v>
      </c>
      <c r="C6390" t="s">
        <v>37</v>
      </c>
      <c r="D6390">
        <v>65</v>
      </c>
    </row>
    <row r="6391" spans="1:4" ht="15.75" customHeight="1">
      <c r="A6391" t="s">
        <v>2643</v>
      </c>
      <c r="B6391" t="s">
        <v>36</v>
      </c>
      <c r="C6391" t="s">
        <v>37</v>
      </c>
      <c r="D6391">
        <v>65</v>
      </c>
    </row>
    <row r="6392" spans="1:4" ht="15.75" customHeight="1">
      <c r="A6392" t="s">
        <v>4648</v>
      </c>
      <c r="B6392" t="s">
        <v>36</v>
      </c>
      <c r="C6392" t="s">
        <v>37</v>
      </c>
      <c r="D6392">
        <v>65</v>
      </c>
    </row>
    <row r="6393" spans="1:4" ht="15.75" customHeight="1">
      <c r="A6393" t="s">
        <v>2071</v>
      </c>
      <c r="B6393" t="s">
        <v>36</v>
      </c>
      <c r="C6393" t="s">
        <v>37</v>
      </c>
      <c r="D6393">
        <v>65</v>
      </c>
    </row>
    <row r="6394" spans="1:4" ht="15.75" customHeight="1">
      <c r="A6394" t="s">
        <v>2634</v>
      </c>
      <c r="B6394" t="s">
        <v>36</v>
      </c>
      <c r="C6394" t="s">
        <v>37</v>
      </c>
      <c r="D6394">
        <v>64</v>
      </c>
    </row>
    <row r="6395" spans="1:4" ht="15.75" customHeight="1">
      <c r="A6395" t="s">
        <v>2066</v>
      </c>
      <c r="B6395" t="s">
        <v>36</v>
      </c>
      <c r="C6395" t="s">
        <v>37</v>
      </c>
      <c r="D6395">
        <v>64</v>
      </c>
    </row>
    <row r="6396" spans="1:4" ht="15.75" customHeight="1">
      <c r="A6396" t="s">
        <v>2565</v>
      </c>
      <c r="B6396" t="s">
        <v>36</v>
      </c>
      <c r="C6396" t="s">
        <v>37</v>
      </c>
      <c r="D6396">
        <v>64</v>
      </c>
    </row>
    <row r="6397" spans="1:4" ht="15.75" customHeight="1">
      <c r="A6397" t="s">
        <v>1216</v>
      </c>
      <c r="B6397" t="s">
        <v>36</v>
      </c>
      <c r="C6397" t="s">
        <v>37</v>
      </c>
      <c r="D6397">
        <v>64</v>
      </c>
    </row>
    <row r="6398" spans="1:4" ht="15.75" customHeight="1">
      <c r="A6398" t="s">
        <v>2040</v>
      </c>
      <c r="B6398" t="s">
        <v>36</v>
      </c>
      <c r="C6398" t="s">
        <v>37</v>
      </c>
      <c r="D6398">
        <v>64</v>
      </c>
    </row>
    <row r="6399" spans="1:4" ht="15.75" customHeight="1">
      <c r="A6399" t="s">
        <v>2530</v>
      </c>
      <c r="B6399" t="s">
        <v>36</v>
      </c>
      <c r="C6399" t="s">
        <v>37</v>
      </c>
      <c r="D6399">
        <v>64</v>
      </c>
    </row>
    <row r="6400" spans="1:4" ht="15.75" customHeight="1">
      <c r="A6400" t="s">
        <v>4643</v>
      </c>
      <c r="B6400" t="s">
        <v>36</v>
      </c>
      <c r="C6400" t="s">
        <v>37</v>
      </c>
      <c r="D6400">
        <v>64</v>
      </c>
    </row>
    <row r="6401" spans="1:4" ht="15.75" customHeight="1">
      <c r="A6401" t="s">
        <v>3928</v>
      </c>
      <c r="B6401" t="s">
        <v>36</v>
      </c>
      <c r="C6401" t="s">
        <v>37</v>
      </c>
      <c r="D6401">
        <v>64</v>
      </c>
    </row>
    <row r="6402" spans="1:4" ht="15.75" customHeight="1">
      <c r="A6402" t="s">
        <v>1966</v>
      </c>
      <c r="B6402" t="s">
        <v>36</v>
      </c>
      <c r="C6402" t="s">
        <v>37</v>
      </c>
      <c r="D6402">
        <v>64</v>
      </c>
    </row>
    <row r="6403" spans="1:4" ht="15.75" customHeight="1">
      <c r="A6403" t="s">
        <v>364</v>
      </c>
      <c r="B6403" t="s">
        <v>36</v>
      </c>
      <c r="C6403" t="s">
        <v>37</v>
      </c>
      <c r="D6403">
        <v>63</v>
      </c>
    </row>
    <row r="6404" spans="1:4" ht="15.75" customHeight="1">
      <c r="A6404" t="s">
        <v>2583</v>
      </c>
      <c r="B6404" t="s">
        <v>36</v>
      </c>
      <c r="C6404" t="s">
        <v>37</v>
      </c>
      <c r="D6404">
        <v>63</v>
      </c>
    </row>
    <row r="6405" spans="1:4" ht="15.75" customHeight="1">
      <c r="A6405" t="s">
        <v>3524</v>
      </c>
      <c r="B6405" t="s">
        <v>36</v>
      </c>
      <c r="C6405" t="s">
        <v>37</v>
      </c>
      <c r="D6405">
        <v>63</v>
      </c>
    </row>
    <row r="6406" spans="1:4" ht="15.75" customHeight="1">
      <c r="A6406" t="s">
        <v>1674</v>
      </c>
      <c r="B6406" t="s">
        <v>36</v>
      </c>
      <c r="C6406" t="s">
        <v>37</v>
      </c>
      <c r="D6406">
        <v>63</v>
      </c>
    </row>
    <row r="6407" spans="1:4" ht="15.75" customHeight="1">
      <c r="A6407" t="s">
        <v>2072</v>
      </c>
      <c r="B6407" t="s">
        <v>36</v>
      </c>
      <c r="C6407" t="s">
        <v>37</v>
      </c>
      <c r="D6407">
        <v>63</v>
      </c>
    </row>
    <row r="6408" spans="1:4" ht="15.75" customHeight="1">
      <c r="A6408" t="s">
        <v>3129</v>
      </c>
      <c r="B6408" t="s">
        <v>36</v>
      </c>
      <c r="C6408" t="s">
        <v>37</v>
      </c>
      <c r="D6408">
        <v>63</v>
      </c>
    </row>
    <row r="6409" spans="1:4" ht="15.75" customHeight="1">
      <c r="A6409" t="s">
        <v>1177</v>
      </c>
      <c r="B6409" t="s">
        <v>36</v>
      </c>
      <c r="C6409" t="s">
        <v>37</v>
      </c>
      <c r="D6409">
        <v>62</v>
      </c>
    </row>
    <row r="6410" spans="1:4" ht="15.75" customHeight="1">
      <c r="A6410" t="s">
        <v>1981</v>
      </c>
      <c r="B6410" t="s">
        <v>36</v>
      </c>
      <c r="C6410" t="s">
        <v>37</v>
      </c>
      <c r="D6410">
        <v>62</v>
      </c>
    </row>
    <row r="6411" spans="1:4" ht="15.75" customHeight="1">
      <c r="A6411" t="s">
        <v>2002</v>
      </c>
      <c r="B6411" t="s">
        <v>36</v>
      </c>
      <c r="C6411" t="s">
        <v>37</v>
      </c>
      <c r="D6411">
        <v>62</v>
      </c>
    </row>
    <row r="6412" spans="1:4" ht="15.75" customHeight="1">
      <c r="A6412" t="s">
        <v>4312</v>
      </c>
      <c r="B6412" t="s">
        <v>36</v>
      </c>
      <c r="C6412" t="s">
        <v>37</v>
      </c>
      <c r="D6412">
        <v>61</v>
      </c>
    </row>
    <row r="6413" spans="1:4" ht="15.75" customHeight="1">
      <c r="A6413" t="s">
        <v>3063</v>
      </c>
      <c r="B6413" t="s">
        <v>36</v>
      </c>
      <c r="C6413" t="s">
        <v>37</v>
      </c>
      <c r="D6413">
        <v>61</v>
      </c>
    </row>
    <row r="6414" spans="1:4" ht="15.75" customHeight="1">
      <c r="A6414" t="s">
        <v>1997</v>
      </c>
      <c r="B6414" t="s">
        <v>36</v>
      </c>
      <c r="C6414" t="s">
        <v>37</v>
      </c>
      <c r="D6414">
        <v>61</v>
      </c>
    </row>
    <row r="6415" spans="1:4" ht="15.75" customHeight="1">
      <c r="A6415" t="s">
        <v>4652</v>
      </c>
      <c r="B6415" t="s">
        <v>36</v>
      </c>
      <c r="C6415" t="s">
        <v>37</v>
      </c>
      <c r="D6415">
        <v>61</v>
      </c>
    </row>
    <row r="6416" spans="1:4" ht="15.75" customHeight="1">
      <c r="A6416" t="s">
        <v>3935</v>
      </c>
      <c r="B6416" t="s">
        <v>36</v>
      </c>
      <c r="C6416" t="s">
        <v>37</v>
      </c>
      <c r="D6416">
        <v>60</v>
      </c>
    </row>
    <row r="6417" spans="1:4" ht="15.75" customHeight="1">
      <c r="A6417" t="s">
        <v>3937</v>
      </c>
      <c r="B6417" t="s">
        <v>36</v>
      </c>
      <c r="C6417" t="s">
        <v>37</v>
      </c>
      <c r="D6417">
        <v>59</v>
      </c>
    </row>
    <row r="6418" spans="1:4" ht="15.75" customHeight="1">
      <c r="A6418" t="s">
        <v>1127</v>
      </c>
      <c r="B6418" t="s">
        <v>36</v>
      </c>
      <c r="C6418" t="s">
        <v>37</v>
      </c>
      <c r="D6418">
        <v>59</v>
      </c>
    </row>
    <row r="6419" spans="1:4" ht="15.75" customHeight="1">
      <c r="A6419" t="s">
        <v>1636</v>
      </c>
      <c r="B6419" t="s">
        <v>36</v>
      </c>
      <c r="C6419" t="s">
        <v>37</v>
      </c>
      <c r="D6419">
        <v>59</v>
      </c>
    </row>
    <row r="6420" spans="1:4" ht="15.75" customHeight="1">
      <c r="A6420" t="s">
        <v>2562</v>
      </c>
      <c r="B6420" t="s">
        <v>36</v>
      </c>
      <c r="C6420" t="s">
        <v>37</v>
      </c>
      <c r="D6420">
        <v>59</v>
      </c>
    </row>
    <row r="6421" spans="1:4" ht="15.75" customHeight="1">
      <c r="A6421" t="s">
        <v>3939</v>
      </c>
      <c r="B6421" t="s">
        <v>36</v>
      </c>
      <c r="C6421" t="s">
        <v>37</v>
      </c>
      <c r="D6421">
        <v>58</v>
      </c>
    </row>
    <row r="6422" spans="1:4" ht="15.75" customHeight="1">
      <c r="A6422" t="s">
        <v>4680</v>
      </c>
      <c r="B6422" t="s">
        <v>36</v>
      </c>
      <c r="C6422" t="s">
        <v>37</v>
      </c>
      <c r="D6422">
        <v>58</v>
      </c>
    </row>
    <row r="6423" spans="1:4" ht="15.75" customHeight="1">
      <c r="A6423" t="s">
        <v>3959</v>
      </c>
      <c r="B6423" t="s">
        <v>36</v>
      </c>
      <c r="C6423" t="s">
        <v>37</v>
      </c>
      <c r="D6423">
        <v>58</v>
      </c>
    </row>
    <row r="6424" spans="1:4" ht="15.75" customHeight="1">
      <c r="A6424" t="s">
        <v>4589</v>
      </c>
      <c r="B6424" t="s">
        <v>36</v>
      </c>
      <c r="C6424" t="s">
        <v>37</v>
      </c>
      <c r="D6424">
        <v>58</v>
      </c>
    </row>
    <row r="6425" spans="1:4" ht="15.75" customHeight="1">
      <c r="A6425" t="s">
        <v>3909</v>
      </c>
      <c r="B6425" t="s">
        <v>36</v>
      </c>
      <c r="C6425" t="s">
        <v>37</v>
      </c>
      <c r="D6425">
        <v>58</v>
      </c>
    </row>
    <row r="6426" spans="1:4" ht="15.75" customHeight="1">
      <c r="A6426" t="s">
        <v>3580</v>
      </c>
      <c r="B6426" t="s">
        <v>36</v>
      </c>
      <c r="C6426" t="s">
        <v>37</v>
      </c>
      <c r="D6426">
        <v>58</v>
      </c>
    </row>
    <row r="6427" spans="1:4" ht="15.75" customHeight="1">
      <c r="A6427" t="s">
        <v>3515</v>
      </c>
      <c r="B6427" t="s">
        <v>36</v>
      </c>
      <c r="C6427" t="s">
        <v>37</v>
      </c>
      <c r="D6427">
        <v>57</v>
      </c>
    </row>
    <row r="6428" spans="1:4" ht="15.75" customHeight="1">
      <c r="A6428" t="s">
        <v>1658</v>
      </c>
      <c r="B6428" t="s">
        <v>36</v>
      </c>
      <c r="C6428" t="s">
        <v>37</v>
      </c>
      <c r="D6428">
        <v>57</v>
      </c>
    </row>
    <row r="6429" spans="1:4" ht="15.75" customHeight="1">
      <c r="A6429" t="s">
        <v>3583</v>
      </c>
      <c r="B6429" t="s">
        <v>36</v>
      </c>
      <c r="C6429" t="s">
        <v>37</v>
      </c>
      <c r="D6429">
        <v>57</v>
      </c>
    </row>
    <row r="6430" spans="1:4" ht="15.75" customHeight="1">
      <c r="A6430" t="s">
        <v>3944</v>
      </c>
      <c r="B6430" t="s">
        <v>36</v>
      </c>
      <c r="C6430" t="s">
        <v>37</v>
      </c>
      <c r="D6430">
        <v>57</v>
      </c>
    </row>
    <row r="6431" spans="1:4" ht="15.75" customHeight="1">
      <c r="A6431" t="s">
        <v>2528</v>
      </c>
      <c r="B6431" t="s">
        <v>36</v>
      </c>
      <c r="C6431" t="s">
        <v>37</v>
      </c>
      <c r="D6431">
        <v>56</v>
      </c>
    </row>
    <row r="6432" spans="1:4" ht="15.75" customHeight="1">
      <c r="A6432" t="s">
        <v>3578</v>
      </c>
      <c r="B6432" t="s">
        <v>36</v>
      </c>
      <c r="C6432" t="s">
        <v>37</v>
      </c>
      <c r="D6432">
        <v>56</v>
      </c>
    </row>
    <row r="6433" spans="1:4" ht="15.75" customHeight="1">
      <c r="A6433" t="s">
        <v>2558</v>
      </c>
      <c r="B6433" t="s">
        <v>36</v>
      </c>
      <c r="C6433" t="s">
        <v>37</v>
      </c>
      <c r="D6433">
        <v>56</v>
      </c>
    </row>
    <row r="6434" spans="1:4" ht="15.75" customHeight="1">
      <c r="A6434" t="s">
        <v>305</v>
      </c>
      <c r="B6434" t="s">
        <v>36</v>
      </c>
      <c r="C6434" t="s">
        <v>37</v>
      </c>
      <c r="D6434">
        <v>55</v>
      </c>
    </row>
    <row r="6435" spans="1:4" ht="15.75" customHeight="1">
      <c r="A6435" t="s">
        <v>4325</v>
      </c>
      <c r="B6435" t="s">
        <v>36</v>
      </c>
      <c r="C6435" t="s">
        <v>37</v>
      </c>
      <c r="D6435">
        <v>55</v>
      </c>
    </row>
    <row r="6436" spans="1:4" ht="15.75" customHeight="1">
      <c r="A6436" t="s">
        <v>4654</v>
      </c>
      <c r="B6436" t="s">
        <v>36</v>
      </c>
      <c r="C6436" t="s">
        <v>37</v>
      </c>
      <c r="D6436">
        <v>55</v>
      </c>
    </row>
    <row r="6437" spans="1:4" ht="15.75" customHeight="1">
      <c r="A6437" t="s">
        <v>3572</v>
      </c>
      <c r="B6437" t="s">
        <v>36</v>
      </c>
      <c r="C6437" t="s">
        <v>37</v>
      </c>
      <c r="D6437">
        <v>55</v>
      </c>
    </row>
    <row r="6438" spans="1:4" ht="15.75" customHeight="1">
      <c r="A6438" t="s">
        <v>1171</v>
      </c>
      <c r="B6438" t="s">
        <v>36</v>
      </c>
      <c r="C6438" t="s">
        <v>37</v>
      </c>
      <c r="D6438">
        <v>54</v>
      </c>
    </row>
    <row r="6439" spans="1:4" ht="15.75" customHeight="1">
      <c r="A6439" t="s">
        <v>2599</v>
      </c>
      <c r="B6439" t="s">
        <v>36</v>
      </c>
      <c r="C6439" t="s">
        <v>37</v>
      </c>
      <c r="D6439">
        <v>54</v>
      </c>
    </row>
    <row r="6440" spans="1:4" ht="15.75" customHeight="1">
      <c r="A6440" t="s">
        <v>2548</v>
      </c>
      <c r="B6440" t="s">
        <v>36</v>
      </c>
      <c r="C6440" t="s">
        <v>37</v>
      </c>
      <c r="D6440">
        <v>54</v>
      </c>
    </row>
    <row r="6441" spans="1:4" ht="15.75" customHeight="1">
      <c r="A6441" t="s">
        <v>2067</v>
      </c>
      <c r="B6441" t="s">
        <v>36</v>
      </c>
      <c r="C6441" t="s">
        <v>37</v>
      </c>
      <c r="D6441">
        <v>54</v>
      </c>
    </row>
    <row r="6442" spans="1:4" ht="15.75" customHeight="1">
      <c r="A6442" t="s">
        <v>1155</v>
      </c>
      <c r="B6442" t="s">
        <v>36</v>
      </c>
      <c r="C6442" t="s">
        <v>37</v>
      </c>
      <c r="D6442">
        <v>54</v>
      </c>
    </row>
    <row r="6443" spans="1:4" ht="15.75" customHeight="1">
      <c r="A6443" t="s">
        <v>3033</v>
      </c>
      <c r="B6443" t="s">
        <v>36</v>
      </c>
      <c r="C6443" t="s">
        <v>37</v>
      </c>
      <c r="D6443">
        <v>54</v>
      </c>
    </row>
    <row r="6444" spans="1:4" ht="15.75" customHeight="1">
      <c r="A6444" t="s">
        <v>2017</v>
      </c>
      <c r="B6444" t="s">
        <v>36</v>
      </c>
      <c r="C6444" t="s">
        <v>37</v>
      </c>
      <c r="D6444">
        <v>54</v>
      </c>
    </row>
    <row r="6445" spans="1:4" ht="15.75" customHeight="1">
      <c r="A6445" t="s">
        <v>360</v>
      </c>
      <c r="B6445" t="s">
        <v>36</v>
      </c>
      <c r="C6445" t="s">
        <v>37</v>
      </c>
      <c r="D6445">
        <v>54</v>
      </c>
    </row>
    <row r="6446" spans="1:4" ht="15.75" customHeight="1">
      <c r="A6446" t="s">
        <v>4601</v>
      </c>
      <c r="B6446" t="s">
        <v>36</v>
      </c>
      <c r="C6446" t="s">
        <v>37</v>
      </c>
      <c r="D6446">
        <v>54</v>
      </c>
    </row>
    <row r="6447" spans="1:4" ht="15.75" customHeight="1">
      <c r="A6447" t="s">
        <v>3084</v>
      </c>
      <c r="B6447" t="s">
        <v>36</v>
      </c>
      <c r="C6447" t="s">
        <v>37</v>
      </c>
      <c r="D6447">
        <v>53</v>
      </c>
    </row>
    <row r="6448" spans="1:4" ht="15.75" customHeight="1">
      <c r="A6448" t="s">
        <v>339</v>
      </c>
      <c r="B6448" t="s">
        <v>36</v>
      </c>
      <c r="C6448" t="s">
        <v>37</v>
      </c>
      <c r="D6448">
        <v>53</v>
      </c>
    </row>
    <row r="6449" spans="1:4" ht="15.75" customHeight="1">
      <c r="A6449" t="s">
        <v>2089</v>
      </c>
      <c r="B6449" t="s">
        <v>36</v>
      </c>
      <c r="C6449" t="s">
        <v>37</v>
      </c>
      <c r="D6449">
        <v>53</v>
      </c>
    </row>
    <row r="6450" spans="1:4" ht="15.75" customHeight="1">
      <c r="A6450" t="s">
        <v>4298</v>
      </c>
      <c r="B6450" t="s">
        <v>36</v>
      </c>
      <c r="C6450" t="s">
        <v>37</v>
      </c>
      <c r="D6450">
        <v>52</v>
      </c>
    </row>
    <row r="6451" spans="1:4" ht="15.75" customHeight="1">
      <c r="A6451" t="s">
        <v>3045</v>
      </c>
      <c r="B6451" t="s">
        <v>36</v>
      </c>
      <c r="C6451" t="s">
        <v>37</v>
      </c>
      <c r="D6451">
        <v>52</v>
      </c>
    </row>
    <row r="6452" spans="1:4" ht="15.75" customHeight="1">
      <c r="A6452" t="s">
        <v>1121</v>
      </c>
      <c r="B6452" t="s">
        <v>36</v>
      </c>
      <c r="C6452" t="s">
        <v>37</v>
      </c>
      <c r="D6452">
        <v>52</v>
      </c>
    </row>
    <row r="6453" spans="1:4" ht="15.75" customHeight="1">
      <c r="A6453" t="s">
        <v>4595</v>
      </c>
      <c r="B6453" t="s">
        <v>36</v>
      </c>
      <c r="C6453" t="s">
        <v>37</v>
      </c>
      <c r="D6453">
        <v>52</v>
      </c>
    </row>
    <row r="6454" spans="1:4" ht="15.75" customHeight="1">
      <c r="A6454" t="s">
        <v>3905</v>
      </c>
      <c r="B6454" t="s">
        <v>36</v>
      </c>
      <c r="C6454" t="s">
        <v>37</v>
      </c>
      <c r="D6454">
        <v>51</v>
      </c>
    </row>
    <row r="6455" spans="1:4" ht="15.75" customHeight="1">
      <c r="A6455" t="s">
        <v>3581</v>
      </c>
      <c r="B6455" t="s">
        <v>36</v>
      </c>
      <c r="C6455" t="s">
        <v>37</v>
      </c>
      <c r="D6455">
        <v>51</v>
      </c>
    </row>
    <row r="6456" spans="1:4" ht="15.75" customHeight="1">
      <c r="A6456" t="s">
        <v>1152</v>
      </c>
      <c r="B6456" t="s">
        <v>36</v>
      </c>
      <c r="C6456" t="s">
        <v>37</v>
      </c>
      <c r="D6456">
        <v>50</v>
      </c>
    </row>
    <row r="6457" spans="1:4" ht="15.75" customHeight="1">
      <c r="A6457" t="s">
        <v>2075</v>
      </c>
      <c r="B6457" t="s">
        <v>36</v>
      </c>
      <c r="C6457" t="s">
        <v>37</v>
      </c>
      <c r="D6457">
        <v>50</v>
      </c>
    </row>
    <row r="6458" spans="1:4" ht="15.75" customHeight="1">
      <c r="A6458" t="s">
        <v>2036</v>
      </c>
      <c r="B6458" t="s">
        <v>36</v>
      </c>
      <c r="C6458" t="s">
        <v>37</v>
      </c>
      <c r="D6458">
        <v>50</v>
      </c>
    </row>
    <row r="6459" spans="1:4" ht="15.75" customHeight="1">
      <c r="A6459" t="s">
        <v>375</v>
      </c>
      <c r="B6459" t="s">
        <v>36</v>
      </c>
      <c r="C6459" t="s">
        <v>37</v>
      </c>
      <c r="D6459">
        <v>50</v>
      </c>
    </row>
    <row r="6460" spans="1:4" ht="15.75" customHeight="1">
      <c r="A6460" t="s">
        <v>2041</v>
      </c>
      <c r="B6460" t="s">
        <v>36</v>
      </c>
      <c r="C6460" t="s">
        <v>37</v>
      </c>
      <c r="D6460">
        <v>50</v>
      </c>
    </row>
    <row r="6461" spans="1:4" ht="15.75" customHeight="1">
      <c r="A6461" t="s">
        <v>3076</v>
      </c>
      <c r="B6461" t="s">
        <v>36</v>
      </c>
      <c r="C6461" t="s">
        <v>37</v>
      </c>
      <c r="D6461">
        <v>50</v>
      </c>
    </row>
    <row r="6462" spans="1:4" ht="15.75" customHeight="1">
      <c r="A6462" t="s">
        <v>1197</v>
      </c>
      <c r="B6462" t="s">
        <v>36</v>
      </c>
      <c r="C6462" t="s">
        <v>37</v>
      </c>
      <c r="D6462">
        <v>50</v>
      </c>
    </row>
    <row r="6463" spans="1:4" ht="15.75" customHeight="1">
      <c r="A6463" t="s">
        <v>4657</v>
      </c>
      <c r="B6463" t="s">
        <v>36</v>
      </c>
      <c r="C6463" t="s">
        <v>37</v>
      </c>
      <c r="D6463">
        <v>49</v>
      </c>
    </row>
    <row r="6464" spans="1:4" ht="15.75" customHeight="1">
      <c r="A6464" t="s">
        <v>3914</v>
      </c>
      <c r="B6464" t="s">
        <v>36</v>
      </c>
      <c r="C6464" t="s">
        <v>37</v>
      </c>
      <c r="D6464">
        <v>49</v>
      </c>
    </row>
    <row r="6465" spans="1:4" ht="15.75" customHeight="1">
      <c r="A6465" t="s">
        <v>3529</v>
      </c>
      <c r="B6465" t="s">
        <v>36</v>
      </c>
      <c r="C6465" t="s">
        <v>37</v>
      </c>
      <c r="D6465">
        <v>49</v>
      </c>
    </row>
    <row r="6466" spans="1:4" ht="15.75" customHeight="1">
      <c r="A6466" t="s">
        <v>4620</v>
      </c>
      <c r="B6466" t="s">
        <v>36</v>
      </c>
      <c r="C6466" t="s">
        <v>37</v>
      </c>
      <c r="D6466">
        <v>49</v>
      </c>
    </row>
    <row r="6467" spans="1:4" ht="15.75" customHeight="1">
      <c r="A6467" t="s">
        <v>4665</v>
      </c>
      <c r="B6467" t="s">
        <v>36</v>
      </c>
      <c r="C6467" t="s">
        <v>37</v>
      </c>
      <c r="D6467">
        <v>49</v>
      </c>
    </row>
    <row r="6468" spans="1:4" ht="15.75" customHeight="1">
      <c r="A6468" t="s">
        <v>317</v>
      </c>
      <c r="B6468" t="s">
        <v>36</v>
      </c>
      <c r="C6468" t="s">
        <v>37</v>
      </c>
      <c r="D6468">
        <v>48</v>
      </c>
    </row>
    <row r="6469" spans="1:4" ht="15.75" customHeight="1">
      <c r="A6469" t="s">
        <v>3511</v>
      </c>
      <c r="B6469" t="s">
        <v>36</v>
      </c>
      <c r="C6469" t="s">
        <v>37</v>
      </c>
      <c r="D6469">
        <v>48</v>
      </c>
    </row>
    <row r="6470" spans="1:4" ht="15.75" customHeight="1">
      <c r="A6470" t="s">
        <v>3025</v>
      </c>
      <c r="B6470" t="s">
        <v>36</v>
      </c>
      <c r="C6470" t="s">
        <v>37</v>
      </c>
      <c r="D6470">
        <v>48</v>
      </c>
    </row>
    <row r="6471" spans="1:4" ht="15.75" customHeight="1">
      <c r="A6471" t="s">
        <v>4274</v>
      </c>
      <c r="B6471" t="s">
        <v>36</v>
      </c>
      <c r="C6471" t="s">
        <v>37</v>
      </c>
      <c r="D6471">
        <v>48</v>
      </c>
    </row>
    <row r="6472" spans="1:4" ht="15.75" customHeight="1">
      <c r="A6472" t="s">
        <v>1632</v>
      </c>
      <c r="B6472" t="s">
        <v>36</v>
      </c>
      <c r="C6472" t="s">
        <v>37</v>
      </c>
      <c r="D6472">
        <v>47</v>
      </c>
    </row>
    <row r="6473" spans="1:4" ht="15.75" customHeight="1">
      <c r="A6473" t="s">
        <v>4340</v>
      </c>
      <c r="B6473" t="s">
        <v>36</v>
      </c>
      <c r="C6473" t="s">
        <v>37</v>
      </c>
      <c r="D6473">
        <v>47</v>
      </c>
    </row>
    <row r="6474" spans="1:4" ht="15.75" customHeight="1">
      <c r="A6474" t="s">
        <v>3078</v>
      </c>
      <c r="B6474" t="s">
        <v>36</v>
      </c>
      <c r="C6474" t="s">
        <v>37</v>
      </c>
      <c r="D6474">
        <v>47</v>
      </c>
    </row>
    <row r="6475" spans="1:4" ht="15.75" customHeight="1">
      <c r="A6475" t="s">
        <v>1208</v>
      </c>
      <c r="B6475" t="s">
        <v>36</v>
      </c>
      <c r="C6475" t="s">
        <v>37</v>
      </c>
      <c r="D6475">
        <v>46</v>
      </c>
    </row>
    <row r="6476" spans="1:4" ht="15.75" customHeight="1">
      <c r="A6476" t="s">
        <v>2070</v>
      </c>
      <c r="B6476" t="s">
        <v>36</v>
      </c>
      <c r="C6476" t="s">
        <v>37</v>
      </c>
      <c r="D6476">
        <v>46</v>
      </c>
    </row>
    <row r="6477" spans="1:4" ht="15.75" customHeight="1">
      <c r="A6477" t="s">
        <v>3488</v>
      </c>
      <c r="B6477" t="s">
        <v>36</v>
      </c>
      <c r="C6477" t="s">
        <v>37</v>
      </c>
      <c r="D6477">
        <v>46</v>
      </c>
    </row>
    <row r="6478" spans="1:4" ht="15.75" customHeight="1">
      <c r="A6478" t="s">
        <v>3563</v>
      </c>
      <c r="B6478" t="s">
        <v>36</v>
      </c>
      <c r="C6478" t="s">
        <v>37</v>
      </c>
      <c r="D6478">
        <v>45</v>
      </c>
    </row>
    <row r="6479" spans="1:4" ht="15.75" customHeight="1">
      <c r="A6479" t="s">
        <v>2032</v>
      </c>
      <c r="B6479" t="s">
        <v>36</v>
      </c>
      <c r="C6479" t="s">
        <v>37</v>
      </c>
      <c r="D6479">
        <v>45</v>
      </c>
    </row>
    <row r="6480" spans="1:4" ht="15.75" customHeight="1">
      <c r="A6480" t="s">
        <v>3538</v>
      </c>
      <c r="B6480" t="s">
        <v>36</v>
      </c>
      <c r="C6480" t="s">
        <v>37</v>
      </c>
      <c r="D6480">
        <v>44</v>
      </c>
    </row>
    <row r="6481" spans="1:4" ht="15.75" customHeight="1">
      <c r="A6481" t="s">
        <v>4315</v>
      </c>
      <c r="B6481" t="s">
        <v>36</v>
      </c>
      <c r="C6481" t="s">
        <v>37</v>
      </c>
      <c r="D6481">
        <v>44</v>
      </c>
    </row>
    <row r="6482" spans="1:4" ht="15.75" customHeight="1">
      <c r="A6482" t="s">
        <v>3930</v>
      </c>
      <c r="B6482" t="s">
        <v>36</v>
      </c>
      <c r="C6482" t="s">
        <v>37</v>
      </c>
      <c r="D6482">
        <v>44</v>
      </c>
    </row>
    <row r="6483" spans="1:4" ht="15.75" customHeight="1">
      <c r="A6483" t="s">
        <v>2541</v>
      </c>
      <c r="B6483" t="s">
        <v>36</v>
      </c>
      <c r="C6483" t="s">
        <v>37</v>
      </c>
      <c r="D6483">
        <v>44</v>
      </c>
    </row>
    <row r="6484" spans="1:4" ht="15.75" customHeight="1">
      <c r="A6484" t="s">
        <v>2546</v>
      </c>
      <c r="B6484" t="s">
        <v>36</v>
      </c>
      <c r="C6484" t="s">
        <v>37</v>
      </c>
      <c r="D6484">
        <v>44</v>
      </c>
    </row>
    <row r="6485" spans="1:4" ht="15.75" customHeight="1">
      <c r="A6485" t="s">
        <v>1644</v>
      </c>
      <c r="B6485" t="s">
        <v>36</v>
      </c>
      <c r="C6485" t="s">
        <v>37</v>
      </c>
      <c r="D6485">
        <v>44</v>
      </c>
    </row>
    <row r="6486" spans="1:4" ht="15.75" customHeight="1">
      <c r="A6486" t="s">
        <v>3485</v>
      </c>
      <c r="B6486" t="s">
        <v>36</v>
      </c>
      <c r="C6486" t="s">
        <v>37</v>
      </c>
      <c r="D6486">
        <v>44</v>
      </c>
    </row>
    <row r="6487" spans="1:4" ht="15.75" customHeight="1">
      <c r="A6487" t="s">
        <v>3497</v>
      </c>
      <c r="B6487" t="s">
        <v>36</v>
      </c>
      <c r="C6487" t="s">
        <v>37</v>
      </c>
      <c r="D6487">
        <v>44</v>
      </c>
    </row>
    <row r="6488" spans="1:4" ht="15.75" customHeight="1">
      <c r="A6488" t="s">
        <v>389</v>
      </c>
      <c r="B6488" t="s">
        <v>36</v>
      </c>
      <c r="C6488" t="s">
        <v>37</v>
      </c>
      <c r="D6488">
        <v>43</v>
      </c>
    </row>
    <row r="6489" spans="1:4" ht="15.75" customHeight="1">
      <c r="A6489" t="s">
        <v>1639</v>
      </c>
      <c r="B6489" t="s">
        <v>36</v>
      </c>
      <c r="C6489" t="s">
        <v>37</v>
      </c>
      <c r="D6489">
        <v>43</v>
      </c>
    </row>
    <row r="6490" spans="1:4" ht="15.75" customHeight="1">
      <c r="A6490" t="s">
        <v>3535</v>
      </c>
      <c r="B6490" t="s">
        <v>36</v>
      </c>
      <c r="C6490" t="s">
        <v>37</v>
      </c>
      <c r="D6490">
        <v>43</v>
      </c>
    </row>
    <row r="6491" spans="1:4" ht="15.75" customHeight="1">
      <c r="A6491" t="s">
        <v>2060</v>
      </c>
      <c r="B6491" t="s">
        <v>36</v>
      </c>
      <c r="C6491" t="s">
        <v>37</v>
      </c>
      <c r="D6491">
        <v>42</v>
      </c>
    </row>
    <row r="6492" spans="1:4" ht="15.75" customHeight="1">
      <c r="A6492" t="s">
        <v>4327</v>
      </c>
      <c r="B6492" t="s">
        <v>36</v>
      </c>
      <c r="C6492" t="s">
        <v>37</v>
      </c>
      <c r="D6492">
        <v>42</v>
      </c>
    </row>
    <row r="6493" spans="1:4" ht="15.75" customHeight="1">
      <c r="A6493" t="s">
        <v>4585</v>
      </c>
      <c r="B6493" t="s">
        <v>36</v>
      </c>
      <c r="C6493" t="s">
        <v>37</v>
      </c>
      <c r="D6493">
        <v>42</v>
      </c>
    </row>
    <row r="6494" spans="1:4" ht="15.75" customHeight="1">
      <c r="A6494" t="s">
        <v>3985</v>
      </c>
      <c r="B6494" t="s">
        <v>36</v>
      </c>
      <c r="C6494" t="s">
        <v>37</v>
      </c>
      <c r="D6494">
        <v>42</v>
      </c>
    </row>
    <row r="6495" spans="1:4" ht="15.75" customHeight="1">
      <c r="A6495" t="s">
        <v>1183</v>
      </c>
      <c r="B6495" t="s">
        <v>36</v>
      </c>
      <c r="C6495" t="s">
        <v>37</v>
      </c>
      <c r="D6495">
        <v>41</v>
      </c>
    </row>
    <row r="6496" spans="1:4" ht="15.75" customHeight="1">
      <c r="A6496" t="s">
        <v>314</v>
      </c>
      <c r="B6496" t="s">
        <v>36</v>
      </c>
      <c r="C6496" t="s">
        <v>37</v>
      </c>
      <c r="D6496">
        <v>41</v>
      </c>
    </row>
    <row r="6497" spans="1:4" ht="15.75" customHeight="1">
      <c r="A6497" t="s">
        <v>4614</v>
      </c>
      <c r="B6497" t="s">
        <v>36</v>
      </c>
      <c r="C6497" t="s">
        <v>37</v>
      </c>
      <c r="D6497">
        <v>41</v>
      </c>
    </row>
    <row r="6498" spans="1:4" ht="15.75" customHeight="1">
      <c r="A6498" t="s">
        <v>3503</v>
      </c>
      <c r="B6498" t="s">
        <v>36</v>
      </c>
      <c r="C6498" t="s">
        <v>37</v>
      </c>
      <c r="D6498">
        <v>41</v>
      </c>
    </row>
    <row r="6499" spans="1:4" ht="15.75" customHeight="1">
      <c r="A6499" t="s">
        <v>1640</v>
      </c>
      <c r="B6499" t="s">
        <v>36</v>
      </c>
      <c r="C6499" t="s">
        <v>37</v>
      </c>
      <c r="D6499">
        <v>41</v>
      </c>
    </row>
    <row r="6500" spans="1:4" ht="15.75" customHeight="1">
      <c r="A6500" t="s">
        <v>3541</v>
      </c>
      <c r="B6500" t="s">
        <v>36</v>
      </c>
      <c r="C6500" t="s">
        <v>37</v>
      </c>
      <c r="D6500">
        <v>40</v>
      </c>
    </row>
    <row r="6501" spans="1:4" ht="15.75" customHeight="1">
      <c r="A6501" t="s">
        <v>2620</v>
      </c>
      <c r="B6501" t="s">
        <v>36</v>
      </c>
      <c r="C6501" t="s">
        <v>37</v>
      </c>
      <c r="D6501">
        <v>40</v>
      </c>
    </row>
    <row r="6502" spans="1:4" ht="15.75" customHeight="1">
      <c r="A6502" t="s">
        <v>1643</v>
      </c>
      <c r="B6502" t="s">
        <v>36</v>
      </c>
      <c r="C6502" t="s">
        <v>37</v>
      </c>
      <c r="D6502">
        <v>40</v>
      </c>
    </row>
    <row r="6503" spans="1:4" ht="15.75" customHeight="1">
      <c r="A6503" t="s">
        <v>3501</v>
      </c>
      <c r="B6503" t="s">
        <v>36</v>
      </c>
      <c r="C6503" t="s">
        <v>37</v>
      </c>
      <c r="D6503">
        <v>40</v>
      </c>
    </row>
    <row r="6504" spans="1:4" ht="15.75" customHeight="1">
      <c r="A6504" t="s">
        <v>2073</v>
      </c>
      <c r="B6504" t="s">
        <v>36</v>
      </c>
      <c r="C6504" t="s">
        <v>37</v>
      </c>
      <c r="D6504">
        <v>39</v>
      </c>
    </row>
    <row r="6505" spans="1:4" ht="15.75" customHeight="1">
      <c r="A6505" t="s">
        <v>4689</v>
      </c>
      <c r="B6505" t="s">
        <v>36</v>
      </c>
      <c r="C6505" t="s">
        <v>37</v>
      </c>
      <c r="D6505">
        <v>39</v>
      </c>
    </row>
    <row r="6506" spans="1:4" ht="15.75" customHeight="1">
      <c r="A6506" t="s">
        <v>2028</v>
      </c>
      <c r="B6506" t="s">
        <v>36</v>
      </c>
      <c r="C6506" t="s">
        <v>37</v>
      </c>
      <c r="D6506">
        <v>39</v>
      </c>
    </row>
    <row r="6507" spans="1:4" ht="15.75" customHeight="1">
      <c r="A6507" t="s">
        <v>4686</v>
      </c>
      <c r="B6507" t="s">
        <v>36</v>
      </c>
      <c r="C6507" t="s">
        <v>37</v>
      </c>
      <c r="D6507">
        <v>39</v>
      </c>
    </row>
    <row r="6508" spans="1:4" ht="15.75" customHeight="1">
      <c r="A6508" t="s">
        <v>415</v>
      </c>
      <c r="B6508" t="s">
        <v>36</v>
      </c>
      <c r="C6508" t="s">
        <v>37</v>
      </c>
      <c r="D6508">
        <v>38</v>
      </c>
    </row>
    <row r="6509" spans="1:4" ht="15.75" customHeight="1">
      <c r="A6509" t="s">
        <v>3126</v>
      </c>
      <c r="B6509" t="s">
        <v>36</v>
      </c>
      <c r="C6509" t="s">
        <v>37</v>
      </c>
      <c r="D6509">
        <v>38</v>
      </c>
    </row>
    <row r="6510" spans="1:4" ht="15.75" customHeight="1">
      <c r="A6510" t="s">
        <v>4591</v>
      </c>
      <c r="B6510" t="s">
        <v>36</v>
      </c>
      <c r="C6510" t="s">
        <v>37</v>
      </c>
      <c r="D6510">
        <v>38</v>
      </c>
    </row>
    <row r="6511" spans="1:4" ht="15.75" customHeight="1">
      <c r="A6511" t="s">
        <v>2537</v>
      </c>
      <c r="B6511" t="s">
        <v>36</v>
      </c>
      <c r="C6511" t="s">
        <v>37</v>
      </c>
      <c r="D6511">
        <v>37</v>
      </c>
    </row>
    <row r="6512" spans="1:4" ht="15.75" customHeight="1">
      <c r="A6512" t="s">
        <v>1637</v>
      </c>
      <c r="B6512" t="s">
        <v>36</v>
      </c>
      <c r="C6512" t="s">
        <v>37</v>
      </c>
      <c r="D6512">
        <v>37</v>
      </c>
    </row>
    <row r="6513" spans="1:4" ht="15.75" customHeight="1">
      <c r="A6513" t="s">
        <v>4662</v>
      </c>
      <c r="B6513" t="s">
        <v>36</v>
      </c>
      <c r="C6513" t="s">
        <v>37</v>
      </c>
      <c r="D6513">
        <v>36</v>
      </c>
    </row>
    <row r="6514" spans="1:4" ht="15.75" customHeight="1">
      <c r="A6514" t="s">
        <v>1158</v>
      </c>
      <c r="B6514" t="s">
        <v>36</v>
      </c>
      <c r="C6514" t="s">
        <v>37</v>
      </c>
      <c r="D6514">
        <v>35</v>
      </c>
    </row>
    <row r="6515" spans="1:4" ht="15.75" customHeight="1">
      <c r="A6515" t="s">
        <v>4700</v>
      </c>
      <c r="B6515" t="s">
        <v>36</v>
      </c>
      <c r="C6515" t="s">
        <v>37</v>
      </c>
      <c r="D6515">
        <v>35</v>
      </c>
    </row>
    <row r="6516" spans="1:4" ht="15.75" customHeight="1">
      <c r="A6516" t="s">
        <v>1137</v>
      </c>
      <c r="B6516" t="s">
        <v>36</v>
      </c>
      <c r="C6516" t="s">
        <v>37</v>
      </c>
      <c r="D6516">
        <v>34</v>
      </c>
    </row>
    <row r="6517" spans="1:4" ht="15.75" customHeight="1">
      <c r="A6517" t="s">
        <v>2605</v>
      </c>
      <c r="B6517" t="s">
        <v>36</v>
      </c>
      <c r="C6517" t="s">
        <v>37</v>
      </c>
      <c r="D6517">
        <v>34</v>
      </c>
    </row>
    <row r="6518" spans="1:4" ht="15.75" customHeight="1">
      <c r="A6518" t="s">
        <v>4333</v>
      </c>
      <c r="B6518" t="s">
        <v>36</v>
      </c>
      <c r="C6518" t="s">
        <v>37</v>
      </c>
      <c r="D6518">
        <v>34</v>
      </c>
    </row>
    <row r="6519" spans="1:4" ht="15.75" customHeight="1">
      <c r="A6519" t="s">
        <v>3477</v>
      </c>
      <c r="B6519" t="s">
        <v>36</v>
      </c>
      <c r="C6519" t="s">
        <v>37</v>
      </c>
      <c r="D6519">
        <v>33</v>
      </c>
    </row>
    <row r="6520" spans="1:4" ht="15.75" customHeight="1">
      <c r="A6520" t="s">
        <v>3093</v>
      </c>
      <c r="B6520" t="s">
        <v>36</v>
      </c>
      <c r="C6520" t="s">
        <v>37</v>
      </c>
      <c r="D6520">
        <v>32</v>
      </c>
    </row>
    <row r="6521" spans="1:4" ht="15.75" customHeight="1">
      <c r="A6521" t="s">
        <v>2589</v>
      </c>
      <c r="B6521" t="s">
        <v>36</v>
      </c>
      <c r="C6521" t="s">
        <v>37</v>
      </c>
      <c r="D6521">
        <v>31</v>
      </c>
    </row>
    <row r="6522" spans="1:4" ht="15.75" customHeight="1">
      <c r="A6522" t="s">
        <v>4625</v>
      </c>
      <c r="B6522" t="s">
        <v>36</v>
      </c>
      <c r="C6522" t="s">
        <v>37</v>
      </c>
      <c r="D6522">
        <v>31</v>
      </c>
    </row>
    <row r="6523" spans="1:4" ht="15.75" customHeight="1">
      <c r="A6523" t="s">
        <v>385</v>
      </c>
      <c r="B6523" t="s">
        <v>36</v>
      </c>
      <c r="C6523" t="s">
        <v>37</v>
      </c>
      <c r="D6523">
        <v>31</v>
      </c>
    </row>
    <row r="6524" spans="1:4" ht="15.75" customHeight="1">
      <c r="A6524" t="s">
        <v>324</v>
      </c>
      <c r="B6524" t="s">
        <v>36</v>
      </c>
      <c r="C6524" t="s">
        <v>37</v>
      </c>
      <c r="D6524">
        <v>31</v>
      </c>
    </row>
    <row r="6525" spans="1:4" ht="15.75" customHeight="1">
      <c r="A6525" t="s">
        <v>3564</v>
      </c>
      <c r="B6525" t="s">
        <v>36</v>
      </c>
      <c r="C6525" t="s">
        <v>37</v>
      </c>
      <c r="D6525">
        <v>31</v>
      </c>
    </row>
    <row r="6526" spans="1:4" ht="15.75" customHeight="1">
      <c r="A6526" t="s">
        <v>2057</v>
      </c>
      <c r="B6526" t="s">
        <v>36</v>
      </c>
      <c r="C6526" t="s">
        <v>37</v>
      </c>
      <c r="D6526">
        <v>31</v>
      </c>
    </row>
    <row r="6527" spans="1:4" ht="15.75" customHeight="1">
      <c r="A6527" t="s">
        <v>3920</v>
      </c>
      <c r="B6527" t="s">
        <v>36</v>
      </c>
      <c r="C6527" t="s">
        <v>37</v>
      </c>
      <c r="D6527">
        <v>31</v>
      </c>
    </row>
    <row r="6528" spans="1:4" ht="15.75" customHeight="1">
      <c r="A6528" t="s">
        <v>3096</v>
      </c>
      <c r="B6528" t="s">
        <v>36</v>
      </c>
      <c r="C6528" t="s">
        <v>37</v>
      </c>
      <c r="D6528">
        <v>30</v>
      </c>
    </row>
    <row r="6529" spans="1:4" ht="15.75" customHeight="1">
      <c r="A6529" t="s">
        <v>4332</v>
      </c>
      <c r="B6529" t="s">
        <v>36</v>
      </c>
      <c r="C6529" t="s">
        <v>37</v>
      </c>
      <c r="D6529">
        <v>30</v>
      </c>
    </row>
    <row r="6530" spans="1:4" ht="15.75" customHeight="1">
      <c r="A6530" t="s">
        <v>3095</v>
      </c>
      <c r="B6530" t="s">
        <v>36</v>
      </c>
      <c r="C6530" t="s">
        <v>37</v>
      </c>
      <c r="D6530">
        <v>29</v>
      </c>
    </row>
    <row r="6531" spans="1:4" ht="15.75" customHeight="1">
      <c r="A6531" t="s">
        <v>1125</v>
      </c>
      <c r="B6531" t="s">
        <v>36</v>
      </c>
      <c r="C6531" t="s">
        <v>37</v>
      </c>
      <c r="D6531">
        <v>29</v>
      </c>
    </row>
    <row r="6532" spans="1:4" ht="15.75" customHeight="1">
      <c r="A6532" t="s">
        <v>2590</v>
      </c>
      <c r="B6532" t="s">
        <v>36</v>
      </c>
      <c r="C6532" t="s">
        <v>37</v>
      </c>
      <c r="D6532">
        <v>29</v>
      </c>
    </row>
    <row r="6533" spans="1:4" ht="15.75" customHeight="1">
      <c r="A6533" t="s">
        <v>2026</v>
      </c>
      <c r="B6533" t="s">
        <v>36</v>
      </c>
      <c r="C6533" t="s">
        <v>37</v>
      </c>
      <c r="D6533">
        <v>29</v>
      </c>
    </row>
    <row r="6534" spans="1:4" ht="15.75" customHeight="1">
      <c r="A6534" t="s">
        <v>3481</v>
      </c>
      <c r="B6534" t="s">
        <v>36</v>
      </c>
      <c r="C6534" t="s">
        <v>37</v>
      </c>
      <c r="D6534">
        <v>28</v>
      </c>
    </row>
    <row r="6535" spans="1:4" ht="15.75" customHeight="1">
      <c r="A6535" t="s">
        <v>3091</v>
      </c>
      <c r="B6535" t="s">
        <v>36</v>
      </c>
      <c r="C6535" t="s">
        <v>37</v>
      </c>
      <c r="D6535">
        <v>28</v>
      </c>
    </row>
    <row r="6536" spans="1:4" ht="15.75" customHeight="1">
      <c r="A6536" t="s">
        <v>1144</v>
      </c>
      <c r="B6536" t="s">
        <v>36</v>
      </c>
      <c r="C6536" t="s">
        <v>37</v>
      </c>
      <c r="D6536">
        <v>28</v>
      </c>
    </row>
    <row r="6537" spans="1:4" ht="15.75" customHeight="1">
      <c r="A6537" t="s">
        <v>1660</v>
      </c>
      <c r="B6537" t="s">
        <v>36</v>
      </c>
      <c r="C6537" t="s">
        <v>37</v>
      </c>
      <c r="D6537">
        <v>28</v>
      </c>
    </row>
    <row r="6538" spans="1:4" ht="15.75" customHeight="1">
      <c r="A6538" t="s">
        <v>3916</v>
      </c>
      <c r="B6538" t="s">
        <v>36</v>
      </c>
      <c r="C6538" t="s">
        <v>37</v>
      </c>
      <c r="D6538">
        <v>28</v>
      </c>
    </row>
    <row r="6539" spans="1:4" ht="15.75" customHeight="1">
      <c r="A6539" t="s">
        <v>2035</v>
      </c>
      <c r="B6539" t="s">
        <v>36</v>
      </c>
      <c r="C6539" t="s">
        <v>37</v>
      </c>
      <c r="D6539">
        <v>28</v>
      </c>
    </row>
    <row r="6540" spans="1:4" ht="15.75" customHeight="1">
      <c r="A6540" t="s">
        <v>2020</v>
      </c>
      <c r="B6540" t="s">
        <v>36</v>
      </c>
      <c r="C6540" t="s">
        <v>37</v>
      </c>
      <c r="D6540">
        <v>28</v>
      </c>
    </row>
    <row r="6541" spans="1:4" ht="15.75" customHeight="1">
      <c r="A6541" t="s">
        <v>1186</v>
      </c>
      <c r="B6541" t="s">
        <v>36</v>
      </c>
      <c r="C6541" t="s">
        <v>37</v>
      </c>
      <c r="D6541">
        <v>27</v>
      </c>
    </row>
    <row r="6542" spans="1:4" ht="15.75" customHeight="1">
      <c r="A6542" t="s">
        <v>2031</v>
      </c>
      <c r="B6542" t="s">
        <v>36</v>
      </c>
      <c r="C6542" t="s">
        <v>37</v>
      </c>
      <c r="D6542">
        <v>27</v>
      </c>
    </row>
    <row r="6543" spans="1:4" ht="15.75" customHeight="1">
      <c r="A6543" t="s">
        <v>2012</v>
      </c>
      <c r="B6543" t="s">
        <v>36</v>
      </c>
      <c r="C6543" t="s">
        <v>37</v>
      </c>
      <c r="D6543">
        <v>27</v>
      </c>
    </row>
    <row r="6544" spans="1:4" ht="15.75" customHeight="1">
      <c r="A6544" t="s">
        <v>3083</v>
      </c>
      <c r="B6544" t="s">
        <v>36</v>
      </c>
      <c r="C6544" t="s">
        <v>37</v>
      </c>
      <c r="D6544">
        <v>26</v>
      </c>
    </row>
    <row r="6545" spans="1:4" ht="15.75" customHeight="1">
      <c r="A6545" t="s">
        <v>3041</v>
      </c>
      <c r="B6545" t="s">
        <v>36</v>
      </c>
      <c r="C6545" t="s">
        <v>37</v>
      </c>
      <c r="D6545">
        <v>26</v>
      </c>
    </row>
    <row r="6546" spans="1:4" ht="15.75" customHeight="1">
      <c r="A6546" t="s">
        <v>2063</v>
      </c>
      <c r="B6546" t="s">
        <v>36</v>
      </c>
      <c r="C6546" t="s">
        <v>37</v>
      </c>
      <c r="D6546">
        <v>26</v>
      </c>
    </row>
    <row r="6547" spans="1:4" ht="15.75" customHeight="1">
      <c r="A6547" t="s">
        <v>322</v>
      </c>
      <c r="B6547" t="s">
        <v>36</v>
      </c>
      <c r="C6547" t="s">
        <v>37</v>
      </c>
      <c r="D6547">
        <v>26</v>
      </c>
    </row>
    <row r="6548" spans="1:4" ht="15.75" customHeight="1">
      <c r="A6548" t="s">
        <v>2550</v>
      </c>
      <c r="B6548" t="s">
        <v>36</v>
      </c>
      <c r="C6548" t="s">
        <v>37</v>
      </c>
      <c r="D6548">
        <v>26</v>
      </c>
    </row>
    <row r="6549" spans="1:4" ht="15.75" customHeight="1">
      <c r="A6549" t="s">
        <v>2563</v>
      </c>
      <c r="B6549" t="s">
        <v>36</v>
      </c>
      <c r="C6549" t="s">
        <v>37</v>
      </c>
      <c r="D6549">
        <v>25</v>
      </c>
    </row>
    <row r="6550" spans="1:4" ht="15.75" customHeight="1">
      <c r="A6550" t="s">
        <v>1156</v>
      </c>
      <c r="B6550" t="s">
        <v>36</v>
      </c>
      <c r="C6550" t="s">
        <v>37</v>
      </c>
      <c r="D6550">
        <v>25</v>
      </c>
    </row>
    <row r="6551" spans="1:4" ht="15.75" customHeight="1">
      <c r="A6551" t="s">
        <v>2644</v>
      </c>
      <c r="B6551" t="s">
        <v>36</v>
      </c>
      <c r="C6551" t="s">
        <v>37</v>
      </c>
      <c r="D6551">
        <v>25</v>
      </c>
    </row>
    <row r="6552" spans="1:4" ht="15.75" customHeight="1">
      <c r="A6552" t="s">
        <v>2058</v>
      </c>
      <c r="B6552" t="s">
        <v>36</v>
      </c>
      <c r="C6552" t="s">
        <v>37</v>
      </c>
      <c r="D6552">
        <v>25</v>
      </c>
    </row>
    <row r="6553" spans="1:4" ht="15.75" customHeight="1">
      <c r="A6553" t="s">
        <v>3039</v>
      </c>
      <c r="B6553" t="s">
        <v>36</v>
      </c>
      <c r="C6553" t="s">
        <v>37</v>
      </c>
      <c r="D6553">
        <v>25</v>
      </c>
    </row>
    <row r="6554" spans="1:4" ht="15.75" customHeight="1">
      <c r="A6554" t="s">
        <v>4688</v>
      </c>
      <c r="B6554" t="s">
        <v>36</v>
      </c>
      <c r="C6554" t="s">
        <v>37</v>
      </c>
      <c r="D6554">
        <v>25</v>
      </c>
    </row>
    <row r="6555" spans="1:4" ht="15.75" customHeight="1">
      <c r="A6555" t="s">
        <v>1142</v>
      </c>
      <c r="B6555" t="s">
        <v>36</v>
      </c>
      <c r="C6555" t="s">
        <v>37</v>
      </c>
      <c r="D6555">
        <v>24</v>
      </c>
    </row>
    <row r="6556" spans="1:4" ht="15.75" customHeight="1">
      <c r="A6556" t="s">
        <v>2047</v>
      </c>
      <c r="B6556" t="s">
        <v>36</v>
      </c>
      <c r="C6556" t="s">
        <v>37</v>
      </c>
      <c r="D6556">
        <v>24</v>
      </c>
    </row>
    <row r="6557" spans="1:4" ht="15.75" customHeight="1">
      <c r="A6557" t="s">
        <v>2029</v>
      </c>
      <c r="B6557" t="s">
        <v>36</v>
      </c>
      <c r="C6557" t="s">
        <v>37</v>
      </c>
      <c r="D6557">
        <v>24</v>
      </c>
    </row>
    <row r="6558" spans="1:4" ht="15.75" customHeight="1">
      <c r="A6558" t="s">
        <v>3542</v>
      </c>
      <c r="B6558" t="s">
        <v>36</v>
      </c>
      <c r="C6558" t="s">
        <v>37</v>
      </c>
      <c r="D6558">
        <v>23</v>
      </c>
    </row>
    <row r="6559" spans="1:4" ht="15.75" customHeight="1">
      <c r="A6559" t="s">
        <v>2609</v>
      </c>
      <c r="B6559" t="s">
        <v>36</v>
      </c>
      <c r="C6559" t="s">
        <v>37</v>
      </c>
      <c r="D6559">
        <v>23</v>
      </c>
    </row>
    <row r="6560" spans="1:4" ht="15.75" customHeight="1">
      <c r="A6560" t="s">
        <v>4667</v>
      </c>
      <c r="B6560" t="s">
        <v>36</v>
      </c>
      <c r="C6560" t="s">
        <v>37</v>
      </c>
      <c r="D6560">
        <v>23</v>
      </c>
    </row>
    <row r="6561" spans="1:4" ht="15.75" customHeight="1">
      <c r="A6561" t="s">
        <v>3577</v>
      </c>
      <c r="B6561" t="s">
        <v>36</v>
      </c>
      <c r="C6561" t="s">
        <v>37</v>
      </c>
      <c r="D6561">
        <v>23</v>
      </c>
    </row>
    <row r="6562" spans="1:4" ht="15.75" customHeight="1">
      <c r="A6562" t="s">
        <v>2065</v>
      </c>
      <c r="B6562" t="s">
        <v>36</v>
      </c>
      <c r="C6562" t="s">
        <v>37</v>
      </c>
      <c r="D6562">
        <v>23</v>
      </c>
    </row>
    <row r="6563" spans="1:4" ht="15.75" customHeight="1">
      <c r="A6563" t="s">
        <v>3054</v>
      </c>
      <c r="B6563" t="s">
        <v>36</v>
      </c>
      <c r="C6563" t="s">
        <v>37</v>
      </c>
      <c r="D6563">
        <v>22</v>
      </c>
    </row>
    <row r="6564" spans="1:4" ht="15.75" customHeight="1">
      <c r="A6564" t="s">
        <v>4687</v>
      </c>
      <c r="B6564" t="s">
        <v>36</v>
      </c>
      <c r="C6564" t="s">
        <v>37</v>
      </c>
      <c r="D6564">
        <v>22</v>
      </c>
    </row>
    <row r="6565" spans="1:4" ht="15.75" customHeight="1">
      <c r="A6565" s="7">
        <v>37135</v>
      </c>
      <c r="B6565" t="s">
        <v>36</v>
      </c>
      <c r="C6565" t="s">
        <v>37</v>
      </c>
      <c r="D6565">
        <v>22</v>
      </c>
    </row>
    <row r="6566" spans="1:4" ht="15.75" customHeight="1">
      <c r="A6566" t="s">
        <v>3950</v>
      </c>
      <c r="B6566" t="s">
        <v>36</v>
      </c>
      <c r="C6566" t="s">
        <v>37</v>
      </c>
      <c r="D6566">
        <v>21</v>
      </c>
    </row>
    <row r="6567" spans="1:4" ht="15.75" customHeight="1">
      <c r="A6567" t="s">
        <v>3976</v>
      </c>
      <c r="B6567" t="s">
        <v>36</v>
      </c>
      <c r="C6567" t="s">
        <v>37</v>
      </c>
      <c r="D6567">
        <v>21</v>
      </c>
    </row>
    <row r="6568" spans="1:4" ht="15.75" customHeight="1">
      <c r="A6568" t="s">
        <v>1653</v>
      </c>
      <c r="B6568" t="s">
        <v>36</v>
      </c>
      <c r="C6568" t="s">
        <v>37</v>
      </c>
      <c r="D6568">
        <v>21</v>
      </c>
    </row>
    <row r="6569" spans="1:4" ht="15.75" customHeight="1">
      <c r="A6569" t="s">
        <v>2621</v>
      </c>
      <c r="B6569" t="s">
        <v>36</v>
      </c>
      <c r="C6569" t="s">
        <v>37</v>
      </c>
      <c r="D6569">
        <v>21</v>
      </c>
    </row>
    <row r="6570" spans="1:4" ht="15.75" customHeight="1">
      <c r="A6570" t="s">
        <v>1633</v>
      </c>
      <c r="B6570" t="s">
        <v>36</v>
      </c>
      <c r="C6570" t="s">
        <v>37</v>
      </c>
      <c r="D6570">
        <v>20</v>
      </c>
    </row>
    <row r="6571" spans="1:4" ht="15.75" customHeight="1">
      <c r="A6571" t="s">
        <v>3952</v>
      </c>
      <c r="B6571" t="s">
        <v>36</v>
      </c>
      <c r="C6571" t="s">
        <v>37</v>
      </c>
      <c r="D6571">
        <v>20</v>
      </c>
    </row>
    <row r="6572" spans="1:4" ht="15.75" customHeight="1">
      <c r="A6572" t="s">
        <v>2595</v>
      </c>
      <c r="B6572" t="s">
        <v>36</v>
      </c>
      <c r="C6572" t="s">
        <v>37</v>
      </c>
      <c r="D6572">
        <v>20</v>
      </c>
    </row>
    <row r="6573" spans="1:4" ht="15.75" customHeight="1">
      <c r="A6573" t="s">
        <v>1659</v>
      </c>
      <c r="B6573" t="s">
        <v>36</v>
      </c>
      <c r="C6573" t="s">
        <v>37</v>
      </c>
      <c r="D6573">
        <v>20</v>
      </c>
    </row>
    <row r="6574" spans="1:4" ht="15.75" customHeight="1">
      <c r="A6574" t="s">
        <v>1187</v>
      </c>
      <c r="B6574" t="s">
        <v>36</v>
      </c>
      <c r="C6574" t="s">
        <v>37</v>
      </c>
      <c r="D6574">
        <v>20</v>
      </c>
    </row>
    <row r="6575" spans="1:4" ht="15.75" customHeight="1">
      <c r="A6575" t="s">
        <v>2627</v>
      </c>
      <c r="B6575" t="s">
        <v>36</v>
      </c>
      <c r="C6575" t="s">
        <v>37</v>
      </c>
      <c r="D6575">
        <v>19</v>
      </c>
    </row>
    <row r="6576" spans="1:4" ht="15.75" customHeight="1">
      <c r="A6576" t="s">
        <v>3571</v>
      </c>
      <c r="B6576" t="s">
        <v>36</v>
      </c>
      <c r="C6576" t="s">
        <v>37</v>
      </c>
      <c r="D6576">
        <v>19</v>
      </c>
    </row>
    <row r="6577" spans="1:4" ht="15.75" customHeight="1">
      <c r="A6577" t="s">
        <v>3987</v>
      </c>
      <c r="B6577" t="s">
        <v>36</v>
      </c>
      <c r="C6577" t="s">
        <v>37</v>
      </c>
      <c r="D6577">
        <v>19</v>
      </c>
    </row>
    <row r="6578" spans="1:4" ht="15.75" customHeight="1">
      <c r="A6578" t="s">
        <v>3971</v>
      </c>
      <c r="B6578" t="s">
        <v>36</v>
      </c>
      <c r="C6578" t="s">
        <v>37</v>
      </c>
      <c r="D6578">
        <v>18</v>
      </c>
    </row>
    <row r="6579" spans="1:4" ht="15.75" customHeight="1">
      <c r="A6579" t="s">
        <v>3527</v>
      </c>
      <c r="B6579" t="s">
        <v>36</v>
      </c>
      <c r="C6579" t="s">
        <v>37</v>
      </c>
      <c r="D6579">
        <v>18</v>
      </c>
    </row>
    <row r="6580" spans="1:4" ht="15.75" customHeight="1">
      <c r="A6580" t="s">
        <v>397</v>
      </c>
      <c r="B6580" t="s">
        <v>36</v>
      </c>
      <c r="C6580" t="s">
        <v>37</v>
      </c>
      <c r="D6580">
        <v>18</v>
      </c>
    </row>
    <row r="6581" spans="1:4" ht="15.75" customHeight="1">
      <c r="A6581" t="s">
        <v>4005</v>
      </c>
      <c r="B6581" t="s">
        <v>36</v>
      </c>
      <c r="C6581" t="s">
        <v>37</v>
      </c>
      <c r="D6581">
        <v>18</v>
      </c>
    </row>
    <row r="6582" spans="1:4" ht="15.75" customHeight="1">
      <c r="A6582" t="s">
        <v>3926</v>
      </c>
      <c r="B6582" t="s">
        <v>36</v>
      </c>
      <c r="C6582" t="s">
        <v>37</v>
      </c>
      <c r="D6582">
        <v>18</v>
      </c>
    </row>
    <row r="6583" spans="1:4" ht="15.75" customHeight="1">
      <c r="A6583" t="s">
        <v>2591</v>
      </c>
      <c r="B6583" t="s">
        <v>36</v>
      </c>
      <c r="C6583" t="s">
        <v>37</v>
      </c>
      <c r="D6583">
        <v>18</v>
      </c>
    </row>
    <row r="6584" spans="1:4" ht="15.75" customHeight="1">
      <c r="A6584" t="s">
        <v>3069</v>
      </c>
      <c r="B6584" t="s">
        <v>36</v>
      </c>
      <c r="C6584" t="s">
        <v>37</v>
      </c>
      <c r="D6584">
        <v>17</v>
      </c>
    </row>
    <row r="6585" spans="1:4" ht="15.75" customHeight="1">
      <c r="A6585" t="s">
        <v>3544</v>
      </c>
      <c r="B6585" t="s">
        <v>36</v>
      </c>
      <c r="C6585" t="s">
        <v>37</v>
      </c>
      <c r="D6585">
        <v>16</v>
      </c>
    </row>
    <row r="6586" spans="1:4" ht="15.75" customHeight="1">
      <c r="A6586" t="s">
        <v>3491</v>
      </c>
      <c r="B6586" t="s">
        <v>36</v>
      </c>
      <c r="C6586" t="s">
        <v>37</v>
      </c>
      <c r="D6586">
        <v>16</v>
      </c>
    </row>
    <row r="6587" spans="1:4" ht="15.75" customHeight="1">
      <c r="A6587" t="s">
        <v>1641</v>
      </c>
      <c r="B6587" t="s">
        <v>36</v>
      </c>
      <c r="C6587" t="s">
        <v>37</v>
      </c>
      <c r="D6587">
        <v>16</v>
      </c>
    </row>
    <row r="6588" spans="1:4" ht="15.75" customHeight="1">
      <c r="A6588" t="s">
        <v>4309</v>
      </c>
      <c r="B6588" t="s">
        <v>36</v>
      </c>
      <c r="C6588" t="s">
        <v>37</v>
      </c>
      <c r="D6588">
        <v>16</v>
      </c>
    </row>
    <row r="6589" spans="1:4" ht="15.75" customHeight="1">
      <c r="A6589" t="s">
        <v>4283</v>
      </c>
      <c r="B6589" t="s">
        <v>36</v>
      </c>
      <c r="C6589" t="s">
        <v>37</v>
      </c>
      <c r="D6589">
        <v>15</v>
      </c>
    </row>
    <row r="6590" spans="1:4" ht="15.75" customHeight="1">
      <c r="A6590" t="s">
        <v>3989</v>
      </c>
      <c r="B6590" t="s">
        <v>36</v>
      </c>
      <c r="C6590" t="s">
        <v>37</v>
      </c>
      <c r="D6590">
        <v>15</v>
      </c>
    </row>
    <row r="6591" spans="1:4" ht="15.75" customHeight="1">
      <c r="A6591" t="s">
        <v>1146</v>
      </c>
      <c r="B6591" t="s">
        <v>36</v>
      </c>
      <c r="C6591" t="s">
        <v>37</v>
      </c>
      <c r="D6591">
        <v>15</v>
      </c>
    </row>
    <row r="6592" spans="1:4" ht="15.75" customHeight="1">
      <c r="A6592" t="s">
        <v>3101</v>
      </c>
      <c r="B6592" t="s">
        <v>36</v>
      </c>
      <c r="C6592" t="s">
        <v>37</v>
      </c>
      <c r="D6592">
        <v>15</v>
      </c>
    </row>
    <row r="6593" spans="1:4" ht="15.75" customHeight="1">
      <c r="A6593" t="s">
        <v>4294</v>
      </c>
      <c r="B6593" t="s">
        <v>36</v>
      </c>
      <c r="C6593" t="s">
        <v>37</v>
      </c>
      <c r="D6593">
        <v>14</v>
      </c>
    </row>
    <row r="6594" spans="1:4" ht="15.75" customHeight="1">
      <c r="A6594" t="s">
        <v>2087</v>
      </c>
      <c r="B6594" t="s">
        <v>36</v>
      </c>
      <c r="C6594" t="s">
        <v>37</v>
      </c>
      <c r="D6594">
        <v>14</v>
      </c>
    </row>
    <row r="6595" spans="1:4" ht="15.75" customHeight="1">
      <c r="A6595" t="s">
        <v>2078</v>
      </c>
      <c r="B6595" t="s">
        <v>36</v>
      </c>
      <c r="C6595" t="s">
        <v>37</v>
      </c>
      <c r="D6595">
        <v>13</v>
      </c>
    </row>
    <row r="6596" spans="1:4" ht="15.75" customHeight="1">
      <c r="A6596" t="s">
        <v>4674</v>
      </c>
      <c r="B6596" t="s">
        <v>36</v>
      </c>
      <c r="C6596" t="s">
        <v>37</v>
      </c>
      <c r="D6596">
        <v>12</v>
      </c>
    </row>
    <row r="6597" spans="1:4" ht="15.75" customHeight="1">
      <c r="A6597" t="s">
        <v>1209</v>
      </c>
      <c r="B6597" t="s">
        <v>36</v>
      </c>
      <c r="C6597" t="s">
        <v>37</v>
      </c>
      <c r="D6597">
        <v>11</v>
      </c>
    </row>
    <row r="6598" spans="1:4" ht="15.75" customHeight="1">
      <c r="A6598" t="s">
        <v>1661</v>
      </c>
      <c r="B6598" t="s">
        <v>36</v>
      </c>
      <c r="C6598" t="s">
        <v>37</v>
      </c>
      <c r="D6598">
        <v>11</v>
      </c>
    </row>
    <row r="6599" spans="1:4" ht="15.75" customHeight="1">
      <c r="A6599" t="s">
        <v>4299</v>
      </c>
      <c r="B6599" t="s">
        <v>36</v>
      </c>
      <c r="C6599" t="s">
        <v>37</v>
      </c>
      <c r="D6599">
        <v>10</v>
      </c>
    </row>
    <row r="6600" spans="1:4" ht="15.75" customHeight="1">
      <c r="A6600" t="s">
        <v>1143</v>
      </c>
      <c r="B6600" t="s">
        <v>36</v>
      </c>
      <c r="C6600" t="s">
        <v>37</v>
      </c>
      <c r="D6600">
        <v>10</v>
      </c>
    </row>
    <row r="6601" spans="1:4" ht="15.75" customHeight="1">
      <c r="A6601" t="s">
        <v>3104</v>
      </c>
      <c r="B6601" t="s">
        <v>36</v>
      </c>
      <c r="C6601" t="s">
        <v>37</v>
      </c>
      <c r="D6601">
        <v>10</v>
      </c>
    </row>
    <row r="6602" spans="1:4" ht="15.75" customHeight="1">
      <c r="A6602" t="s">
        <v>2570</v>
      </c>
      <c r="B6602" t="s">
        <v>36</v>
      </c>
      <c r="C6602" t="s">
        <v>37</v>
      </c>
      <c r="D6602">
        <v>10</v>
      </c>
    </row>
    <row r="6603" spans="1:4" ht="15.75" customHeight="1">
      <c r="A6603" t="s">
        <v>3561</v>
      </c>
      <c r="B6603" t="s">
        <v>36</v>
      </c>
      <c r="C6603" t="s">
        <v>37</v>
      </c>
      <c r="D6603">
        <v>9</v>
      </c>
    </row>
    <row r="6604" spans="1:4" ht="15.75" customHeight="1">
      <c r="A6604" t="s">
        <v>3517</v>
      </c>
      <c r="B6604" t="s">
        <v>36</v>
      </c>
      <c r="C6604" t="s">
        <v>37</v>
      </c>
      <c r="D6604">
        <v>8</v>
      </c>
    </row>
    <row r="6605" spans="1:4" ht="15.75" customHeight="1">
      <c r="A6605" t="s">
        <v>3969</v>
      </c>
      <c r="B6605" t="s">
        <v>36</v>
      </c>
      <c r="C6605" t="s">
        <v>37</v>
      </c>
      <c r="D6605">
        <v>8</v>
      </c>
    </row>
    <row r="6606" spans="1:4" ht="15.75" customHeight="1">
      <c r="A6606" t="s">
        <v>1655</v>
      </c>
      <c r="B6606" t="s">
        <v>36</v>
      </c>
      <c r="C6606" t="s">
        <v>37</v>
      </c>
      <c r="D6606">
        <v>7</v>
      </c>
    </row>
    <row r="6607" spans="1:4" ht="15.75" customHeight="1">
      <c r="A6607" t="s">
        <v>1185</v>
      </c>
      <c r="B6607" t="s">
        <v>36</v>
      </c>
      <c r="C6607" t="s">
        <v>37</v>
      </c>
      <c r="D6607">
        <v>7</v>
      </c>
    </row>
    <row r="6608" spans="1:4" ht="15.75" customHeight="1">
      <c r="A6608" t="s">
        <v>1132</v>
      </c>
      <c r="B6608" t="s">
        <v>36</v>
      </c>
      <c r="C6608" t="s">
        <v>37</v>
      </c>
      <c r="D6608">
        <v>7</v>
      </c>
    </row>
    <row r="6609" spans="1:4" ht="15.75" customHeight="1">
      <c r="A6609" t="s">
        <v>3568</v>
      </c>
      <c r="B6609" t="s">
        <v>36</v>
      </c>
      <c r="C6609" t="s">
        <v>37</v>
      </c>
      <c r="D6609">
        <v>7</v>
      </c>
    </row>
    <row r="6610" spans="1:4" ht="15.75" customHeight="1">
      <c r="A6610" t="s">
        <v>4664</v>
      </c>
      <c r="B6610" t="s">
        <v>36</v>
      </c>
      <c r="C6610" t="s">
        <v>37</v>
      </c>
      <c r="D6610">
        <v>7</v>
      </c>
    </row>
    <row r="6611" spans="1:4" ht="15.75" customHeight="1">
      <c r="A6611" t="s">
        <v>1684</v>
      </c>
      <c r="B6611" t="s">
        <v>36</v>
      </c>
      <c r="C6611" t="s">
        <v>37</v>
      </c>
      <c r="D6611">
        <v>5</v>
      </c>
    </row>
    <row r="6612" spans="1:4" ht="15.75" customHeight="1">
      <c r="A6612" t="s">
        <v>3539</v>
      </c>
      <c r="B6612" t="s">
        <v>36</v>
      </c>
      <c r="C6612" t="s">
        <v>37</v>
      </c>
      <c r="D6612">
        <v>3</v>
      </c>
    </row>
    <row r="6613" spans="1:4" ht="15.75" customHeight="1">
      <c r="A6613" t="s">
        <v>3951</v>
      </c>
      <c r="B6613" t="s">
        <v>36</v>
      </c>
      <c r="C6613" t="s">
        <v>37</v>
      </c>
      <c r="D6613">
        <v>3</v>
      </c>
    </row>
    <row r="6614" spans="1:4" ht="15.75" customHeight="1">
      <c r="A6614" t="s">
        <v>3548</v>
      </c>
      <c r="B6614" t="s">
        <v>36</v>
      </c>
      <c r="C6614" t="s">
        <v>37</v>
      </c>
      <c r="D6614">
        <v>2</v>
      </c>
    </row>
    <row r="6615" spans="1:4" ht="15.75" customHeight="1">
      <c r="A6615" t="s">
        <v>1686</v>
      </c>
      <c r="B6615" t="s">
        <v>36</v>
      </c>
      <c r="C6615" t="s">
        <v>37</v>
      </c>
      <c r="D6615">
        <v>2</v>
      </c>
    </row>
    <row r="6616" spans="1:4" ht="15.75" customHeight="1">
      <c r="A6616" t="s">
        <v>3512</v>
      </c>
      <c r="B6616" t="s">
        <v>36</v>
      </c>
      <c r="C6616" t="s">
        <v>37</v>
      </c>
      <c r="D6616">
        <v>1</v>
      </c>
    </row>
    <row r="6617" spans="1:4" ht="15.75" customHeight="1">
      <c r="A6617" t="s">
        <v>518</v>
      </c>
      <c r="B6617" t="s">
        <v>38</v>
      </c>
      <c r="C6617" t="s">
        <v>24</v>
      </c>
      <c r="D6617">
        <v>9</v>
      </c>
    </row>
    <row r="6618" spans="1:4" ht="15.75" customHeight="1">
      <c r="A6618" t="s">
        <v>1373</v>
      </c>
      <c r="B6618" t="s">
        <v>38</v>
      </c>
      <c r="C6618" t="s">
        <v>24</v>
      </c>
      <c r="D6618">
        <v>8</v>
      </c>
    </row>
    <row r="6619" spans="1:4" ht="15.75" customHeight="1">
      <c r="A6619" t="s">
        <v>618</v>
      </c>
      <c r="B6619" t="s">
        <v>38</v>
      </c>
      <c r="C6619" t="s">
        <v>24</v>
      </c>
      <c r="D6619">
        <v>8</v>
      </c>
    </row>
    <row r="6620" spans="1:4" ht="15.75" customHeight="1">
      <c r="A6620" t="s">
        <v>515</v>
      </c>
      <c r="B6620" t="s">
        <v>38</v>
      </c>
      <c r="C6620" t="s">
        <v>24</v>
      </c>
      <c r="D6620">
        <v>8</v>
      </c>
    </row>
    <row r="6621" spans="1:4" ht="15.75" customHeight="1">
      <c r="A6621" t="s">
        <v>465</v>
      </c>
      <c r="B6621" t="s">
        <v>38</v>
      </c>
      <c r="C6621" t="s">
        <v>24</v>
      </c>
      <c r="D6621">
        <v>7</v>
      </c>
    </row>
    <row r="6622" spans="1:4" ht="15.75" customHeight="1">
      <c r="A6622" t="s">
        <v>695</v>
      </c>
      <c r="B6622" t="s">
        <v>38</v>
      </c>
      <c r="C6622" t="s">
        <v>24</v>
      </c>
      <c r="D6622">
        <v>7</v>
      </c>
    </row>
    <row r="6623" spans="1:4" ht="15.75" customHeight="1">
      <c r="A6623" t="s">
        <v>445</v>
      </c>
      <c r="B6623" t="s">
        <v>38</v>
      </c>
      <c r="C6623" t="s">
        <v>24</v>
      </c>
      <c r="D6623">
        <v>7</v>
      </c>
    </row>
    <row r="6624" spans="1:4" ht="15.75" customHeight="1">
      <c r="A6624" t="s">
        <v>644</v>
      </c>
      <c r="B6624" t="s">
        <v>38</v>
      </c>
      <c r="C6624" t="s">
        <v>24</v>
      </c>
      <c r="D6624">
        <v>7</v>
      </c>
    </row>
    <row r="6625" spans="1:4" ht="15.75" customHeight="1">
      <c r="A6625" t="s">
        <v>471</v>
      </c>
      <c r="B6625" t="s">
        <v>38</v>
      </c>
      <c r="C6625" t="s">
        <v>24</v>
      </c>
      <c r="D6625">
        <v>7</v>
      </c>
    </row>
    <row r="6626" spans="1:4" ht="15.75" customHeight="1">
      <c r="A6626" t="s">
        <v>641</v>
      </c>
      <c r="B6626" t="s">
        <v>38</v>
      </c>
      <c r="C6626" t="s">
        <v>24</v>
      </c>
      <c r="D6626">
        <v>7</v>
      </c>
    </row>
    <row r="6627" spans="1:4" ht="15.75" customHeight="1">
      <c r="A6627" t="s">
        <v>1226</v>
      </c>
      <c r="B6627" t="s">
        <v>38</v>
      </c>
      <c r="C6627" t="s">
        <v>24</v>
      </c>
      <c r="D6627">
        <v>6</v>
      </c>
    </row>
    <row r="6628" spans="1:4" ht="15.75" customHeight="1">
      <c r="A6628" t="s">
        <v>615</v>
      </c>
      <c r="B6628" t="s">
        <v>38</v>
      </c>
      <c r="C6628" t="s">
        <v>24</v>
      </c>
      <c r="D6628">
        <v>6</v>
      </c>
    </row>
    <row r="6629" spans="1:4" ht="15.75" customHeight="1">
      <c r="A6629" t="s">
        <v>1360</v>
      </c>
      <c r="B6629" t="s">
        <v>38</v>
      </c>
      <c r="C6629" t="s">
        <v>24</v>
      </c>
      <c r="D6629">
        <v>6</v>
      </c>
    </row>
    <row r="6630" spans="1:4" ht="15.75" customHeight="1">
      <c r="A6630" t="s">
        <v>1446</v>
      </c>
      <c r="B6630" t="s">
        <v>38</v>
      </c>
      <c r="C6630" t="s">
        <v>24</v>
      </c>
      <c r="D6630">
        <v>5</v>
      </c>
    </row>
    <row r="6631" spans="1:4" ht="15.75" customHeight="1">
      <c r="A6631" t="s">
        <v>1369</v>
      </c>
      <c r="B6631" t="s">
        <v>38</v>
      </c>
      <c r="C6631" t="s">
        <v>24</v>
      </c>
      <c r="D6631">
        <v>5</v>
      </c>
    </row>
    <row r="6632" spans="1:4" ht="15.75" customHeight="1">
      <c r="A6632" t="s">
        <v>661</v>
      </c>
      <c r="B6632" t="s">
        <v>38</v>
      </c>
      <c r="C6632" t="s">
        <v>24</v>
      </c>
      <c r="D6632">
        <v>5</v>
      </c>
    </row>
    <row r="6633" spans="1:4" ht="15.75" customHeight="1">
      <c r="A6633" t="s">
        <v>1310</v>
      </c>
      <c r="B6633" t="s">
        <v>38</v>
      </c>
      <c r="C6633" t="s">
        <v>24</v>
      </c>
      <c r="D6633">
        <v>5</v>
      </c>
    </row>
    <row r="6634" spans="1:4" ht="15.75" customHeight="1">
      <c r="A6634" t="s">
        <v>1325</v>
      </c>
      <c r="B6634" t="s">
        <v>38</v>
      </c>
      <c r="C6634" t="s">
        <v>24</v>
      </c>
      <c r="D6634">
        <v>5</v>
      </c>
    </row>
    <row r="6635" spans="1:4" ht="15.75" customHeight="1">
      <c r="A6635" t="s">
        <v>1409</v>
      </c>
      <c r="B6635" t="s">
        <v>38</v>
      </c>
      <c r="C6635" t="s">
        <v>24</v>
      </c>
      <c r="D6635">
        <v>5</v>
      </c>
    </row>
    <row r="6636" spans="1:4" ht="15.75" customHeight="1">
      <c r="A6636" t="s">
        <v>1307</v>
      </c>
      <c r="B6636" t="s">
        <v>38</v>
      </c>
      <c r="C6636" t="s">
        <v>24</v>
      </c>
      <c r="D6636">
        <v>5</v>
      </c>
    </row>
    <row r="6637" spans="1:4" ht="15.75" customHeight="1">
      <c r="A6637" t="s">
        <v>567</v>
      </c>
      <c r="B6637" t="s">
        <v>38</v>
      </c>
      <c r="C6637" t="s">
        <v>24</v>
      </c>
      <c r="D6637">
        <v>5</v>
      </c>
    </row>
    <row r="6638" spans="1:4" ht="15.75" customHeight="1">
      <c r="A6638" t="s">
        <v>442</v>
      </c>
      <c r="B6638" t="s">
        <v>38</v>
      </c>
      <c r="C6638" t="s">
        <v>24</v>
      </c>
      <c r="D6638">
        <v>5</v>
      </c>
    </row>
    <row r="6639" spans="1:4" ht="15.75" customHeight="1">
      <c r="A6639" t="s">
        <v>1449</v>
      </c>
      <c r="B6639" t="s">
        <v>38</v>
      </c>
      <c r="C6639" t="s">
        <v>24</v>
      </c>
      <c r="D6639">
        <v>5</v>
      </c>
    </row>
    <row r="6640" spans="1:4" ht="15.75" customHeight="1">
      <c r="A6640" t="s">
        <v>1250</v>
      </c>
      <c r="B6640" t="s">
        <v>38</v>
      </c>
      <c r="C6640" t="s">
        <v>24</v>
      </c>
      <c r="D6640">
        <v>5</v>
      </c>
    </row>
    <row r="6641" spans="1:4" ht="15.75" customHeight="1">
      <c r="A6641" t="s">
        <v>623</v>
      </c>
      <c r="B6641" t="s">
        <v>38</v>
      </c>
      <c r="C6641" t="s">
        <v>24</v>
      </c>
      <c r="D6641">
        <v>5</v>
      </c>
    </row>
    <row r="6642" spans="1:4" ht="15.75" customHeight="1">
      <c r="A6642" t="s">
        <v>1377</v>
      </c>
      <c r="B6642" t="s">
        <v>38</v>
      </c>
      <c r="C6642" t="s">
        <v>24</v>
      </c>
      <c r="D6642">
        <v>5</v>
      </c>
    </row>
    <row r="6643" spans="1:4" ht="15.75" customHeight="1">
      <c r="A6643" t="s">
        <v>1432</v>
      </c>
      <c r="B6643" t="s">
        <v>38</v>
      </c>
      <c r="C6643" t="s">
        <v>24</v>
      </c>
      <c r="D6643">
        <v>5</v>
      </c>
    </row>
    <row r="6644" spans="1:4" ht="15.75" customHeight="1">
      <c r="A6644" t="s">
        <v>1419</v>
      </c>
      <c r="B6644" t="s">
        <v>38</v>
      </c>
      <c r="C6644" t="s">
        <v>24</v>
      </c>
      <c r="D6644">
        <v>5</v>
      </c>
    </row>
    <row r="6645" spans="1:4" ht="15.75" customHeight="1">
      <c r="A6645" t="s">
        <v>1428</v>
      </c>
      <c r="B6645" t="s">
        <v>38</v>
      </c>
      <c r="C6645" t="s">
        <v>24</v>
      </c>
      <c r="D6645">
        <v>5</v>
      </c>
    </row>
    <row r="6646" spans="1:4" ht="15.75" customHeight="1">
      <c r="A6646" t="s">
        <v>1434</v>
      </c>
      <c r="B6646" t="s">
        <v>38</v>
      </c>
      <c r="C6646" t="s">
        <v>24</v>
      </c>
      <c r="D6646">
        <v>4</v>
      </c>
    </row>
    <row r="6647" spans="1:4" ht="15.75" customHeight="1">
      <c r="A6647" t="s">
        <v>635</v>
      </c>
      <c r="B6647" t="s">
        <v>38</v>
      </c>
      <c r="C6647" t="s">
        <v>24</v>
      </c>
      <c r="D6647">
        <v>4</v>
      </c>
    </row>
    <row r="6648" spans="1:4" ht="15.75" customHeight="1">
      <c r="A6648" t="s">
        <v>632</v>
      </c>
      <c r="B6648" t="s">
        <v>38</v>
      </c>
      <c r="C6648" t="s">
        <v>24</v>
      </c>
      <c r="D6648">
        <v>4</v>
      </c>
    </row>
    <row r="6649" spans="1:4" ht="15.75" customHeight="1">
      <c r="A6649" t="s">
        <v>2243</v>
      </c>
      <c r="B6649" t="s">
        <v>38</v>
      </c>
      <c r="C6649" t="s">
        <v>24</v>
      </c>
      <c r="D6649">
        <v>4</v>
      </c>
    </row>
    <row r="6650" spans="1:4" ht="15.75" customHeight="1">
      <c r="A6650" t="s">
        <v>2240</v>
      </c>
      <c r="B6650" t="s">
        <v>38</v>
      </c>
      <c r="C6650" t="s">
        <v>24</v>
      </c>
      <c r="D6650">
        <v>4</v>
      </c>
    </row>
    <row r="6651" spans="1:4" ht="15.75" customHeight="1">
      <c r="A6651" t="s">
        <v>1411</v>
      </c>
      <c r="B6651" t="s">
        <v>38</v>
      </c>
      <c r="C6651" t="s">
        <v>24</v>
      </c>
      <c r="D6651">
        <v>4</v>
      </c>
    </row>
    <row r="6652" spans="1:4" ht="15.75" customHeight="1">
      <c r="A6652" t="s">
        <v>1267</v>
      </c>
      <c r="B6652" t="s">
        <v>38</v>
      </c>
      <c r="C6652" t="s">
        <v>24</v>
      </c>
      <c r="D6652">
        <v>4</v>
      </c>
    </row>
    <row r="6653" spans="1:4" ht="15.75" customHeight="1">
      <c r="A6653" t="s">
        <v>1407</v>
      </c>
      <c r="B6653" t="s">
        <v>38</v>
      </c>
      <c r="C6653" t="s">
        <v>24</v>
      </c>
      <c r="D6653">
        <v>4</v>
      </c>
    </row>
    <row r="6654" spans="1:4" ht="15.75" customHeight="1">
      <c r="A6654" t="s">
        <v>1261</v>
      </c>
      <c r="B6654" t="s">
        <v>38</v>
      </c>
      <c r="C6654" t="s">
        <v>24</v>
      </c>
      <c r="D6654">
        <v>4</v>
      </c>
    </row>
    <row r="6655" spans="1:4" ht="15.75" customHeight="1">
      <c r="A6655" t="s">
        <v>1414</v>
      </c>
      <c r="B6655" t="s">
        <v>38</v>
      </c>
      <c r="C6655" t="s">
        <v>24</v>
      </c>
      <c r="D6655">
        <v>4</v>
      </c>
    </row>
    <row r="6656" spans="1:4" ht="15.75" customHeight="1">
      <c r="A6656" t="s">
        <v>494</v>
      </c>
      <c r="B6656" t="s">
        <v>38</v>
      </c>
      <c r="C6656" t="s">
        <v>24</v>
      </c>
      <c r="D6656">
        <v>4</v>
      </c>
    </row>
    <row r="6657" spans="1:4" ht="15.75" customHeight="1">
      <c r="A6657" t="s">
        <v>1425</v>
      </c>
      <c r="B6657" t="s">
        <v>38</v>
      </c>
      <c r="C6657" t="s">
        <v>24</v>
      </c>
      <c r="D6657">
        <v>4</v>
      </c>
    </row>
    <row r="6658" spans="1:4" ht="15.75" customHeight="1">
      <c r="A6658" t="s">
        <v>607</v>
      </c>
      <c r="B6658" t="s">
        <v>38</v>
      </c>
      <c r="C6658" t="s">
        <v>24</v>
      </c>
      <c r="D6658">
        <v>4</v>
      </c>
    </row>
    <row r="6659" spans="1:4" ht="15.75" customHeight="1">
      <c r="A6659" t="s">
        <v>521</v>
      </c>
      <c r="B6659" t="s">
        <v>38</v>
      </c>
      <c r="C6659" t="s">
        <v>24</v>
      </c>
      <c r="D6659">
        <v>4</v>
      </c>
    </row>
    <row r="6660" spans="1:4" ht="15.75" customHeight="1">
      <c r="A6660" t="s">
        <v>1768</v>
      </c>
      <c r="B6660" t="s">
        <v>38</v>
      </c>
      <c r="C6660" t="s">
        <v>24</v>
      </c>
      <c r="D6660">
        <v>4</v>
      </c>
    </row>
    <row r="6661" spans="1:4" ht="15.75" customHeight="1">
      <c r="A6661" t="s">
        <v>588</v>
      </c>
      <c r="B6661" t="s">
        <v>38</v>
      </c>
      <c r="C6661" t="s">
        <v>24</v>
      </c>
      <c r="D6661">
        <v>4</v>
      </c>
    </row>
    <row r="6662" spans="1:4" ht="15.75" customHeight="1">
      <c r="A6662" t="s">
        <v>468</v>
      </c>
      <c r="B6662" t="s">
        <v>38</v>
      </c>
      <c r="C6662" t="s">
        <v>24</v>
      </c>
      <c r="D6662">
        <v>4</v>
      </c>
    </row>
    <row r="6663" spans="1:4" ht="15.75" customHeight="1">
      <c r="A6663" t="s">
        <v>1320</v>
      </c>
      <c r="B6663" t="s">
        <v>38</v>
      </c>
      <c r="C6663" t="s">
        <v>24</v>
      </c>
      <c r="D6663">
        <v>4</v>
      </c>
    </row>
    <row r="6664" spans="1:4" ht="15.75" customHeight="1">
      <c r="A6664" t="s">
        <v>1313</v>
      </c>
      <c r="B6664" t="s">
        <v>38</v>
      </c>
      <c r="C6664" t="s">
        <v>24</v>
      </c>
      <c r="D6664">
        <v>3</v>
      </c>
    </row>
    <row r="6665" spans="1:4" ht="15.75" customHeight="1">
      <c r="A6665" t="s">
        <v>2253</v>
      </c>
      <c r="B6665" t="s">
        <v>38</v>
      </c>
      <c r="C6665" t="s">
        <v>24</v>
      </c>
      <c r="D6665">
        <v>3</v>
      </c>
    </row>
    <row r="6666" spans="1:4" ht="15.75" customHeight="1">
      <c r="A6666" t="s">
        <v>1780</v>
      </c>
      <c r="B6666" t="s">
        <v>38</v>
      </c>
      <c r="C6666" t="s">
        <v>24</v>
      </c>
      <c r="D6666">
        <v>3</v>
      </c>
    </row>
    <row r="6667" spans="1:4" ht="15.75" customHeight="1">
      <c r="A6667" t="s">
        <v>530</v>
      </c>
      <c r="B6667" t="s">
        <v>38</v>
      </c>
      <c r="C6667" t="s">
        <v>24</v>
      </c>
      <c r="D6667">
        <v>3</v>
      </c>
    </row>
    <row r="6668" spans="1:4" ht="15.75" customHeight="1">
      <c r="A6668" t="s">
        <v>2860</v>
      </c>
      <c r="B6668" t="s">
        <v>38</v>
      </c>
      <c r="C6668" t="s">
        <v>24</v>
      </c>
      <c r="D6668">
        <v>3</v>
      </c>
    </row>
    <row r="6669" spans="1:4" ht="15.75" customHeight="1">
      <c r="A6669" t="s">
        <v>1714</v>
      </c>
      <c r="B6669" t="s">
        <v>38</v>
      </c>
      <c r="C6669" t="s">
        <v>24</v>
      </c>
      <c r="D6669">
        <v>3</v>
      </c>
    </row>
    <row r="6670" spans="1:4" ht="15.75" customHeight="1">
      <c r="A6670" t="s">
        <v>1423</v>
      </c>
      <c r="B6670" t="s">
        <v>38</v>
      </c>
      <c r="C6670" t="s">
        <v>24</v>
      </c>
      <c r="D6670">
        <v>3</v>
      </c>
    </row>
    <row r="6671" spans="1:4" ht="15.75" customHeight="1">
      <c r="A6671" t="s">
        <v>629</v>
      </c>
      <c r="B6671" t="s">
        <v>38</v>
      </c>
      <c r="C6671" t="s">
        <v>24</v>
      </c>
      <c r="D6671">
        <v>3</v>
      </c>
    </row>
    <row r="6672" spans="1:4" ht="15.75" customHeight="1">
      <c r="A6672" t="s">
        <v>690</v>
      </c>
      <c r="B6672" t="s">
        <v>38</v>
      </c>
      <c r="C6672" t="s">
        <v>24</v>
      </c>
      <c r="D6672">
        <v>3</v>
      </c>
    </row>
    <row r="6673" spans="1:4" ht="15.75" customHeight="1">
      <c r="A6673" t="s">
        <v>1298</v>
      </c>
      <c r="B6673" t="s">
        <v>38</v>
      </c>
      <c r="C6673" t="s">
        <v>24</v>
      </c>
      <c r="D6673">
        <v>3</v>
      </c>
    </row>
    <row r="6674" spans="1:4" ht="15.75" customHeight="1">
      <c r="A6674" t="s">
        <v>551</v>
      </c>
      <c r="B6674" t="s">
        <v>38</v>
      </c>
      <c r="C6674" t="s">
        <v>24</v>
      </c>
      <c r="D6674">
        <v>3</v>
      </c>
    </row>
    <row r="6675" spans="1:4" ht="15.75" customHeight="1">
      <c r="A6675" t="s">
        <v>2697</v>
      </c>
      <c r="B6675" t="s">
        <v>38</v>
      </c>
      <c r="C6675" t="s">
        <v>24</v>
      </c>
      <c r="D6675">
        <v>3</v>
      </c>
    </row>
    <row r="6676" spans="1:4" ht="15.75" customHeight="1">
      <c r="A6676" t="s">
        <v>2113</v>
      </c>
      <c r="B6676" t="s">
        <v>38</v>
      </c>
      <c r="C6676" t="s">
        <v>24</v>
      </c>
      <c r="D6676">
        <v>3</v>
      </c>
    </row>
    <row r="6677" spans="1:4" ht="15.75" customHeight="1">
      <c r="A6677" t="s">
        <v>693</v>
      </c>
      <c r="B6677" t="s">
        <v>38</v>
      </c>
      <c r="C6677" t="s">
        <v>24</v>
      </c>
      <c r="D6677">
        <v>3</v>
      </c>
    </row>
    <row r="6678" spans="1:4" ht="15.75" customHeight="1">
      <c r="A6678" t="s">
        <v>3234</v>
      </c>
      <c r="B6678" t="s">
        <v>38</v>
      </c>
      <c r="C6678" t="s">
        <v>24</v>
      </c>
      <c r="D6678">
        <v>3</v>
      </c>
    </row>
    <row r="6679" spans="1:4" ht="15.75" customHeight="1">
      <c r="A6679" t="s">
        <v>1752</v>
      </c>
      <c r="B6679" t="s">
        <v>38</v>
      </c>
      <c r="C6679" t="s">
        <v>24</v>
      </c>
      <c r="D6679">
        <v>3</v>
      </c>
    </row>
    <row r="6680" spans="1:4" ht="15.75" customHeight="1">
      <c r="A6680" t="s">
        <v>533</v>
      </c>
      <c r="B6680" t="s">
        <v>38</v>
      </c>
      <c r="C6680" t="s">
        <v>24</v>
      </c>
      <c r="D6680">
        <v>3</v>
      </c>
    </row>
    <row r="6681" spans="1:4" ht="15.75" customHeight="1">
      <c r="A6681" t="s">
        <v>1787</v>
      </c>
      <c r="B6681" t="s">
        <v>38</v>
      </c>
      <c r="C6681" t="s">
        <v>24</v>
      </c>
      <c r="D6681">
        <v>3</v>
      </c>
    </row>
    <row r="6682" spans="1:4" ht="15.75" customHeight="1">
      <c r="A6682" t="s">
        <v>1332</v>
      </c>
      <c r="B6682" t="s">
        <v>38</v>
      </c>
      <c r="C6682" t="s">
        <v>24</v>
      </c>
      <c r="D6682">
        <v>3</v>
      </c>
    </row>
    <row r="6683" spans="1:4" ht="15.75" customHeight="1">
      <c r="A6683" t="s">
        <v>1304</v>
      </c>
      <c r="B6683" t="s">
        <v>38</v>
      </c>
      <c r="C6683" t="s">
        <v>24</v>
      </c>
      <c r="D6683">
        <v>3</v>
      </c>
    </row>
    <row r="6684" spans="1:4" ht="15.75" customHeight="1">
      <c r="A6684" t="s">
        <v>1451</v>
      </c>
      <c r="B6684" t="s">
        <v>38</v>
      </c>
      <c r="C6684" t="s">
        <v>24</v>
      </c>
      <c r="D6684">
        <v>3</v>
      </c>
    </row>
    <row r="6685" spans="1:4" ht="15.75" customHeight="1">
      <c r="A6685" t="s">
        <v>1258</v>
      </c>
      <c r="B6685" t="s">
        <v>38</v>
      </c>
      <c r="C6685" t="s">
        <v>24</v>
      </c>
      <c r="D6685">
        <v>3</v>
      </c>
    </row>
    <row r="6686" spans="1:4" ht="15.75" customHeight="1">
      <c r="A6686" t="s">
        <v>1395</v>
      </c>
      <c r="B6686" t="s">
        <v>38</v>
      </c>
      <c r="C6686" t="s">
        <v>24</v>
      </c>
      <c r="D6686">
        <v>3</v>
      </c>
    </row>
    <row r="6687" spans="1:4" ht="15.75" customHeight="1">
      <c r="A6687" t="s">
        <v>1766</v>
      </c>
      <c r="B6687" t="s">
        <v>38</v>
      </c>
      <c r="C6687" t="s">
        <v>24</v>
      </c>
      <c r="D6687">
        <v>3</v>
      </c>
    </row>
    <row r="6688" spans="1:4" ht="15.75" customHeight="1">
      <c r="A6688" t="s">
        <v>1363</v>
      </c>
      <c r="B6688" t="s">
        <v>38</v>
      </c>
      <c r="C6688" t="s">
        <v>24</v>
      </c>
      <c r="D6688">
        <v>3</v>
      </c>
    </row>
    <row r="6689" spans="1:4" ht="15.75" customHeight="1">
      <c r="A6689" t="s">
        <v>1444</v>
      </c>
      <c r="B6689" t="s">
        <v>38</v>
      </c>
      <c r="C6689" t="s">
        <v>24</v>
      </c>
      <c r="D6689">
        <v>3</v>
      </c>
    </row>
    <row r="6690" spans="1:4" ht="15.75" customHeight="1">
      <c r="A6690" t="s">
        <v>1402</v>
      </c>
      <c r="B6690" t="s">
        <v>38</v>
      </c>
      <c r="C6690" t="s">
        <v>24</v>
      </c>
      <c r="D6690">
        <v>3</v>
      </c>
    </row>
    <row r="6691" spans="1:4" ht="15.75" customHeight="1">
      <c r="A6691" t="s">
        <v>3701</v>
      </c>
      <c r="B6691" t="s">
        <v>38</v>
      </c>
      <c r="C6691" t="s">
        <v>24</v>
      </c>
      <c r="D6691">
        <v>3</v>
      </c>
    </row>
    <row r="6692" spans="1:4" ht="15.75" customHeight="1">
      <c r="A6692" t="s">
        <v>3310</v>
      </c>
      <c r="B6692" t="s">
        <v>38</v>
      </c>
      <c r="C6692" t="s">
        <v>24</v>
      </c>
      <c r="D6692">
        <v>3</v>
      </c>
    </row>
    <row r="6693" spans="1:4" ht="15.75" customHeight="1">
      <c r="A6693" t="s">
        <v>1316</v>
      </c>
      <c r="B6693" t="s">
        <v>38</v>
      </c>
      <c r="C6693" t="s">
        <v>24</v>
      </c>
      <c r="D6693">
        <v>3</v>
      </c>
    </row>
    <row r="6694" spans="1:4" ht="15.75" customHeight="1">
      <c r="A6694" t="s">
        <v>576</v>
      </c>
      <c r="B6694" t="s">
        <v>38</v>
      </c>
      <c r="C6694" t="s">
        <v>24</v>
      </c>
      <c r="D6694">
        <v>3</v>
      </c>
    </row>
    <row r="6695" spans="1:4" ht="15.75" customHeight="1">
      <c r="A6695" t="s">
        <v>1347</v>
      </c>
      <c r="B6695" t="s">
        <v>38</v>
      </c>
      <c r="C6695" t="s">
        <v>24</v>
      </c>
      <c r="D6695">
        <v>3</v>
      </c>
    </row>
    <row r="6696" spans="1:4" ht="15.75" customHeight="1">
      <c r="A6696" t="s">
        <v>2191</v>
      </c>
      <c r="B6696" t="s">
        <v>38</v>
      </c>
      <c r="C6696" t="s">
        <v>24</v>
      </c>
      <c r="D6696">
        <v>3</v>
      </c>
    </row>
    <row r="6697" spans="1:4" ht="15.75" customHeight="1">
      <c r="A6697" t="s">
        <v>2247</v>
      </c>
      <c r="B6697" t="s">
        <v>38</v>
      </c>
      <c r="C6697" t="s">
        <v>24</v>
      </c>
      <c r="D6697">
        <v>3</v>
      </c>
    </row>
    <row r="6698" spans="1:4" ht="15.75" customHeight="1">
      <c r="A6698" t="s">
        <v>2181</v>
      </c>
      <c r="B6698" t="s">
        <v>38</v>
      </c>
      <c r="C6698" t="s">
        <v>24</v>
      </c>
      <c r="D6698">
        <v>2</v>
      </c>
    </row>
    <row r="6699" spans="1:4" ht="15.75" customHeight="1">
      <c r="A6699" t="s">
        <v>1728</v>
      </c>
      <c r="B6699" t="s">
        <v>38</v>
      </c>
      <c r="C6699" t="s">
        <v>24</v>
      </c>
      <c r="D6699">
        <v>2</v>
      </c>
    </row>
    <row r="6700" spans="1:4" ht="15.75" customHeight="1">
      <c r="A6700" t="s">
        <v>1241</v>
      </c>
      <c r="B6700" t="s">
        <v>38</v>
      </c>
      <c r="C6700" t="s">
        <v>24</v>
      </c>
      <c r="D6700">
        <v>2</v>
      </c>
    </row>
    <row r="6701" spans="1:4" ht="15.75" customHeight="1">
      <c r="A6701" t="s">
        <v>1244</v>
      </c>
      <c r="B6701" t="s">
        <v>38</v>
      </c>
      <c r="C6701" t="s">
        <v>24</v>
      </c>
      <c r="D6701">
        <v>2</v>
      </c>
    </row>
    <row r="6702" spans="1:4" ht="15.75" customHeight="1">
      <c r="A6702" t="s">
        <v>3279</v>
      </c>
      <c r="B6702" t="s">
        <v>38</v>
      </c>
      <c r="C6702" t="s">
        <v>24</v>
      </c>
      <c r="D6702">
        <v>2</v>
      </c>
    </row>
    <row r="6703" spans="1:4" ht="15.75" customHeight="1">
      <c r="A6703" t="s">
        <v>1386</v>
      </c>
      <c r="B6703" t="s">
        <v>38</v>
      </c>
      <c r="C6703" t="s">
        <v>24</v>
      </c>
      <c r="D6703">
        <v>2</v>
      </c>
    </row>
    <row r="6704" spans="1:4" ht="15.75" customHeight="1">
      <c r="A6704" t="s">
        <v>1430</v>
      </c>
      <c r="B6704" t="s">
        <v>38</v>
      </c>
      <c r="C6704" t="s">
        <v>24</v>
      </c>
      <c r="D6704">
        <v>2</v>
      </c>
    </row>
    <row r="6705" spans="1:4" ht="15.75" customHeight="1">
      <c r="A6705" t="s">
        <v>1389</v>
      </c>
      <c r="B6705" t="s">
        <v>38</v>
      </c>
      <c r="C6705" t="s">
        <v>24</v>
      </c>
      <c r="D6705">
        <v>2</v>
      </c>
    </row>
    <row r="6706" spans="1:4" ht="15.75" customHeight="1">
      <c r="A6706" t="s">
        <v>2193</v>
      </c>
      <c r="B6706" t="s">
        <v>38</v>
      </c>
      <c r="C6706" t="s">
        <v>24</v>
      </c>
      <c r="D6706">
        <v>2</v>
      </c>
    </row>
    <row r="6707" spans="1:4" ht="15.75" customHeight="1">
      <c r="A6707" t="s">
        <v>1730</v>
      </c>
      <c r="B6707" t="s">
        <v>38</v>
      </c>
      <c r="C6707" t="s">
        <v>24</v>
      </c>
      <c r="D6707">
        <v>2</v>
      </c>
    </row>
    <row r="6708" spans="1:4" ht="15.75" customHeight="1">
      <c r="A6708" t="s">
        <v>2267</v>
      </c>
      <c r="B6708" t="s">
        <v>38</v>
      </c>
      <c r="C6708" t="s">
        <v>24</v>
      </c>
      <c r="D6708">
        <v>2</v>
      </c>
    </row>
    <row r="6709" spans="1:4" ht="15.75" customHeight="1">
      <c r="A6709" t="s">
        <v>1732</v>
      </c>
      <c r="B6709" t="s">
        <v>38</v>
      </c>
      <c r="C6709" t="s">
        <v>24</v>
      </c>
      <c r="D6709">
        <v>2</v>
      </c>
    </row>
    <row r="6710" spans="1:4" ht="15.75" customHeight="1">
      <c r="A6710" t="s">
        <v>3703</v>
      </c>
      <c r="B6710" t="s">
        <v>38</v>
      </c>
      <c r="C6710" t="s">
        <v>24</v>
      </c>
      <c r="D6710">
        <v>2</v>
      </c>
    </row>
    <row r="6711" spans="1:4" ht="15.75" customHeight="1">
      <c r="A6711" t="s">
        <v>1272</v>
      </c>
      <c r="B6711" t="s">
        <v>38</v>
      </c>
      <c r="C6711" t="s">
        <v>24</v>
      </c>
      <c r="D6711">
        <v>2</v>
      </c>
    </row>
    <row r="6712" spans="1:4" ht="15.75" customHeight="1">
      <c r="A6712" t="s">
        <v>2750</v>
      </c>
      <c r="B6712" t="s">
        <v>38</v>
      </c>
      <c r="C6712" t="s">
        <v>24</v>
      </c>
      <c r="D6712">
        <v>2</v>
      </c>
    </row>
    <row r="6713" spans="1:4" ht="15.75" customHeight="1">
      <c r="A6713" t="s">
        <v>1708</v>
      </c>
      <c r="B6713" t="s">
        <v>38</v>
      </c>
      <c r="C6713" t="s">
        <v>24</v>
      </c>
      <c r="D6713">
        <v>2</v>
      </c>
    </row>
    <row r="6714" spans="1:4" ht="15.75" customHeight="1">
      <c r="A6714" t="s">
        <v>3603</v>
      </c>
      <c r="B6714" t="s">
        <v>38</v>
      </c>
      <c r="C6714" t="s">
        <v>24</v>
      </c>
      <c r="D6714">
        <v>2</v>
      </c>
    </row>
    <row r="6715" spans="1:4" ht="15.75" customHeight="1">
      <c r="A6715" t="s">
        <v>1736</v>
      </c>
      <c r="B6715" t="s">
        <v>38</v>
      </c>
      <c r="C6715" t="s">
        <v>24</v>
      </c>
      <c r="D6715">
        <v>2</v>
      </c>
    </row>
    <row r="6716" spans="1:4" ht="15.75" customHeight="1">
      <c r="A6716" t="s">
        <v>2762</v>
      </c>
      <c r="B6716" t="s">
        <v>38</v>
      </c>
      <c r="C6716" t="s">
        <v>24</v>
      </c>
      <c r="D6716">
        <v>2</v>
      </c>
    </row>
    <row r="6717" spans="1:4" ht="15.75" customHeight="1">
      <c r="A6717" t="s">
        <v>1404</v>
      </c>
      <c r="B6717" t="s">
        <v>38</v>
      </c>
      <c r="C6717" t="s">
        <v>24</v>
      </c>
      <c r="D6717">
        <v>2</v>
      </c>
    </row>
    <row r="6718" spans="1:4" ht="15.75" customHeight="1">
      <c r="A6718" t="s">
        <v>1740</v>
      </c>
      <c r="B6718" t="s">
        <v>38</v>
      </c>
      <c r="C6718" t="s">
        <v>24</v>
      </c>
      <c r="D6718">
        <v>2</v>
      </c>
    </row>
    <row r="6719" spans="1:4" ht="15.75" customHeight="1">
      <c r="A6719" t="s">
        <v>3244</v>
      </c>
      <c r="B6719" t="s">
        <v>38</v>
      </c>
      <c r="C6719" t="s">
        <v>24</v>
      </c>
      <c r="D6719">
        <v>2</v>
      </c>
    </row>
    <row r="6720" spans="1:4" ht="15.75" customHeight="1">
      <c r="A6720" t="s">
        <v>2128</v>
      </c>
      <c r="B6720" t="s">
        <v>38</v>
      </c>
      <c r="C6720" t="s">
        <v>24</v>
      </c>
      <c r="D6720">
        <v>2</v>
      </c>
    </row>
    <row r="6721" spans="1:4" ht="15.75" customHeight="1">
      <c r="A6721" t="s">
        <v>3686</v>
      </c>
      <c r="B6721" t="s">
        <v>38</v>
      </c>
      <c r="C6721" t="s">
        <v>24</v>
      </c>
      <c r="D6721">
        <v>2</v>
      </c>
    </row>
    <row r="6722" spans="1:4" ht="15.75" customHeight="1">
      <c r="A6722" t="s">
        <v>483</v>
      </c>
      <c r="B6722" t="s">
        <v>38</v>
      </c>
      <c r="C6722" t="s">
        <v>24</v>
      </c>
      <c r="D6722">
        <v>2</v>
      </c>
    </row>
    <row r="6723" spans="1:4" ht="15.75" customHeight="1">
      <c r="A6723" t="s">
        <v>3652</v>
      </c>
      <c r="B6723" t="s">
        <v>38</v>
      </c>
      <c r="C6723" t="s">
        <v>24</v>
      </c>
      <c r="D6723">
        <v>2</v>
      </c>
    </row>
    <row r="6724" spans="1:4" ht="15.75" customHeight="1">
      <c r="A6724" t="s">
        <v>678</v>
      </c>
      <c r="B6724" t="s">
        <v>38</v>
      </c>
      <c r="C6724" t="s">
        <v>24</v>
      </c>
      <c r="D6724">
        <v>2</v>
      </c>
    </row>
    <row r="6725" spans="1:4" ht="15.75" customHeight="1">
      <c r="A6725" t="s">
        <v>2737</v>
      </c>
      <c r="B6725" t="s">
        <v>38</v>
      </c>
      <c r="C6725" t="s">
        <v>24</v>
      </c>
      <c r="D6725">
        <v>2</v>
      </c>
    </row>
    <row r="6726" spans="1:4" ht="15.75" customHeight="1">
      <c r="A6726" t="s">
        <v>579</v>
      </c>
      <c r="B6726" t="s">
        <v>38</v>
      </c>
      <c r="C6726" t="s">
        <v>24</v>
      </c>
      <c r="D6726">
        <v>2</v>
      </c>
    </row>
    <row r="6727" spans="1:4" ht="15.75" customHeight="1">
      <c r="A6727" t="s">
        <v>2219</v>
      </c>
      <c r="B6727" t="s">
        <v>38</v>
      </c>
      <c r="C6727" t="s">
        <v>24</v>
      </c>
      <c r="D6727">
        <v>2</v>
      </c>
    </row>
    <row r="6728" spans="1:4" ht="15.75" customHeight="1">
      <c r="A6728" t="s">
        <v>4394</v>
      </c>
      <c r="B6728" t="s">
        <v>38</v>
      </c>
      <c r="C6728" t="s">
        <v>24</v>
      </c>
      <c r="D6728">
        <v>2</v>
      </c>
    </row>
    <row r="6729" spans="1:4" ht="15.75" customHeight="1">
      <c r="A6729" t="s">
        <v>2773</v>
      </c>
      <c r="B6729" t="s">
        <v>38</v>
      </c>
      <c r="C6729" t="s">
        <v>24</v>
      </c>
      <c r="D6729">
        <v>2</v>
      </c>
    </row>
    <row r="6730" spans="1:4" ht="15.75" customHeight="1">
      <c r="A6730" t="s">
        <v>1748</v>
      </c>
      <c r="B6730" t="s">
        <v>38</v>
      </c>
      <c r="C6730" t="s">
        <v>24</v>
      </c>
      <c r="D6730">
        <v>2</v>
      </c>
    </row>
    <row r="6731" spans="1:4" ht="15.75" customHeight="1">
      <c r="A6731" t="s">
        <v>3221</v>
      </c>
      <c r="B6731" t="s">
        <v>38</v>
      </c>
      <c r="C6731" t="s">
        <v>24</v>
      </c>
      <c r="D6731">
        <v>2</v>
      </c>
    </row>
    <row r="6732" spans="1:4" ht="15.75" customHeight="1">
      <c r="A6732" t="s">
        <v>3209</v>
      </c>
      <c r="B6732" t="s">
        <v>38</v>
      </c>
      <c r="C6732" t="s">
        <v>24</v>
      </c>
      <c r="D6732">
        <v>2</v>
      </c>
    </row>
    <row r="6733" spans="1:4" ht="15.75" customHeight="1">
      <c r="A6733" t="s">
        <v>702</v>
      </c>
      <c r="B6733" t="s">
        <v>38</v>
      </c>
      <c r="C6733" t="s">
        <v>24</v>
      </c>
      <c r="D6733">
        <v>2</v>
      </c>
    </row>
    <row r="6734" spans="1:4" ht="15.75" customHeight="1">
      <c r="A6734" t="s">
        <v>597</v>
      </c>
      <c r="B6734" t="s">
        <v>38</v>
      </c>
      <c r="C6734" t="s">
        <v>24</v>
      </c>
      <c r="D6734">
        <v>2</v>
      </c>
    </row>
    <row r="6735" spans="1:4" ht="15.75" customHeight="1">
      <c r="A6735" t="s">
        <v>4065</v>
      </c>
      <c r="B6735" t="s">
        <v>38</v>
      </c>
      <c r="C6735" t="s">
        <v>24</v>
      </c>
      <c r="D6735">
        <v>2</v>
      </c>
    </row>
    <row r="6736" spans="1:4" ht="15.75" customHeight="1">
      <c r="A6736" t="s">
        <v>2847</v>
      </c>
      <c r="B6736" t="s">
        <v>38</v>
      </c>
      <c r="C6736" t="s">
        <v>24</v>
      </c>
      <c r="D6736">
        <v>2</v>
      </c>
    </row>
    <row r="6737" spans="1:4" ht="15.75" customHeight="1">
      <c r="A6737" t="s">
        <v>3611</v>
      </c>
      <c r="B6737" t="s">
        <v>38</v>
      </c>
      <c r="C6737" t="s">
        <v>24</v>
      </c>
      <c r="D6737">
        <v>2</v>
      </c>
    </row>
    <row r="6738" spans="1:4" ht="15.75" customHeight="1">
      <c r="A6738" t="s">
        <v>1700</v>
      </c>
      <c r="B6738" t="s">
        <v>38</v>
      </c>
      <c r="C6738" t="s">
        <v>24</v>
      </c>
      <c r="D6738">
        <v>2</v>
      </c>
    </row>
    <row r="6739" spans="1:4" ht="15.75" customHeight="1">
      <c r="A6739" t="s">
        <v>4408</v>
      </c>
      <c r="B6739" t="s">
        <v>38</v>
      </c>
      <c r="C6739" t="s">
        <v>24</v>
      </c>
      <c r="D6739">
        <v>2</v>
      </c>
    </row>
    <row r="6740" spans="1:4" ht="15.75" customHeight="1">
      <c r="A6740" t="s">
        <v>2186</v>
      </c>
      <c r="B6740" t="s">
        <v>38</v>
      </c>
      <c r="C6740" t="s">
        <v>24</v>
      </c>
      <c r="D6740">
        <v>2</v>
      </c>
    </row>
    <row r="6741" spans="1:4" ht="15.75" customHeight="1">
      <c r="A6741" t="s">
        <v>3136</v>
      </c>
      <c r="B6741" t="s">
        <v>38</v>
      </c>
      <c r="C6741" t="s">
        <v>24</v>
      </c>
      <c r="D6741">
        <v>2</v>
      </c>
    </row>
    <row r="6742" spans="1:4" ht="15.75" customHeight="1">
      <c r="A6742" t="s">
        <v>3171</v>
      </c>
      <c r="B6742" t="s">
        <v>38</v>
      </c>
      <c r="C6742" t="s">
        <v>24</v>
      </c>
      <c r="D6742">
        <v>2</v>
      </c>
    </row>
    <row r="6743" spans="1:4" ht="15.75" customHeight="1">
      <c r="A6743" t="s">
        <v>2276</v>
      </c>
      <c r="B6743" t="s">
        <v>38</v>
      </c>
      <c r="C6743" t="s">
        <v>24</v>
      </c>
      <c r="D6743">
        <v>2</v>
      </c>
    </row>
    <row r="6744" spans="1:4" ht="15.75" customHeight="1">
      <c r="A6744" t="s">
        <v>1383</v>
      </c>
      <c r="B6744" t="s">
        <v>38</v>
      </c>
      <c r="C6744" t="s">
        <v>24</v>
      </c>
      <c r="D6744">
        <v>2</v>
      </c>
    </row>
    <row r="6745" spans="1:4" ht="15.75" customHeight="1">
      <c r="A6745" t="s">
        <v>1351</v>
      </c>
      <c r="B6745" t="s">
        <v>38</v>
      </c>
      <c r="C6745" t="s">
        <v>24</v>
      </c>
      <c r="D6745">
        <v>2</v>
      </c>
    </row>
    <row r="6746" spans="1:4" ht="15.75" customHeight="1">
      <c r="A6746" t="s">
        <v>3722</v>
      </c>
      <c r="B6746" t="s">
        <v>38</v>
      </c>
      <c r="C6746" t="s">
        <v>24</v>
      </c>
      <c r="D6746">
        <v>2</v>
      </c>
    </row>
    <row r="6747" spans="1:4" ht="15.75" customHeight="1">
      <c r="A6747" t="s">
        <v>2730</v>
      </c>
      <c r="B6747" t="s">
        <v>38</v>
      </c>
      <c r="C6747" t="s">
        <v>24</v>
      </c>
      <c r="D6747">
        <v>2</v>
      </c>
    </row>
    <row r="6748" spans="1:4" ht="15.75" customHeight="1">
      <c r="A6748" t="s">
        <v>3236</v>
      </c>
      <c r="B6748" t="s">
        <v>38</v>
      </c>
      <c r="C6748" t="s">
        <v>24</v>
      </c>
      <c r="D6748">
        <v>2</v>
      </c>
    </row>
    <row r="6749" spans="1:4" ht="15.75" customHeight="1">
      <c r="A6749" t="s">
        <v>1754</v>
      </c>
      <c r="B6749" t="s">
        <v>38</v>
      </c>
      <c r="C6749" t="s">
        <v>24</v>
      </c>
      <c r="D6749">
        <v>2</v>
      </c>
    </row>
    <row r="6750" spans="1:4" ht="15.75" customHeight="1">
      <c r="A6750" t="s">
        <v>2204</v>
      </c>
      <c r="B6750" t="s">
        <v>38</v>
      </c>
      <c r="C6750" t="s">
        <v>24</v>
      </c>
      <c r="D6750">
        <v>2</v>
      </c>
    </row>
    <row r="6751" spans="1:4" ht="15.75" customHeight="1">
      <c r="A6751" t="s">
        <v>2206</v>
      </c>
      <c r="B6751" t="s">
        <v>38</v>
      </c>
      <c r="C6751" t="s">
        <v>24</v>
      </c>
      <c r="D6751">
        <v>2</v>
      </c>
    </row>
    <row r="6752" spans="1:4" ht="15.75" customHeight="1">
      <c r="A6752" t="s">
        <v>697</v>
      </c>
      <c r="B6752" t="s">
        <v>38</v>
      </c>
      <c r="C6752" t="s">
        <v>24</v>
      </c>
      <c r="D6752">
        <v>2</v>
      </c>
    </row>
    <row r="6753" spans="1:4" ht="15.75" customHeight="1">
      <c r="A6753" t="s">
        <v>2710</v>
      </c>
      <c r="B6753" t="s">
        <v>38</v>
      </c>
      <c r="C6753" t="s">
        <v>24</v>
      </c>
      <c r="D6753">
        <v>2</v>
      </c>
    </row>
    <row r="6754" spans="1:4" ht="15.75" customHeight="1">
      <c r="A6754" t="s">
        <v>2781</v>
      </c>
      <c r="B6754" t="s">
        <v>38</v>
      </c>
      <c r="C6754" t="s">
        <v>24</v>
      </c>
      <c r="D6754">
        <v>2</v>
      </c>
    </row>
    <row r="6755" spans="1:4" ht="15.75" customHeight="1">
      <c r="A6755" t="s">
        <v>573</v>
      </c>
      <c r="B6755" t="s">
        <v>38</v>
      </c>
      <c r="C6755" t="s">
        <v>24</v>
      </c>
      <c r="D6755">
        <v>2</v>
      </c>
    </row>
    <row r="6756" spans="1:4" ht="15.75" customHeight="1">
      <c r="A6756" t="s">
        <v>1357</v>
      </c>
      <c r="B6756" t="s">
        <v>38</v>
      </c>
      <c r="C6756" t="s">
        <v>24</v>
      </c>
      <c r="D6756">
        <v>2</v>
      </c>
    </row>
    <row r="6757" spans="1:4" ht="15.75" customHeight="1">
      <c r="A6757" t="s">
        <v>536</v>
      </c>
      <c r="B6757" t="s">
        <v>38</v>
      </c>
      <c r="C6757" t="s">
        <v>24</v>
      </c>
      <c r="D6757">
        <v>2</v>
      </c>
    </row>
    <row r="6758" spans="1:4" ht="15.75" customHeight="1">
      <c r="A6758" t="s">
        <v>2095</v>
      </c>
      <c r="B6758" t="s">
        <v>38</v>
      </c>
      <c r="C6758" t="s">
        <v>24</v>
      </c>
      <c r="D6758">
        <v>2</v>
      </c>
    </row>
    <row r="6759" spans="1:4" ht="15.75" customHeight="1">
      <c r="A6759" t="s">
        <v>1791</v>
      </c>
      <c r="B6759" t="s">
        <v>38</v>
      </c>
      <c r="C6759" t="s">
        <v>24</v>
      </c>
      <c r="D6759">
        <v>2</v>
      </c>
    </row>
    <row r="6760" spans="1:4" ht="15.75" customHeight="1">
      <c r="A6760" t="s">
        <v>1345</v>
      </c>
      <c r="B6760" t="s">
        <v>38</v>
      </c>
      <c r="C6760" t="s">
        <v>24</v>
      </c>
      <c r="D6760">
        <v>2</v>
      </c>
    </row>
    <row r="6761" spans="1:4" ht="15.75" customHeight="1">
      <c r="A6761" t="s">
        <v>559</v>
      </c>
      <c r="B6761" t="s">
        <v>38</v>
      </c>
      <c r="C6761" t="s">
        <v>24</v>
      </c>
      <c r="D6761">
        <v>2</v>
      </c>
    </row>
    <row r="6762" spans="1:4" ht="15.75" customHeight="1">
      <c r="A6762" t="s">
        <v>2278</v>
      </c>
      <c r="B6762" t="s">
        <v>38</v>
      </c>
      <c r="C6762" t="s">
        <v>24</v>
      </c>
      <c r="D6762">
        <v>2</v>
      </c>
    </row>
    <row r="6763" spans="1:4" ht="15.75" customHeight="1">
      <c r="A6763" t="s">
        <v>1391</v>
      </c>
      <c r="B6763" t="s">
        <v>38</v>
      </c>
      <c r="C6763" t="s">
        <v>24</v>
      </c>
      <c r="D6763">
        <v>2</v>
      </c>
    </row>
    <row r="6764" spans="1:4" ht="15.75" customHeight="1">
      <c r="A6764" t="s">
        <v>4081</v>
      </c>
      <c r="B6764" t="s">
        <v>38</v>
      </c>
      <c r="C6764" t="s">
        <v>24</v>
      </c>
      <c r="D6764">
        <v>2</v>
      </c>
    </row>
    <row r="6765" spans="1:4" ht="15.75" customHeight="1">
      <c r="A6765" t="s">
        <v>2225</v>
      </c>
      <c r="B6765" t="s">
        <v>38</v>
      </c>
      <c r="C6765" t="s">
        <v>24</v>
      </c>
      <c r="D6765">
        <v>2</v>
      </c>
    </row>
    <row r="6766" spans="1:4" ht="15.75" customHeight="1">
      <c r="A6766" t="s">
        <v>672</v>
      </c>
      <c r="B6766" t="s">
        <v>38</v>
      </c>
      <c r="C6766" t="s">
        <v>24</v>
      </c>
      <c r="D6766">
        <v>2</v>
      </c>
    </row>
    <row r="6767" spans="1:4" ht="15.75" customHeight="1">
      <c r="A6767" t="s">
        <v>451</v>
      </c>
      <c r="B6767" t="s">
        <v>38</v>
      </c>
      <c r="C6767" t="s">
        <v>24</v>
      </c>
      <c r="D6767">
        <v>2</v>
      </c>
    </row>
    <row r="6768" spans="1:4" ht="15.75" customHeight="1">
      <c r="A6768" t="s">
        <v>2261</v>
      </c>
      <c r="B6768" t="s">
        <v>38</v>
      </c>
      <c r="C6768" t="s">
        <v>24</v>
      </c>
      <c r="D6768">
        <v>2</v>
      </c>
    </row>
    <row r="6769" spans="1:4" ht="15.75" customHeight="1">
      <c r="A6769" t="s">
        <v>658</v>
      </c>
      <c r="B6769" t="s">
        <v>38</v>
      </c>
      <c r="C6769" t="s">
        <v>24</v>
      </c>
      <c r="D6769">
        <v>2</v>
      </c>
    </row>
    <row r="6770" spans="1:4" ht="15.75" customHeight="1">
      <c r="A6770" t="s">
        <v>570</v>
      </c>
      <c r="B6770" t="s">
        <v>38</v>
      </c>
      <c r="C6770" t="s">
        <v>24</v>
      </c>
      <c r="D6770">
        <v>2</v>
      </c>
    </row>
    <row r="6771" spans="1:4" ht="15.75" customHeight="1">
      <c r="A6771" t="s">
        <v>2229</v>
      </c>
      <c r="B6771" t="s">
        <v>38</v>
      </c>
      <c r="C6771" t="s">
        <v>24</v>
      </c>
      <c r="D6771">
        <v>2</v>
      </c>
    </row>
    <row r="6772" spans="1:4" ht="15.75" customHeight="1">
      <c r="A6772" t="s">
        <v>2110</v>
      </c>
      <c r="B6772" t="s">
        <v>38</v>
      </c>
      <c r="C6772" t="s">
        <v>24</v>
      </c>
      <c r="D6772">
        <v>2</v>
      </c>
    </row>
    <row r="6773" spans="1:4" ht="15.75" customHeight="1">
      <c r="A6773" t="s">
        <v>621</v>
      </c>
      <c r="B6773" t="s">
        <v>38</v>
      </c>
      <c r="C6773" t="s">
        <v>24</v>
      </c>
      <c r="D6773">
        <v>2</v>
      </c>
    </row>
    <row r="6774" spans="1:4" ht="15.75" customHeight="1">
      <c r="A6774" t="s">
        <v>1716</v>
      </c>
      <c r="B6774" t="s">
        <v>38</v>
      </c>
      <c r="C6774" t="s">
        <v>24</v>
      </c>
      <c r="D6774">
        <v>2</v>
      </c>
    </row>
    <row r="6775" spans="1:4" ht="15.75" customHeight="1">
      <c r="A6775" t="s">
        <v>4132</v>
      </c>
      <c r="B6775" t="s">
        <v>38</v>
      </c>
      <c r="C6775" t="s">
        <v>24</v>
      </c>
      <c r="D6775">
        <v>2</v>
      </c>
    </row>
    <row r="6776" spans="1:4" ht="15.75" customHeight="1">
      <c r="A6776" t="s">
        <v>585</v>
      </c>
      <c r="B6776" t="s">
        <v>38</v>
      </c>
      <c r="C6776" t="s">
        <v>24</v>
      </c>
      <c r="D6776">
        <v>2</v>
      </c>
    </row>
    <row r="6777" spans="1:4" ht="15.75" customHeight="1">
      <c r="A6777" t="s">
        <v>448</v>
      </c>
      <c r="B6777" t="s">
        <v>38</v>
      </c>
      <c r="C6777" t="s">
        <v>24</v>
      </c>
      <c r="D6777">
        <v>2</v>
      </c>
    </row>
    <row r="6778" spans="1:4" ht="15.75" customHeight="1">
      <c r="A6778" t="s">
        <v>1795</v>
      </c>
      <c r="B6778" t="s">
        <v>38</v>
      </c>
      <c r="C6778" t="s">
        <v>24</v>
      </c>
      <c r="D6778">
        <v>2</v>
      </c>
    </row>
    <row r="6779" spans="1:4" ht="15.75" customHeight="1">
      <c r="A6779" t="s">
        <v>1393</v>
      </c>
      <c r="B6779" t="s">
        <v>38</v>
      </c>
      <c r="C6779" t="s">
        <v>24</v>
      </c>
      <c r="D6779">
        <v>2</v>
      </c>
    </row>
    <row r="6780" spans="1:4" ht="15.75" customHeight="1">
      <c r="A6780" t="s">
        <v>439</v>
      </c>
      <c r="B6780" t="s">
        <v>38</v>
      </c>
      <c r="C6780" t="s">
        <v>24</v>
      </c>
      <c r="D6780">
        <v>2</v>
      </c>
    </row>
    <row r="6781" spans="1:4" ht="15.75" customHeight="1">
      <c r="A6781" t="s">
        <v>436</v>
      </c>
      <c r="B6781" t="s">
        <v>38</v>
      </c>
      <c r="C6781" t="s">
        <v>24</v>
      </c>
      <c r="D6781">
        <v>2</v>
      </c>
    </row>
    <row r="6782" spans="1:4" ht="15.75" customHeight="1">
      <c r="A6782" t="s">
        <v>3668</v>
      </c>
      <c r="B6782" t="s">
        <v>38</v>
      </c>
      <c r="C6782" t="s">
        <v>24</v>
      </c>
      <c r="D6782">
        <v>2</v>
      </c>
    </row>
    <row r="6783" spans="1:4" ht="15.75" customHeight="1">
      <c r="A6783" t="s">
        <v>3162</v>
      </c>
      <c r="B6783" t="s">
        <v>38</v>
      </c>
      <c r="C6783" t="s">
        <v>24</v>
      </c>
      <c r="D6783">
        <v>2</v>
      </c>
    </row>
    <row r="6784" spans="1:4" ht="15.75" customHeight="1">
      <c r="A6784" t="s">
        <v>2172</v>
      </c>
      <c r="B6784" t="s">
        <v>38</v>
      </c>
      <c r="C6784" t="s">
        <v>24</v>
      </c>
      <c r="D6784">
        <v>2</v>
      </c>
    </row>
    <row r="6785" spans="1:4" ht="15.75" customHeight="1">
      <c r="A6785" t="s">
        <v>2707</v>
      </c>
      <c r="B6785" t="s">
        <v>38</v>
      </c>
      <c r="C6785" t="s">
        <v>24</v>
      </c>
      <c r="D6785">
        <v>2</v>
      </c>
    </row>
    <row r="6786" spans="1:4" ht="15.75" customHeight="1">
      <c r="A6786" t="s">
        <v>4111</v>
      </c>
      <c r="B6786" t="s">
        <v>38</v>
      </c>
      <c r="C6786" t="s">
        <v>24</v>
      </c>
      <c r="D6786">
        <v>2</v>
      </c>
    </row>
    <row r="6787" spans="1:4" ht="15.75" customHeight="1">
      <c r="A6787" t="s">
        <v>3252</v>
      </c>
      <c r="B6787" t="s">
        <v>38</v>
      </c>
      <c r="C6787" t="s">
        <v>24</v>
      </c>
      <c r="D6787">
        <v>2</v>
      </c>
    </row>
    <row r="6788" spans="1:4" ht="15.75" customHeight="1">
      <c r="A6788" t="s">
        <v>1421</v>
      </c>
      <c r="B6788" t="s">
        <v>38</v>
      </c>
      <c r="C6788" t="s">
        <v>24</v>
      </c>
      <c r="D6788">
        <v>2</v>
      </c>
    </row>
    <row r="6789" spans="1:4" ht="15.75" customHeight="1">
      <c r="A6789" t="s">
        <v>2832</v>
      </c>
      <c r="B6789" t="s">
        <v>38</v>
      </c>
      <c r="C6789" t="s">
        <v>24</v>
      </c>
      <c r="D6789">
        <v>2</v>
      </c>
    </row>
    <row r="6790" spans="1:4" ht="15.75" customHeight="1">
      <c r="A6790" t="s">
        <v>4099</v>
      </c>
      <c r="B6790" t="s">
        <v>38</v>
      </c>
      <c r="C6790" t="s">
        <v>24</v>
      </c>
      <c r="D6790">
        <v>2</v>
      </c>
    </row>
    <row r="6791" spans="1:4" ht="15.75" customHeight="1">
      <c r="A6791" t="s">
        <v>3148</v>
      </c>
      <c r="B6791" t="s">
        <v>38</v>
      </c>
      <c r="C6791" t="s">
        <v>24</v>
      </c>
      <c r="D6791">
        <v>2</v>
      </c>
    </row>
    <row r="6792" spans="1:4" ht="15.75" customHeight="1">
      <c r="A6792" t="s">
        <v>1416</v>
      </c>
      <c r="B6792" t="s">
        <v>38</v>
      </c>
      <c r="C6792" t="s">
        <v>24</v>
      </c>
      <c r="D6792">
        <v>2</v>
      </c>
    </row>
    <row r="6793" spans="1:4" ht="15.75" customHeight="1">
      <c r="A6793" t="s">
        <v>3152</v>
      </c>
      <c r="B6793" t="s">
        <v>38</v>
      </c>
      <c r="C6793" t="s">
        <v>24</v>
      </c>
      <c r="D6793">
        <v>2</v>
      </c>
    </row>
    <row r="6794" spans="1:4" ht="15.75" customHeight="1">
      <c r="A6794" t="s">
        <v>1328</v>
      </c>
      <c r="B6794" t="s">
        <v>38</v>
      </c>
      <c r="C6794" t="s">
        <v>24</v>
      </c>
      <c r="D6794">
        <v>2</v>
      </c>
    </row>
    <row r="6795" spans="1:4" ht="15.75" customHeight="1">
      <c r="A6795" t="s">
        <v>1349</v>
      </c>
      <c r="B6795" t="s">
        <v>38</v>
      </c>
      <c r="C6795" t="s">
        <v>24</v>
      </c>
      <c r="D6795">
        <v>2</v>
      </c>
    </row>
    <row r="6796" spans="1:4" ht="15.75" customHeight="1">
      <c r="A6796" t="s">
        <v>1725</v>
      </c>
      <c r="B6796" t="s">
        <v>38</v>
      </c>
      <c r="C6796" t="s">
        <v>24</v>
      </c>
      <c r="D6796">
        <v>2</v>
      </c>
    </row>
    <row r="6797" spans="1:4" ht="15.75" customHeight="1">
      <c r="A6797" t="s">
        <v>539</v>
      </c>
      <c r="B6797" t="s">
        <v>38</v>
      </c>
      <c r="C6797" t="s">
        <v>24</v>
      </c>
      <c r="D6797">
        <v>2</v>
      </c>
    </row>
    <row r="6798" spans="1:4" ht="15.75" customHeight="1">
      <c r="A6798" t="s">
        <v>1295</v>
      </c>
      <c r="B6798" t="s">
        <v>38</v>
      </c>
      <c r="C6798" t="s">
        <v>24</v>
      </c>
      <c r="D6798">
        <v>2</v>
      </c>
    </row>
    <row r="6799" spans="1:4" ht="15.75" customHeight="1">
      <c r="A6799" t="s">
        <v>2143</v>
      </c>
      <c r="B6799" t="s">
        <v>38</v>
      </c>
      <c r="C6799" t="s">
        <v>24</v>
      </c>
      <c r="D6799">
        <v>1</v>
      </c>
    </row>
    <row r="6800" spans="1:4" ht="15.75" customHeight="1">
      <c r="A6800" t="s">
        <v>2145</v>
      </c>
      <c r="B6800" t="s">
        <v>38</v>
      </c>
      <c r="C6800" t="s">
        <v>24</v>
      </c>
      <c r="D6800">
        <v>1</v>
      </c>
    </row>
    <row r="6801" spans="1:4" ht="15.75" customHeight="1">
      <c r="A6801" t="s">
        <v>1281</v>
      </c>
      <c r="B6801" t="s">
        <v>38</v>
      </c>
      <c r="C6801" t="s">
        <v>24</v>
      </c>
      <c r="D6801">
        <v>1</v>
      </c>
    </row>
    <row r="6802" spans="1:4" ht="15.75" customHeight="1">
      <c r="A6802" t="s">
        <v>4097</v>
      </c>
      <c r="B6802" t="s">
        <v>38</v>
      </c>
      <c r="C6802" t="s">
        <v>24</v>
      </c>
      <c r="D6802">
        <v>1</v>
      </c>
    </row>
    <row r="6803" spans="1:4" ht="15.75" customHeight="1">
      <c r="A6803" t="s">
        <v>4770</v>
      </c>
      <c r="B6803" t="s">
        <v>38</v>
      </c>
      <c r="C6803" t="s">
        <v>24</v>
      </c>
      <c r="D6803">
        <v>1</v>
      </c>
    </row>
    <row r="6804" spans="1:4" ht="15.75" customHeight="1">
      <c r="A6804" t="s">
        <v>2147</v>
      </c>
      <c r="B6804" t="s">
        <v>38</v>
      </c>
      <c r="C6804" t="s">
        <v>24</v>
      </c>
      <c r="D6804">
        <v>1</v>
      </c>
    </row>
    <row r="6805" spans="1:4" ht="15.75" customHeight="1">
      <c r="A6805" t="s">
        <v>3277</v>
      </c>
      <c r="B6805" t="s">
        <v>38</v>
      </c>
      <c r="C6805" t="s">
        <v>24</v>
      </c>
      <c r="D6805">
        <v>1</v>
      </c>
    </row>
    <row r="6806" spans="1:4" ht="15.75" customHeight="1">
      <c r="A6806" t="s">
        <v>2149</v>
      </c>
      <c r="B6806" t="s">
        <v>38</v>
      </c>
      <c r="C6806" t="s">
        <v>24</v>
      </c>
      <c r="D6806">
        <v>1</v>
      </c>
    </row>
    <row r="6807" spans="1:4" ht="15.75" customHeight="1">
      <c r="A6807" t="s">
        <v>2196</v>
      </c>
      <c r="B6807" t="s">
        <v>38</v>
      </c>
      <c r="C6807" t="s">
        <v>24</v>
      </c>
      <c r="D6807">
        <v>1</v>
      </c>
    </row>
    <row r="6808" spans="1:4" ht="15.75" customHeight="1">
      <c r="A6808" t="s">
        <v>1283</v>
      </c>
      <c r="B6808" t="s">
        <v>38</v>
      </c>
      <c r="C6808" t="s">
        <v>24</v>
      </c>
      <c r="D6808">
        <v>1</v>
      </c>
    </row>
    <row r="6809" spans="1:4" ht="15.75" customHeight="1">
      <c r="A6809" t="s">
        <v>4012</v>
      </c>
      <c r="B6809" t="s">
        <v>38</v>
      </c>
      <c r="C6809" t="s">
        <v>24</v>
      </c>
      <c r="D6809">
        <v>1</v>
      </c>
    </row>
    <row r="6810" spans="1:4" ht="15.75" customHeight="1">
      <c r="A6810" t="s">
        <v>2684</v>
      </c>
      <c r="B6810" t="s">
        <v>38</v>
      </c>
      <c r="C6810" t="s">
        <v>24</v>
      </c>
      <c r="D6810">
        <v>1</v>
      </c>
    </row>
    <row r="6811" spans="1:4" ht="15.75" customHeight="1">
      <c r="A6811" t="s">
        <v>3281</v>
      </c>
      <c r="B6811" t="s">
        <v>38</v>
      </c>
      <c r="C6811" t="s">
        <v>24</v>
      </c>
      <c r="D6811">
        <v>1</v>
      </c>
    </row>
    <row r="6812" spans="1:4" ht="15.75" customHeight="1">
      <c r="A6812" t="s">
        <v>3283</v>
      </c>
      <c r="B6812" t="s">
        <v>38</v>
      </c>
      <c r="C6812" t="s">
        <v>24</v>
      </c>
      <c r="D6812">
        <v>1</v>
      </c>
    </row>
    <row r="6813" spans="1:4" ht="15.75" customHeight="1">
      <c r="A6813" t="s">
        <v>3198</v>
      </c>
      <c r="B6813" t="s">
        <v>38</v>
      </c>
      <c r="C6813" t="s">
        <v>24</v>
      </c>
      <c r="D6813">
        <v>1</v>
      </c>
    </row>
    <row r="6814" spans="1:4" ht="15.75" customHeight="1">
      <c r="A6814" t="s">
        <v>2151</v>
      </c>
      <c r="B6814" t="s">
        <v>38</v>
      </c>
      <c r="C6814" t="s">
        <v>24</v>
      </c>
      <c r="D6814">
        <v>1</v>
      </c>
    </row>
    <row r="6815" spans="1:4" ht="15.75" customHeight="1">
      <c r="A6815" t="s">
        <v>4049</v>
      </c>
      <c r="B6815" t="s">
        <v>38</v>
      </c>
      <c r="C6815" t="s">
        <v>24</v>
      </c>
      <c r="D6815">
        <v>1</v>
      </c>
    </row>
    <row r="6816" spans="1:4" ht="15.75" customHeight="1">
      <c r="A6816" t="s">
        <v>4794</v>
      </c>
      <c r="B6816" t="s">
        <v>38</v>
      </c>
      <c r="C6816" t="s">
        <v>24</v>
      </c>
      <c r="D6816">
        <v>1</v>
      </c>
    </row>
    <row r="6817" spans="1:4" ht="15.75" customHeight="1">
      <c r="A6817" t="s">
        <v>3285</v>
      </c>
      <c r="B6817" t="s">
        <v>38</v>
      </c>
      <c r="C6817" t="s">
        <v>24</v>
      </c>
      <c r="D6817">
        <v>1</v>
      </c>
    </row>
    <row r="6818" spans="1:4" ht="15.75" customHeight="1">
      <c r="A6818" t="s">
        <v>2687</v>
      </c>
      <c r="B6818" t="s">
        <v>38</v>
      </c>
      <c r="C6818" t="s">
        <v>24</v>
      </c>
      <c r="D6818">
        <v>1</v>
      </c>
    </row>
    <row r="6819" spans="1:4" ht="15.75" customHeight="1">
      <c r="A6819" t="s">
        <v>4354</v>
      </c>
      <c r="B6819" t="s">
        <v>38</v>
      </c>
      <c r="C6819" t="s">
        <v>24</v>
      </c>
      <c r="D6819">
        <v>1</v>
      </c>
    </row>
    <row r="6820" spans="1:4" ht="15.75" customHeight="1">
      <c r="A6820" t="s">
        <v>4817</v>
      </c>
      <c r="B6820" t="s">
        <v>38</v>
      </c>
      <c r="C6820" t="s">
        <v>24</v>
      </c>
      <c r="D6820">
        <v>1</v>
      </c>
    </row>
    <row r="6821" spans="1:4" ht="15.75" customHeight="1">
      <c r="A6821" t="s">
        <v>4051</v>
      </c>
      <c r="B6821" t="s">
        <v>38</v>
      </c>
      <c r="C6821" t="s">
        <v>24</v>
      </c>
      <c r="D6821">
        <v>1</v>
      </c>
    </row>
    <row r="6822" spans="1:4" ht="15.75" customHeight="1">
      <c r="A6822" t="s">
        <v>684</v>
      </c>
      <c r="B6822" t="s">
        <v>38</v>
      </c>
      <c r="C6822" t="s">
        <v>24</v>
      </c>
      <c r="D6822">
        <v>1</v>
      </c>
    </row>
    <row r="6823" spans="1:4" ht="15.75" customHeight="1">
      <c r="A6823" t="s">
        <v>4807</v>
      </c>
      <c r="B6823" t="s">
        <v>38</v>
      </c>
      <c r="C6823" t="s">
        <v>24</v>
      </c>
      <c r="D6823">
        <v>1</v>
      </c>
    </row>
    <row r="6824" spans="1:4" ht="15.75" customHeight="1">
      <c r="A6824" t="s">
        <v>1337</v>
      </c>
      <c r="B6824" t="s">
        <v>38</v>
      </c>
      <c r="C6824" t="s">
        <v>24</v>
      </c>
      <c r="D6824">
        <v>1</v>
      </c>
    </row>
    <row r="6825" spans="1:4" ht="15.75" customHeight="1">
      <c r="A6825" t="s">
        <v>2201</v>
      </c>
      <c r="B6825" t="s">
        <v>38</v>
      </c>
      <c r="C6825" t="s">
        <v>24</v>
      </c>
      <c r="D6825">
        <v>1</v>
      </c>
    </row>
    <row r="6826" spans="1:4" ht="15.75" customHeight="1">
      <c r="A6826" t="s">
        <v>4797</v>
      </c>
      <c r="B6826" t="s">
        <v>38</v>
      </c>
      <c r="C6826" t="s">
        <v>24</v>
      </c>
      <c r="D6826">
        <v>1</v>
      </c>
    </row>
    <row r="6827" spans="1:4" ht="15.75" customHeight="1">
      <c r="A6827" t="s">
        <v>2803</v>
      </c>
      <c r="B6827" t="s">
        <v>38</v>
      </c>
      <c r="C6827" t="s">
        <v>24</v>
      </c>
      <c r="D6827">
        <v>1</v>
      </c>
    </row>
    <row r="6828" spans="1:4" ht="15.75" customHeight="1">
      <c r="A6828" t="s">
        <v>2790</v>
      </c>
      <c r="B6828" t="s">
        <v>38</v>
      </c>
      <c r="C6828" t="s">
        <v>24</v>
      </c>
      <c r="D6828">
        <v>1</v>
      </c>
    </row>
    <row r="6829" spans="1:4" ht="15.75" customHeight="1">
      <c r="A6829" t="s">
        <v>4804</v>
      </c>
      <c r="B6829" t="s">
        <v>38</v>
      </c>
      <c r="C6829" t="s">
        <v>24</v>
      </c>
      <c r="D6829">
        <v>1</v>
      </c>
    </row>
    <row r="6830" spans="1:4" ht="15.75" customHeight="1">
      <c r="A6830" t="s">
        <v>1253</v>
      </c>
      <c r="B6830" t="s">
        <v>38</v>
      </c>
      <c r="C6830" t="s">
        <v>24</v>
      </c>
      <c r="D6830">
        <v>1</v>
      </c>
    </row>
    <row r="6831" spans="1:4" ht="15.75" customHeight="1">
      <c r="A6831" t="s">
        <v>1301</v>
      </c>
      <c r="B6831" t="s">
        <v>38</v>
      </c>
      <c r="C6831" t="s">
        <v>24</v>
      </c>
      <c r="D6831">
        <v>1</v>
      </c>
    </row>
    <row r="6832" spans="1:4" ht="15.75" customHeight="1">
      <c r="A6832" t="s">
        <v>4399</v>
      </c>
      <c r="B6832" t="s">
        <v>38</v>
      </c>
      <c r="C6832" t="s">
        <v>24</v>
      </c>
      <c r="D6832">
        <v>1</v>
      </c>
    </row>
    <row r="6833" spans="1:4" ht="15.75" customHeight="1">
      <c r="A6833" t="s">
        <v>4825</v>
      </c>
      <c r="B6833" t="s">
        <v>38</v>
      </c>
      <c r="C6833" t="s">
        <v>24</v>
      </c>
      <c r="D6833">
        <v>1</v>
      </c>
    </row>
    <row r="6834" spans="1:4" ht="15.75" customHeight="1">
      <c r="A6834" t="s">
        <v>3141</v>
      </c>
      <c r="B6834" t="s">
        <v>38</v>
      </c>
      <c r="C6834" t="s">
        <v>24</v>
      </c>
      <c r="D6834">
        <v>1</v>
      </c>
    </row>
    <row r="6835" spans="1:4" ht="15.75" customHeight="1">
      <c r="A6835" t="s">
        <v>4063</v>
      </c>
      <c r="B6835" t="s">
        <v>38</v>
      </c>
      <c r="C6835" t="s">
        <v>24</v>
      </c>
      <c r="D6835">
        <v>1</v>
      </c>
    </row>
    <row r="6836" spans="1:4" ht="15.75" customHeight="1">
      <c r="A6836" t="s">
        <v>2188</v>
      </c>
      <c r="B6836" t="s">
        <v>38</v>
      </c>
      <c r="C6836" t="s">
        <v>24</v>
      </c>
      <c r="D6836">
        <v>1</v>
      </c>
    </row>
    <row r="6837" spans="1:4" ht="15.75" customHeight="1">
      <c r="A6837" t="s">
        <v>626</v>
      </c>
      <c r="B6837" t="s">
        <v>38</v>
      </c>
      <c r="C6837" t="s">
        <v>24</v>
      </c>
      <c r="D6837">
        <v>1</v>
      </c>
    </row>
    <row r="6838" spans="1:4" ht="15.75" customHeight="1">
      <c r="A6838" t="s">
        <v>4420</v>
      </c>
      <c r="B6838" t="s">
        <v>38</v>
      </c>
      <c r="C6838" t="s">
        <v>24</v>
      </c>
      <c r="D6838">
        <v>1</v>
      </c>
    </row>
    <row r="6839" spans="1:4" ht="15.75" customHeight="1">
      <c r="A6839" t="s">
        <v>3205</v>
      </c>
      <c r="B6839" t="s">
        <v>38</v>
      </c>
      <c r="C6839" t="s">
        <v>24</v>
      </c>
      <c r="D6839">
        <v>1</v>
      </c>
    </row>
    <row r="6840" spans="1:4" ht="15.75" customHeight="1">
      <c r="A6840" t="s">
        <v>1380</v>
      </c>
      <c r="B6840" t="s">
        <v>38</v>
      </c>
      <c r="C6840" t="s">
        <v>24</v>
      </c>
      <c r="D6840">
        <v>1</v>
      </c>
    </row>
    <row r="6841" spans="1:4" ht="15.75" customHeight="1">
      <c r="A6841" t="s">
        <v>3287</v>
      </c>
      <c r="B6841" t="s">
        <v>38</v>
      </c>
      <c r="C6841" t="s">
        <v>24</v>
      </c>
      <c r="D6841">
        <v>1</v>
      </c>
    </row>
    <row r="6842" spans="1:4" ht="15.75" customHeight="1">
      <c r="A6842" t="s">
        <v>498</v>
      </c>
      <c r="B6842" t="s">
        <v>38</v>
      </c>
      <c r="C6842" t="s">
        <v>24</v>
      </c>
      <c r="D6842">
        <v>1</v>
      </c>
    </row>
    <row r="6843" spans="1:4" ht="15.75" customHeight="1">
      <c r="A6843" t="s">
        <v>1439</v>
      </c>
      <c r="B6843" t="s">
        <v>38</v>
      </c>
      <c r="C6843" t="s">
        <v>24</v>
      </c>
      <c r="D6843">
        <v>1</v>
      </c>
    </row>
    <row r="6844" spans="1:4" ht="15.75" customHeight="1">
      <c r="A6844" t="s">
        <v>462</v>
      </c>
      <c r="B6844" t="s">
        <v>38</v>
      </c>
      <c r="C6844" t="s">
        <v>24</v>
      </c>
      <c r="D6844">
        <v>1</v>
      </c>
    </row>
    <row r="6845" spans="1:4" ht="15.75" customHeight="1">
      <c r="A6845" t="s">
        <v>3289</v>
      </c>
      <c r="B6845" t="s">
        <v>38</v>
      </c>
      <c r="C6845" t="s">
        <v>24</v>
      </c>
      <c r="D6845">
        <v>1</v>
      </c>
    </row>
    <row r="6846" spans="1:4" ht="15.75" customHeight="1">
      <c r="A6846" t="s">
        <v>2793</v>
      </c>
      <c r="B6846" t="s">
        <v>38</v>
      </c>
      <c r="C6846" t="s">
        <v>24</v>
      </c>
      <c r="D6846">
        <v>1</v>
      </c>
    </row>
    <row r="6847" spans="1:4" ht="15.75" customHeight="1">
      <c r="A6847" t="s">
        <v>3649</v>
      </c>
      <c r="B6847" t="s">
        <v>38</v>
      </c>
      <c r="C6847" t="s">
        <v>24</v>
      </c>
      <c r="D6847">
        <v>1</v>
      </c>
    </row>
    <row r="6848" spans="1:4" ht="15.75" customHeight="1">
      <c r="A6848" t="s">
        <v>2700</v>
      </c>
      <c r="B6848" t="s">
        <v>38</v>
      </c>
      <c r="C6848" t="s">
        <v>24</v>
      </c>
      <c r="D6848">
        <v>1</v>
      </c>
    </row>
    <row r="6849" spans="1:4" ht="15.75" customHeight="1">
      <c r="A6849" t="s">
        <v>2703</v>
      </c>
      <c r="B6849" t="s">
        <v>38</v>
      </c>
      <c r="C6849" t="s">
        <v>24</v>
      </c>
      <c r="D6849">
        <v>1</v>
      </c>
    </row>
    <row r="6850" spans="1:4" ht="15.75" customHeight="1">
      <c r="A6850" t="s">
        <v>4117</v>
      </c>
      <c r="B6850" t="s">
        <v>38</v>
      </c>
      <c r="C6850" t="s">
        <v>24</v>
      </c>
      <c r="D6850">
        <v>1</v>
      </c>
    </row>
    <row r="6851" spans="1:4" ht="15.75" customHeight="1">
      <c r="A6851" t="s">
        <v>4389</v>
      </c>
      <c r="B6851" t="s">
        <v>38</v>
      </c>
      <c r="C6851" t="s">
        <v>24</v>
      </c>
      <c r="D6851">
        <v>1</v>
      </c>
    </row>
    <row r="6852" spans="1:4" ht="15.75" customHeight="1">
      <c r="A6852" t="s">
        <v>1718</v>
      </c>
      <c r="B6852" t="s">
        <v>38</v>
      </c>
      <c r="C6852" t="s">
        <v>24</v>
      </c>
      <c r="D6852">
        <v>1</v>
      </c>
    </row>
    <row r="6853" spans="1:4" ht="15.75" customHeight="1">
      <c r="A6853" t="s">
        <v>4095</v>
      </c>
      <c r="B6853" t="s">
        <v>38</v>
      </c>
      <c r="C6853" t="s">
        <v>24</v>
      </c>
      <c r="D6853">
        <v>1</v>
      </c>
    </row>
    <row r="6854" spans="1:4" ht="15.75" customHeight="1">
      <c r="A6854" t="s">
        <v>2759</v>
      </c>
      <c r="B6854" t="s">
        <v>38</v>
      </c>
      <c r="C6854" t="s">
        <v>24</v>
      </c>
      <c r="D6854">
        <v>1</v>
      </c>
    </row>
    <row r="6855" spans="1:4" ht="15.75" customHeight="1">
      <c r="A6855" t="s">
        <v>1734</v>
      </c>
      <c r="B6855" t="s">
        <v>38</v>
      </c>
      <c r="C6855" t="s">
        <v>24</v>
      </c>
      <c r="D6855">
        <v>1</v>
      </c>
    </row>
    <row r="6856" spans="1:4" ht="15.75" customHeight="1">
      <c r="A6856" t="s">
        <v>2153</v>
      </c>
      <c r="B6856" t="s">
        <v>38</v>
      </c>
      <c r="C6856" t="s">
        <v>24</v>
      </c>
      <c r="D6856">
        <v>1</v>
      </c>
    </row>
    <row r="6857" spans="1:4" ht="15.75" customHeight="1">
      <c r="A6857" t="s">
        <v>1738</v>
      </c>
      <c r="B6857" t="s">
        <v>38</v>
      </c>
      <c r="C6857" t="s">
        <v>24</v>
      </c>
      <c r="D6857">
        <v>1</v>
      </c>
    </row>
    <row r="6858" spans="1:4" ht="15.75" customHeight="1">
      <c r="A6858" t="s">
        <v>4787</v>
      </c>
      <c r="B6858" t="s">
        <v>38</v>
      </c>
      <c r="C6858" t="s">
        <v>24</v>
      </c>
      <c r="D6858">
        <v>1</v>
      </c>
    </row>
    <row r="6859" spans="1:4" ht="15.75" customHeight="1">
      <c r="A6859" t="s">
        <v>477</v>
      </c>
      <c r="B6859" t="s">
        <v>38</v>
      </c>
      <c r="C6859" t="s">
        <v>24</v>
      </c>
      <c r="D6859">
        <v>1</v>
      </c>
    </row>
    <row r="6860" spans="1:4" ht="15.75" customHeight="1">
      <c r="A6860" t="s">
        <v>2650</v>
      </c>
      <c r="B6860" t="s">
        <v>38</v>
      </c>
      <c r="C6860" t="s">
        <v>24</v>
      </c>
      <c r="D6860">
        <v>1</v>
      </c>
    </row>
    <row r="6861" spans="1:4" ht="15.75" customHeight="1">
      <c r="A6861" t="s">
        <v>3312</v>
      </c>
      <c r="B6861" t="s">
        <v>38</v>
      </c>
      <c r="C6861" t="s">
        <v>24</v>
      </c>
      <c r="D6861">
        <v>1</v>
      </c>
    </row>
    <row r="6862" spans="1:4" ht="15.75" customHeight="1">
      <c r="A6862" t="s">
        <v>502</v>
      </c>
      <c r="B6862" t="s">
        <v>38</v>
      </c>
      <c r="C6862" t="s">
        <v>24</v>
      </c>
      <c r="D6862">
        <v>1</v>
      </c>
    </row>
    <row r="6863" spans="1:4" ht="15.75" customHeight="1">
      <c r="A6863" t="s">
        <v>3132</v>
      </c>
      <c r="B6863" t="s">
        <v>38</v>
      </c>
      <c r="C6863" t="s">
        <v>24</v>
      </c>
      <c r="D6863">
        <v>1</v>
      </c>
    </row>
    <row r="6864" spans="1:4" ht="15.75" customHeight="1">
      <c r="A6864" t="s">
        <v>4401</v>
      </c>
      <c r="B6864" t="s">
        <v>38</v>
      </c>
      <c r="C6864" t="s">
        <v>24</v>
      </c>
      <c r="D6864">
        <v>1</v>
      </c>
    </row>
    <row r="6865" spans="1:4" ht="15.75" customHeight="1">
      <c r="A6865" t="s">
        <v>3156</v>
      </c>
      <c r="B6865" t="s">
        <v>38</v>
      </c>
      <c r="C6865" t="s">
        <v>24</v>
      </c>
      <c r="D6865">
        <v>1</v>
      </c>
    </row>
    <row r="6866" spans="1:4" ht="15.75" customHeight="1">
      <c r="A6866" t="s">
        <v>1354</v>
      </c>
      <c r="B6866" t="s">
        <v>38</v>
      </c>
      <c r="C6866" t="s">
        <v>24</v>
      </c>
      <c r="D6866">
        <v>1</v>
      </c>
    </row>
    <row r="6867" spans="1:4" ht="15.75" customHeight="1">
      <c r="A6867" t="s">
        <v>504</v>
      </c>
      <c r="B6867" t="s">
        <v>38</v>
      </c>
      <c r="C6867" t="s">
        <v>24</v>
      </c>
      <c r="D6867">
        <v>1</v>
      </c>
    </row>
    <row r="6868" spans="1:4" ht="15.75" customHeight="1">
      <c r="A6868" t="s">
        <v>2843</v>
      </c>
      <c r="B6868" t="s">
        <v>38</v>
      </c>
      <c r="C6868" t="s">
        <v>24</v>
      </c>
      <c r="D6868">
        <v>1</v>
      </c>
    </row>
    <row r="6869" spans="1:4" ht="15.75" customHeight="1">
      <c r="A6869" t="s">
        <v>4811</v>
      </c>
      <c r="B6869" t="s">
        <v>38</v>
      </c>
      <c r="C6869" t="s">
        <v>24</v>
      </c>
      <c r="D6869">
        <v>1</v>
      </c>
    </row>
    <row r="6870" spans="1:4" ht="15.75" customHeight="1">
      <c r="A6870" t="s">
        <v>1366</v>
      </c>
      <c r="B6870" t="s">
        <v>38</v>
      </c>
      <c r="C6870" t="s">
        <v>24</v>
      </c>
      <c r="D6870">
        <v>1</v>
      </c>
    </row>
    <row r="6871" spans="1:4" ht="15.75" customHeight="1">
      <c r="A6871" t="s">
        <v>4813</v>
      </c>
      <c r="B6871" t="s">
        <v>38</v>
      </c>
      <c r="C6871" t="s">
        <v>24</v>
      </c>
      <c r="D6871">
        <v>1</v>
      </c>
    </row>
    <row r="6872" spans="1:4" ht="15.75" customHeight="1">
      <c r="A6872" t="s">
        <v>1742</v>
      </c>
      <c r="B6872" t="s">
        <v>38</v>
      </c>
      <c r="C6872" t="s">
        <v>24</v>
      </c>
      <c r="D6872">
        <v>1</v>
      </c>
    </row>
    <row r="6873" spans="1:4" ht="15.75" customHeight="1">
      <c r="A6873" t="s">
        <v>4128</v>
      </c>
      <c r="B6873" t="s">
        <v>38</v>
      </c>
      <c r="C6873" t="s">
        <v>24</v>
      </c>
      <c r="D6873">
        <v>1</v>
      </c>
    </row>
    <row r="6874" spans="1:4" ht="15.75" customHeight="1">
      <c r="A6874" t="s">
        <v>4773</v>
      </c>
      <c r="B6874" t="s">
        <v>38</v>
      </c>
      <c r="C6874" t="s">
        <v>24</v>
      </c>
      <c r="D6874">
        <v>1</v>
      </c>
    </row>
    <row r="6875" spans="1:4" ht="15.75" customHeight="1">
      <c r="A6875" t="s">
        <v>3600</v>
      </c>
      <c r="B6875" t="s">
        <v>38</v>
      </c>
      <c r="C6875" t="s">
        <v>24</v>
      </c>
      <c r="D6875">
        <v>1</v>
      </c>
    </row>
    <row r="6876" spans="1:4" ht="15.75" customHeight="1">
      <c r="A6876" t="s">
        <v>4020</v>
      </c>
      <c r="B6876" t="s">
        <v>38</v>
      </c>
      <c r="C6876" t="s">
        <v>24</v>
      </c>
      <c r="D6876">
        <v>1</v>
      </c>
    </row>
    <row r="6877" spans="1:4" ht="15.75" customHeight="1">
      <c r="A6877" t="s">
        <v>4841</v>
      </c>
      <c r="B6877" t="s">
        <v>38</v>
      </c>
      <c r="C6877" t="s">
        <v>24</v>
      </c>
      <c r="D6877">
        <v>1</v>
      </c>
    </row>
    <row r="6878" spans="1:4" ht="15.75" customHeight="1">
      <c r="A6878" t="s">
        <v>1285</v>
      </c>
      <c r="B6878" t="s">
        <v>38</v>
      </c>
      <c r="C6878" t="s">
        <v>24</v>
      </c>
      <c r="D6878">
        <v>1</v>
      </c>
    </row>
    <row r="6879" spans="1:4" ht="15.75" customHeight="1">
      <c r="A6879" t="s">
        <v>2155</v>
      </c>
      <c r="B6879" t="s">
        <v>38</v>
      </c>
      <c r="C6879" t="s">
        <v>24</v>
      </c>
      <c r="D6879">
        <v>1</v>
      </c>
    </row>
    <row r="6880" spans="1:4" ht="15.75" customHeight="1">
      <c r="A6880" t="s">
        <v>4381</v>
      </c>
      <c r="B6880" t="s">
        <v>38</v>
      </c>
      <c r="C6880" t="s">
        <v>24</v>
      </c>
      <c r="D6880">
        <v>1</v>
      </c>
    </row>
    <row r="6881" spans="1:4" ht="15.75" customHeight="1">
      <c r="A6881" t="s">
        <v>3695</v>
      </c>
      <c r="B6881" t="s">
        <v>38</v>
      </c>
      <c r="C6881" t="s">
        <v>24</v>
      </c>
      <c r="D6881">
        <v>1</v>
      </c>
    </row>
    <row r="6882" spans="1:4" ht="15.75" customHeight="1">
      <c r="A6882" t="s">
        <v>594</v>
      </c>
      <c r="B6882" t="s">
        <v>38</v>
      </c>
      <c r="C6882" t="s">
        <v>24</v>
      </c>
      <c r="D6882">
        <v>1</v>
      </c>
    </row>
    <row r="6883" spans="1:4" ht="15.75" customHeight="1">
      <c r="A6883" t="s">
        <v>4422</v>
      </c>
      <c r="B6883" t="s">
        <v>38</v>
      </c>
      <c r="C6883" t="s">
        <v>24</v>
      </c>
      <c r="D6883">
        <v>1</v>
      </c>
    </row>
    <row r="6884" spans="1:4" ht="15.75" customHeight="1">
      <c r="A6884" t="s">
        <v>3232</v>
      </c>
      <c r="B6884" t="s">
        <v>38</v>
      </c>
      <c r="C6884" t="s">
        <v>24</v>
      </c>
      <c r="D6884">
        <v>1</v>
      </c>
    </row>
    <row r="6885" spans="1:4" ht="15.75" customHeight="1">
      <c r="A6885" t="s">
        <v>2732</v>
      </c>
      <c r="B6885" t="s">
        <v>38</v>
      </c>
      <c r="C6885" t="s">
        <v>24</v>
      </c>
      <c r="D6885">
        <v>1</v>
      </c>
    </row>
    <row r="6886" spans="1:4" ht="15.75" customHeight="1">
      <c r="A6886" t="s">
        <v>4728</v>
      </c>
      <c r="B6886" t="s">
        <v>38</v>
      </c>
      <c r="C6886" t="s">
        <v>24</v>
      </c>
      <c r="D6886">
        <v>1</v>
      </c>
    </row>
    <row r="6887" spans="1:4" ht="15.75" customHeight="1">
      <c r="A6887" t="s">
        <v>4748</v>
      </c>
      <c r="B6887" t="s">
        <v>38</v>
      </c>
      <c r="C6887" t="s">
        <v>24</v>
      </c>
      <c r="D6887">
        <v>1</v>
      </c>
    </row>
    <row r="6888" spans="1:4" ht="15.75" customHeight="1">
      <c r="A6888" t="s">
        <v>4403</v>
      </c>
      <c r="B6888" t="s">
        <v>38</v>
      </c>
      <c r="C6888" t="s">
        <v>24</v>
      </c>
      <c r="D6888">
        <v>1</v>
      </c>
    </row>
    <row r="6889" spans="1:4" ht="15.75" customHeight="1">
      <c r="A6889" t="s">
        <v>480</v>
      </c>
      <c r="B6889" t="s">
        <v>38</v>
      </c>
      <c r="C6889" t="s">
        <v>24</v>
      </c>
      <c r="D6889">
        <v>1</v>
      </c>
    </row>
    <row r="6890" spans="1:4" ht="15.75" customHeight="1">
      <c r="A6890" t="s">
        <v>4424</v>
      </c>
      <c r="B6890" t="s">
        <v>38</v>
      </c>
      <c r="C6890" t="s">
        <v>24</v>
      </c>
      <c r="D6890">
        <v>1</v>
      </c>
    </row>
    <row r="6891" spans="1:4" ht="15.75" customHeight="1">
      <c r="A6891" t="s">
        <v>2136</v>
      </c>
      <c r="B6891" t="s">
        <v>38</v>
      </c>
      <c r="C6891" t="s">
        <v>24</v>
      </c>
      <c r="D6891">
        <v>1</v>
      </c>
    </row>
    <row r="6892" spans="1:4" ht="15.75" customHeight="1">
      <c r="A6892" t="s">
        <v>2270</v>
      </c>
      <c r="B6892" t="s">
        <v>38</v>
      </c>
      <c r="C6892" t="s">
        <v>24</v>
      </c>
      <c r="D6892">
        <v>1</v>
      </c>
    </row>
    <row r="6893" spans="1:4" ht="15.75" customHeight="1">
      <c r="A6893" t="s">
        <v>2213</v>
      </c>
      <c r="B6893" t="s">
        <v>38</v>
      </c>
      <c r="C6893" t="s">
        <v>24</v>
      </c>
      <c r="D6893">
        <v>1</v>
      </c>
    </row>
    <row r="6894" spans="1:4" ht="15.75" customHeight="1">
      <c r="A6894" t="s">
        <v>2215</v>
      </c>
      <c r="B6894" t="s">
        <v>38</v>
      </c>
      <c r="C6894" t="s">
        <v>24</v>
      </c>
      <c r="D6894">
        <v>1</v>
      </c>
    </row>
    <row r="6895" spans="1:4" ht="15.75" customHeight="1">
      <c r="A6895" t="s">
        <v>2157</v>
      </c>
      <c r="B6895" t="s">
        <v>38</v>
      </c>
      <c r="C6895" t="s">
        <v>24</v>
      </c>
      <c r="D6895">
        <v>1</v>
      </c>
    </row>
    <row r="6896" spans="1:4" ht="15.75" customHeight="1">
      <c r="A6896" t="s">
        <v>2217</v>
      </c>
      <c r="B6896" t="s">
        <v>38</v>
      </c>
      <c r="C6896" t="s">
        <v>24</v>
      </c>
      <c r="D6896">
        <v>1</v>
      </c>
    </row>
    <row r="6897" spans="1:4" ht="15.75" customHeight="1">
      <c r="A6897" t="s">
        <v>2795</v>
      </c>
      <c r="B6897" t="s">
        <v>38</v>
      </c>
      <c r="C6897" t="s">
        <v>24</v>
      </c>
      <c r="D6897">
        <v>1</v>
      </c>
    </row>
    <row r="6898" spans="1:4" ht="15.75" customHeight="1">
      <c r="A6898" t="s">
        <v>4819</v>
      </c>
      <c r="B6898" t="s">
        <v>38</v>
      </c>
      <c r="C6898" t="s">
        <v>24</v>
      </c>
      <c r="D6898">
        <v>1</v>
      </c>
    </row>
    <row r="6899" spans="1:4" ht="15.75" customHeight="1">
      <c r="A6899" t="s">
        <v>2805</v>
      </c>
      <c r="B6899" t="s">
        <v>38</v>
      </c>
      <c r="C6899" t="s">
        <v>24</v>
      </c>
      <c r="D6899">
        <v>1</v>
      </c>
    </row>
    <row r="6900" spans="1:4" ht="15.75" customHeight="1">
      <c r="A6900" t="s">
        <v>3272</v>
      </c>
      <c r="B6900" t="s">
        <v>38</v>
      </c>
      <c r="C6900" t="s">
        <v>24</v>
      </c>
      <c r="D6900">
        <v>1</v>
      </c>
    </row>
    <row r="6901" spans="1:4" ht="15.75" customHeight="1">
      <c r="A6901" t="s">
        <v>1702</v>
      </c>
      <c r="B6901" t="s">
        <v>38</v>
      </c>
      <c r="C6901" t="s">
        <v>24</v>
      </c>
      <c r="D6901">
        <v>1</v>
      </c>
    </row>
    <row r="6902" spans="1:4" ht="15.75" customHeight="1">
      <c r="A6902" t="s">
        <v>1704</v>
      </c>
      <c r="B6902" t="s">
        <v>38</v>
      </c>
      <c r="C6902" t="s">
        <v>24</v>
      </c>
      <c r="D6902">
        <v>1</v>
      </c>
    </row>
    <row r="6903" spans="1:4" ht="15.75" customHeight="1">
      <c r="A6903" t="s">
        <v>1453</v>
      </c>
      <c r="B6903" t="s">
        <v>38</v>
      </c>
      <c r="C6903" t="s">
        <v>24</v>
      </c>
      <c r="D6903">
        <v>1</v>
      </c>
    </row>
    <row r="6904" spans="1:4" ht="15.75" customHeight="1">
      <c r="A6904" t="s">
        <v>3207</v>
      </c>
      <c r="B6904" t="s">
        <v>38</v>
      </c>
      <c r="C6904" t="s">
        <v>24</v>
      </c>
      <c r="D6904">
        <v>1</v>
      </c>
    </row>
    <row r="6905" spans="1:4" ht="15.75" customHeight="1">
      <c r="A6905" t="s">
        <v>4722</v>
      </c>
      <c r="B6905" t="s">
        <v>38</v>
      </c>
      <c r="C6905" t="s">
        <v>24</v>
      </c>
      <c r="D6905">
        <v>1</v>
      </c>
    </row>
    <row r="6906" spans="1:4" ht="15.75" customHeight="1">
      <c r="A6906" t="s">
        <v>3716</v>
      </c>
      <c r="B6906" t="s">
        <v>38</v>
      </c>
      <c r="C6906" t="s">
        <v>24</v>
      </c>
      <c r="D6906">
        <v>1</v>
      </c>
    </row>
    <row r="6907" spans="1:4" ht="15.75" customHeight="1">
      <c r="A6907" t="s">
        <v>1744</v>
      </c>
      <c r="B6907" t="s">
        <v>38</v>
      </c>
      <c r="C6907" t="s">
        <v>24</v>
      </c>
      <c r="D6907">
        <v>1</v>
      </c>
    </row>
    <row r="6908" spans="1:4" ht="15.75" customHeight="1">
      <c r="A6908" t="s">
        <v>2797</v>
      </c>
      <c r="B6908" t="s">
        <v>38</v>
      </c>
      <c r="C6908" t="s">
        <v>24</v>
      </c>
      <c r="D6908">
        <v>1</v>
      </c>
    </row>
    <row r="6909" spans="1:4" ht="15.75" customHeight="1">
      <c r="A6909" t="s">
        <v>2160</v>
      </c>
      <c r="B6909" t="s">
        <v>38</v>
      </c>
      <c r="C6909" t="s">
        <v>24</v>
      </c>
      <c r="D6909">
        <v>1</v>
      </c>
    </row>
    <row r="6910" spans="1:4" ht="15.75" customHeight="1">
      <c r="A6910" t="s">
        <v>2857</v>
      </c>
      <c r="B6910" t="s">
        <v>38</v>
      </c>
      <c r="C6910" t="s">
        <v>24</v>
      </c>
      <c r="D6910">
        <v>1</v>
      </c>
    </row>
    <row r="6911" spans="1:4" ht="15.75" customHeight="1">
      <c r="A6911" t="s">
        <v>3168</v>
      </c>
      <c r="B6911" t="s">
        <v>38</v>
      </c>
      <c r="C6911" t="s">
        <v>24</v>
      </c>
      <c r="D6911">
        <v>1</v>
      </c>
    </row>
    <row r="6912" spans="1:4" ht="15.75" customHeight="1">
      <c r="A6912" t="s">
        <v>554</v>
      </c>
      <c r="B6912" t="s">
        <v>38</v>
      </c>
      <c r="C6912" t="s">
        <v>24</v>
      </c>
      <c r="D6912">
        <v>1</v>
      </c>
    </row>
    <row r="6913" spans="1:4" ht="15.75" customHeight="1">
      <c r="A6913" t="s">
        <v>1711</v>
      </c>
      <c r="B6913" t="s">
        <v>38</v>
      </c>
      <c r="C6913" t="s">
        <v>24</v>
      </c>
      <c r="D6913">
        <v>1</v>
      </c>
    </row>
    <row r="6914" spans="1:4" ht="15.75" customHeight="1">
      <c r="A6914" t="s">
        <v>1746</v>
      </c>
      <c r="B6914" t="s">
        <v>38</v>
      </c>
      <c r="C6914" t="s">
        <v>24</v>
      </c>
      <c r="D6914">
        <v>1</v>
      </c>
    </row>
    <row r="6915" spans="1:4" ht="15.75" customHeight="1">
      <c r="A6915" t="s">
        <v>4120</v>
      </c>
      <c r="B6915" t="s">
        <v>38</v>
      </c>
      <c r="C6915" t="s">
        <v>24</v>
      </c>
      <c r="D6915">
        <v>1</v>
      </c>
    </row>
    <row r="6916" spans="1:4" ht="15.75" customHeight="1">
      <c r="A6916" t="s">
        <v>3229</v>
      </c>
      <c r="B6916" t="s">
        <v>38</v>
      </c>
      <c r="C6916" t="s">
        <v>24</v>
      </c>
      <c r="D6916">
        <v>1</v>
      </c>
    </row>
    <row r="6917" spans="1:4" ht="15.75" customHeight="1">
      <c r="A6917" t="s">
        <v>541</v>
      </c>
      <c r="B6917" t="s">
        <v>38</v>
      </c>
      <c r="C6917" t="s">
        <v>24</v>
      </c>
      <c r="D6917">
        <v>1</v>
      </c>
    </row>
    <row r="6918" spans="1:4" ht="15.75" customHeight="1">
      <c r="A6918" t="s">
        <v>2808</v>
      </c>
      <c r="B6918" t="s">
        <v>38</v>
      </c>
      <c r="C6918" t="s">
        <v>24</v>
      </c>
      <c r="D6918">
        <v>1</v>
      </c>
    </row>
    <row r="6919" spans="1:4" ht="15.75" customHeight="1">
      <c r="A6919" t="s">
        <v>3621</v>
      </c>
      <c r="B6919" t="s">
        <v>38</v>
      </c>
      <c r="C6919" t="s">
        <v>24</v>
      </c>
      <c r="D6919">
        <v>1</v>
      </c>
    </row>
    <row r="6920" spans="1:4" ht="15.75" customHeight="1">
      <c r="A6920" t="s">
        <v>485</v>
      </c>
      <c r="B6920" t="s">
        <v>38</v>
      </c>
      <c r="C6920" t="s">
        <v>24</v>
      </c>
      <c r="D6920">
        <v>1</v>
      </c>
    </row>
    <row r="6921" spans="1:4" ht="15.75" customHeight="1">
      <c r="A6921" t="s">
        <v>2272</v>
      </c>
      <c r="B6921" t="s">
        <v>38</v>
      </c>
      <c r="C6921" t="s">
        <v>24</v>
      </c>
      <c r="D6921">
        <v>1</v>
      </c>
    </row>
    <row r="6922" spans="1:4" ht="15.75" customHeight="1">
      <c r="A6922" t="s">
        <v>3592</v>
      </c>
      <c r="B6922" t="s">
        <v>38</v>
      </c>
      <c r="C6922" t="s">
        <v>24</v>
      </c>
      <c r="D6922">
        <v>1</v>
      </c>
    </row>
    <row r="6923" spans="1:4" ht="15.75" customHeight="1">
      <c r="A6923" t="s">
        <v>3654</v>
      </c>
      <c r="B6923" t="s">
        <v>38</v>
      </c>
      <c r="C6923" t="s">
        <v>24</v>
      </c>
      <c r="D6923">
        <v>1</v>
      </c>
    </row>
    <row r="6924" spans="1:4" ht="15.75" customHeight="1">
      <c r="A6924" t="s">
        <v>3657</v>
      </c>
      <c r="B6924" t="s">
        <v>38</v>
      </c>
      <c r="C6924" t="s">
        <v>24</v>
      </c>
      <c r="D6924">
        <v>1</v>
      </c>
    </row>
    <row r="6925" spans="1:4" ht="15.75" customHeight="1">
      <c r="A6925" t="s">
        <v>3624</v>
      </c>
      <c r="B6925" t="s">
        <v>38</v>
      </c>
      <c r="C6925" t="s">
        <v>24</v>
      </c>
      <c r="D6925">
        <v>1</v>
      </c>
    </row>
    <row r="6926" spans="1:4" ht="15.75" customHeight="1">
      <c r="A6926" t="s">
        <v>603</v>
      </c>
      <c r="B6926" t="s">
        <v>38</v>
      </c>
      <c r="C6926" t="s">
        <v>24</v>
      </c>
      <c r="D6926">
        <v>1</v>
      </c>
    </row>
    <row r="6927" spans="1:4" ht="15.75" customHeight="1">
      <c r="A6927" t="s">
        <v>2139</v>
      </c>
      <c r="B6927" t="s">
        <v>38</v>
      </c>
      <c r="C6927" t="s">
        <v>24</v>
      </c>
      <c r="D6927">
        <v>1</v>
      </c>
    </row>
    <row r="6928" spans="1:4" ht="15.75" customHeight="1">
      <c r="A6928" t="s">
        <v>1398</v>
      </c>
      <c r="B6928" t="s">
        <v>38</v>
      </c>
      <c r="C6928" t="s">
        <v>24</v>
      </c>
      <c r="D6928">
        <v>1</v>
      </c>
    </row>
    <row r="6929" spans="1:4" ht="15.75" customHeight="1">
      <c r="A6929" t="s">
        <v>1232</v>
      </c>
      <c r="B6929" t="s">
        <v>38</v>
      </c>
      <c r="C6929" t="s">
        <v>24</v>
      </c>
      <c r="D6929">
        <v>1</v>
      </c>
    </row>
    <row r="6930" spans="1:4" ht="15.75" customHeight="1">
      <c r="A6930" t="s">
        <v>3291</v>
      </c>
      <c r="B6930" t="s">
        <v>38</v>
      </c>
      <c r="C6930" t="s">
        <v>24</v>
      </c>
      <c r="D6930">
        <v>1</v>
      </c>
    </row>
    <row r="6931" spans="1:4" ht="15.75" customHeight="1">
      <c r="A6931" t="s">
        <v>3605</v>
      </c>
      <c r="B6931" t="s">
        <v>38</v>
      </c>
      <c r="C6931" t="s">
        <v>24</v>
      </c>
      <c r="D6931">
        <v>1</v>
      </c>
    </row>
    <row r="6932" spans="1:4" ht="15.75" customHeight="1">
      <c r="A6932" t="s">
        <v>3293</v>
      </c>
      <c r="B6932" t="s">
        <v>38</v>
      </c>
      <c r="C6932" t="s">
        <v>24</v>
      </c>
      <c r="D6932">
        <v>1</v>
      </c>
    </row>
    <row r="6933" spans="1:4" ht="15.75" customHeight="1">
      <c r="A6933" t="s">
        <v>1783</v>
      </c>
      <c r="B6933" t="s">
        <v>38</v>
      </c>
      <c r="C6933" t="s">
        <v>24</v>
      </c>
      <c r="D6933">
        <v>1</v>
      </c>
    </row>
    <row r="6934" spans="1:4" ht="15.75" customHeight="1">
      <c r="A6934" t="s">
        <v>1236</v>
      </c>
      <c r="B6934" t="s">
        <v>38</v>
      </c>
      <c r="C6934" t="s">
        <v>24</v>
      </c>
      <c r="D6934">
        <v>1</v>
      </c>
    </row>
    <row r="6935" spans="1:4" ht="15.75" customHeight="1">
      <c r="A6935" t="s">
        <v>506</v>
      </c>
      <c r="B6935" t="s">
        <v>38</v>
      </c>
      <c r="C6935" t="s">
        <v>24</v>
      </c>
      <c r="D6935">
        <v>1</v>
      </c>
    </row>
    <row r="6936" spans="1:4" ht="15.75" customHeight="1">
      <c r="A6936" t="s">
        <v>557</v>
      </c>
      <c r="B6936" t="s">
        <v>38</v>
      </c>
      <c r="C6936" t="s">
        <v>24</v>
      </c>
      <c r="D6936">
        <v>1</v>
      </c>
    </row>
    <row r="6937" spans="1:4" ht="15.75" customHeight="1">
      <c r="A6937" t="s">
        <v>2657</v>
      </c>
      <c r="B6937" t="s">
        <v>38</v>
      </c>
      <c r="C6937" t="s">
        <v>24</v>
      </c>
      <c r="D6937">
        <v>1</v>
      </c>
    </row>
    <row r="6938" spans="1:4" ht="15.75" customHeight="1">
      <c r="A6938" t="s">
        <v>2785</v>
      </c>
      <c r="B6938" t="s">
        <v>38</v>
      </c>
      <c r="C6938" t="s">
        <v>24</v>
      </c>
      <c r="D6938">
        <v>1</v>
      </c>
    </row>
    <row r="6939" spans="1:4" ht="15.75" customHeight="1">
      <c r="A6939" t="s">
        <v>2235</v>
      </c>
      <c r="B6939" t="s">
        <v>38</v>
      </c>
      <c r="C6939" t="s">
        <v>24</v>
      </c>
      <c r="D6939">
        <v>1</v>
      </c>
    </row>
    <row r="6940" spans="1:4" ht="15.75" customHeight="1">
      <c r="A6940" t="s">
        <v>1247</v>
      </c>
      <c r="B6940" t="s">
        <v>38</v>
      </c>
      <c r="C6940" t="s">
        <v>24</v>
      </c>
      <c r="D6940">
        <v>1</v>
      </c>
    </row>
    <row r="6941" spans="1:4" ht="15.75" customHeight="1">
      <c r="A6941" t="s">
        <v>3671</v>
      </c>
      <c r="B6941" t="s">
        <v>38</v>
      </c>
      <c r="C6941" t="s">
        <v>24</v>
      </c>
      <c r="D6941">
        <v>1</v>
      </c>
    </row>
    <row r="6942" spans="1:4" ht="15.75" customHeight="1">
      <c r="A6942" t="s">
        <v>3635</v>
      </c>
      <c r="B6942" t="s">
        <v>38</v>
      </c>
      <c r="C6942" t="s">
        <v>24</v>
      </c>
      <c r="D6942">
        <v>1</v>
      </c>
    </row>
    <row r="6943" spans="1:4" ht="15.75" customHeight="1">
      <c r="A6943" t="s">
        <v>4719</v>
      </c>
      <c r="B6943" t="s">
        <v>38</v>
      </c>
      <c r="C6943" t="s">
        <v>24</v>
      </c>
      <c r="D6943">
        <v>1</v>
      </c>
    </row>
    <row r="6944" spans="1:4" ht="15.75" customHeight="1">
      <c r="A6944" t="s">
        <v>491</v>
      </c>
      <c r="B6944" t="s">
        <v>38</v>
      </c>
      <c r="C6944" t="s">
        <v>24</v>
      </c>
      <c r="D6944">
        <v>1</v>
      </c>
    </row>
    <row r="6945" spans="1:4" ht="15.75" customHeight="1">
      <c r="A6945" t="s">
        <v>3718</v>
      </c>
      <c r="B6945" t="s">
        <v>38</v>
      </c>
      <c r="C6945" t="s">
        <v>24</v>
      </c>
      <c r="D6945">
        <v>1</v>
      </c>
    </row>
    <row r="6946" spans="1:4" ht="15.75" customHeight="1">
      <c r="A6946" t="s">
        <v>3165</v>
      </c>
      <c r="B6946" t="s">
        <v>38</v>
      </c>
      <c r="C6946" t="s">
        <v>24</v>
      </c>
      <c r="D6946">
        <v>1</v>
      </c>
    </row>
    <row r="6947" spans="1:4" ht="15.75" customHeight="1">
      <c r="A6947" t="s">
        <v>2221</v>
      </c>
      <c r="B6947" t="s">
        <v>38</v>
      </c>
      <c r="C6947" t="s">
        <v>24</v>
      </c>
      <c r="D6947">
        <v>1</v>
      </c>
    </row>
    <row r="6948" spans="1:4" ht="15.75" customHeight="1">
      <c r="A6948" t="s">
        <v>4426</v>
      </c>
      <c r="B6948" t="s">
        <v>38</v>
      </c>
      <c r="C6948" t="s">
        <v>24</v>
      </c>
      <c r="D6948">
        <v>1</v>
      </c>
    </row>
    <row r="6949" spans="1:4" ht="15.75" customHeight="1">
      <c r="A6949" t="s">
        <v>1785</v>
      </c>
      <c r="B6949" t="s">
        <v>38</v>
      </c>
      <c r="C6949" t="s">
        <v>24</v>
      </c>
      <c r="D6949">
        <v>1</v>
      </c>
    </row>
    <row r="6950" spans="1:4" ht="15.75" customHeight="1">
      <c r="A6950" t="s">
        <v>1339</v>
      </c>
      <c r="B6950" t="s">
        <v>38</v>
      </c>
      <c r="C6950" t="s">
        <v>24</v>
      </c>
      <c r="D6950">
        <v>1</v>
      </c>
    </row>
    <row r="6951" spans="1:4" ht="15.75" customHeight="1">
      <c r="A6951" t="s">
        <v>4406</v>
      </c>
      <c r="B6951" t="s">
        <v>38</v>
      </c>
      <c r="C6951" t="s">
        <v>24</v>
      </c>
      <c r="D6951">
        <v>1</v>
      </c>
    </row>
    <row r="6952" spans="1:4" ht="15.75" customHeight="1">
      <c r="A6952" t="s">
        <v>4028</v>
      </c>
      <c r="B6952" t="s">
        <v>38</v>
      </c>
      <c r="C6952" t="s">
        <v>24</v>
      </c>
      <c r="D6952">
        <v>1</v>
      </c>
    </row>
    <row r="6953" spans="1:4" ht="15.75" customHeight="1">
      <c r="A6953" t="s">
        <v>2840</v>
      </c>
      <c r="B6953" t="s">
        <v>38</v>
      </c>
      <c r="C6953" t="s">
        <v>24</v>
      </c>
      <c r="D6953">
        <v>1</v>
      </c>
    </row>
    <row r="6954" spans="1:4" ht="15.75" customHeight="1">
      <c r="A6954" t="s">
        <v>3660</v>
      </c>
      <c r="B6954" t="s">
        <v>38</v>
      </c>
      <c r="C6954" t="s">
        <v>24</v>
      </c>
      <c r="D6954">
        <v>1</v>
      </c>
    </row>
    <row r="6955" spans="1:4" ht="15.75" customHeight="1">
      <c r="A6955" t="s">
        <v>2810</v>
      </c>
      <c r="B6955" t="s">
        <v>38</v>
      </c>
      <c r="C6955" t="s">
        <v>24</v>
      </c>
      <c r="D6955">
        <v>1</v>
      </c>
    </row>
    <row r="6956" spans="1:4" ht="15.75" customHeight="1">
      <c r="A6956" t="s">
        <v>4041</v>
      </c>
      <c r="B6956" t="s">
        <v>38</v>
      </c>
      <c r="C6956" t="s">
        <v>24</v>
      </c>
      <c r="D6956">
        <v>1</v>
      </c>
    </row>
    <row r="6957" spans="1:4" ht="15.75" customHeight="1">
      <c r="A6957" t="s">
        <v>1341</v>
      </c>
      <c r="B6957" t="s">
        <v>38</v>
      </c>
      <c r="C6957" t="s">
        <v>24</v>
      </c>
      <c r="D6957">
        <v>1</v>
      </c>
    </row>
    <row r="6958" spans="1:4" ht="15.75" customHeight="1">
      <c r="A6958" t="s">
        <v>433</v>
      </c>
      <c r="B6958" t="s">
        <v>38</v>
      </c>
      <c r="C6958" t="s">
        <v>24</v>
      </c>
      <c r="D6958">
        <v>1</v>
      </c>
    </row>
    <row r="6959" spans="1:4" ht="15.75" customHeight="1">
      <c r="A6959" t="s">
        <v>2689</v>
      </c>
      <c r="B6959" t="s">
        <v>38</v>
      </c>
      <c r="C6959" t="s">
        <v>24</v>
      </c>
      <c r="D6959">
        <v>1</v>
      </c>
    </row>
    <row r="6960" spans="1:4" ht="15.75" customHeight="1">
      <c r="A6960" t="s">
        <v>3618</v>
      </c>
      <c r="B6960" t="s">
        <v>38</v>
      </c>
      <c r="C6960" t="s">
        <v>24</v>
      </c>
      <c r="D6960">
        <v>1</v>
      </c>
    </row>
    <row r="6961" spans="1:4" ht="15.75" customHeight="1">
      <c r="A6961" t="s">
        <v>4736</v>
      </c>
      <c r="B6961" t="s">
        <v>38</v>
      </c>
      <c r="C6961" t="s">
        <v>24</v>
      </c>
      <c r="D6961">
        <v>1</v>
      </c>
    </row>
    <row r="6962" spans="1:4" ht="15.75" customHeight="1">
      <c r="A6962" t="s">
        <v>4775</v>
      </c>
      <c r="B6962" t="s">
        <v>38</v>
      </c>
      <c r="C6962" t="s">
        <v>24</v>
      </c>
      <c r="D6962">
        <v>1</v>
      </c>
    </row>
    <row r="6963" spans="1:4" ht="15.75" customHeight="1">
      <c r="A6963" t="s">
        <v>1750</v>
      </c>
      <c r="B6963" t="s">
        <v>38</v>
      </c>
      <c r="C6963" t="s">
        <v>24</v>
      </c>
      <c r="D6963">
        <v>1</v>
      </c>
    </row>
    <row r="6964" spans="1:4" ht="15.75" customHeight="1">
      <c r="A6964" t="s">
        <v>3627</v>
      </c>
      <c r="B6964" t="s">
        <v>38</v>
      </c>
      <c r="C6964" t="s">
        <v>24</v>
      </c>
      <c r="D6964">
        <v>1</v>
      </c>
    </row>
    <row r="6965" spans="1:4" ht="15.75" customHeight="1">
      <c r="A6965" t="s">
        <v>3720</v>
      </c>
      <c r="B6965" t="s">
        <v>38</v>
      </c>
      <c r="C6965" t="s">
        <v>24</v>
      </c>
      <c r="D6965">
        <v>1</v>
      </c>
    </row>
    <row r="6966" spans="1:4" ht="15.75" customHeight="1">
      <c r="A6966" t="s">
        <v>3705</v>
      </c>
      <c r="B6966" t="s">
        <v>38</v>
      </c>
      <c r="C6966" t="s">
        <v>24</v>
      </c>
      <c r="D6966">
        <v>1</v>
      </c>
    </row>
    <row r="6967" spans="1:4" ht="15.75" customHeight="1">
      <c r="A6967" t="s">
        <v>3662</v>
      </c>
      <c r="B6967" t="s">
        <v>38</v>
      </c>
      <c r="C6967" t="s">
        <v>24</v>
      </c>
      <c r="D6967">
        <v>1</v>
      </c>
    </row>
    <row r="6968" spans="1:4" ht="15.75" customHeight="1">
      <c r="A6968" t="s">
        <v>2141</v>
      </c>
      <c r="B6968" t="s">
        <v>38</v>
      </c>
      <c r="C6968" t="s">
        <v>24</v>
      </c>
      <c r="D6968">
        <v>1</v>
      </c>
    </row>
    <row r="6969" spans="1:4" ht="15.75" customHeight="1">
      <c r="A6969" t="s">
        <v>2162</v>
      </c>
      <c r="B6969" t="s">
        <v>38</v>
      </c>
      <c r="C6969" t="s">
        <v>24</v>
      </c>
      <c r="D6969">
        <v>1</v>
      </c>
    </row>
    <row r="6970" spans="1:4" ht="15.75" customHeight="1">
      <c r="A6970" t="s">
        <v>2681</v>
      </c>
      <c r="B6970" t="s">
        <v>38</v>
      </c>
      <c r="C6970" t="s">
        <v>24</v>
      </c>
      <c r="D6970">
        <v>1</v>
      </c>
    </row>
    <row r="6971" spans="1:4" ht="15.75" customHeight="1">
      <c r="A6971" t="s">
        <v>2274</v>
      </c>
      <c r="B6971" t="s">
        <v>38</v>
      </c>
      <c r="C6971" t="s">
        <v>24</v>
      </c>
      <c r="D6971">
        <v>1</v>
      </c>
    </row>
    <row r="6972" spans="1:4" ht="15.75" customHeight="1">
      <c r="A6972" t="s">
        <v>454</v>
      </c>
      <c r="B6972" t="s">
        <v>38</v>
      </c>
      <c r="C6972" t="s">
        <v>24</v>
      </c>
      <c r="D6972">
        <v>1</v>
      </c>
    </row>
    <row r="6973" spans="1:4" ht="15.75" customHeight="1">
      <c r="A6973" t="s">
        <v>4085</v>
      </c>
      <c r="B6973" t="s">
        <v>38</v>
      </c>
      <c r="C6973" t="s">
        <v>24</v>
      </c>
      <c r="D6973">
        <v>1</v>
      </c>
    </row>
    <row r="6974" spans="1:4" ht="15.75" customHeight="1">
      <c r="A6974" t="s">
        <v>4072</v>
      </c>
      <c r="B6974" t="s">
        <v>38</v>
      </c>
      <c r="C6974" t="s">
        <v>24</v>
      </c>
      <c r="D6974">
        <v>1</v>
      </c>
    </row>
    <row r="6975" spans="1:4" ht="15.75" customHeight="1">
      <c r="A6975" t="s">
        <v>582</v>
      </c>
      <c r="B6975" t="s">
        <v>38</v>
      </c>
      <c r="C6975" t="s">
        <v>24</v>
      </c>
      <c r="D6975">
        <v>1</v>
      </c>
    </row>
    <row r="6976" spans="1:4" ht="15.75" customHeight="1">
      <c r="A6976" t="s">
        <v>2264</v>
      </c>
      <c r="B6976" t="s">
        <v>38</v>
      </c>
      <c r="C6976" t="s">
        <v>24</v>
      </c>
      <c r="D6976">
        <v>1</v>
      </c>
    </row>
    <row r="6977" spans="1:4" ht="15.75" customHeight="1">
      <c r="A6977" t="s">
        <v>4025</v>
      </c>
      <c r="B6977" t="s">
        <v>38</v>
      </c>
      <c r="C6977" t="s">
        <v>24</v>
      </c>
      <c r="D6977">
        <v>1</v>
      </c>
    </row>
    <row r="6978" spans="1:4" ht="15.75" customHeight="1">
      <c r="A6978" t="s">
        <v>2223</v>
      </c>
      <c r="B6978" t="s">
        <v>38</v>
      </c>
      <c r="C6978" t="s">
        <v>24</v>
      </c>
      <c r="D6978">
        <v>1</v>
      </c>
    </row>
    <row r="6979" spans="1:4" ht="15.75" customHeight="1">
      <c r="A6979" t="s">
        <v>474</v>
      </c>
      <c r="B6979" t="s">
        <v>38</v>
      </c>
      <c r="C6979" t="s">
        <v>24</v>
      </c>
      <c r="D6979">
        <v>1</v>
      </c>
    </row>
    <row r="6980" spans="1:4" ht="15.75" customHeight="1">
      <c r="A6980" t="s">
        <v>4362</v>
      </c>
      <c r="B6980" t="s">
        <v>38</v>
      </c>
      <c r="C6980" t="s">
        <v>24</v>
      </c>
      <c r="D6980">
        <v>1</v>
      </c>
    </row>
    <row r="6981" spans="1:4" ht="15.75" customHeight="1">
      <c r="A6981" t="s">
        <v>4379</v>
      </c>
      <c r="B6981" t="s">
        <v>38</v>
      </c>
      <c r="C6981" t="s">
        <v>24</v>
      </c>
      <c r="D6981">
        <v>1</v>
      </c>
    </row>
    <row r="6982" spans="1:4" ht="15.75" customHeight="1">
      <c r="A6982" t="s">
        <v>4108</v>
      </c>
      <c r="B6982" t="s">
        <v>38</v>
      </c>
      <c r="C6982" t="s">
        <v>24</v>
      </c>
      <c r="D6982">
        <v>1</v>
      </c>
    </row>
    <row r="6983" spans="1:4" ht="15.75" customHeight="1">
      <c r="A6983" t="s">
        <v>4790</v>
      </c>
      <c r="B6983" t="s">
        <v>38</v>
      </c>
      <c r="C6983" t="s">
        <v>24</v>
      </c>
      <c r="D6983">
        <v>1</v>
      </c>
    </row>
    <row r="6984" spans="1:4" ht="15.75" customHeight="1">
      <c r="A6984" t="s">
        <v>1223</v>
      </c>
      <c r="B6984" t="s">
        <v>38</v>
      </c>
      <c r="C6984" t="s">
        <v>24</v>
      </c>
      <c r="D6984">
        <v>1</v>
      </c>
    </row>
    <row r="6985" spans="1:4" ht="15.75" customHeight="1">
      <c r="A6985" t="s">
        <v>4827</v>
      </c>
      <c r="B6985" t="s">
        <v>38</v>
      </c>
      <c r="C6985" t="s">
        <v>24</v>
      </c>
      <c r="D6985">
        <v>1</v>
      </c>
    </row>
    <row r="6986" spans="1:4" ht="15.75" customHeight="1">
      <c r="A6986" t="s">
        <v>4384</v>
      </c>
      <c r="B6986" t="s">
        <v>38</v>
      </c>
      <c r="C6986" t="s">
        <v>24</v>
      </c>
      <c r="D6986">
        <v>1</v>
      </c>
    </row>
    <row r="6987" spans="1:4" ht="15.75" customHeight="1">
      <c r="A6987" t="s">
        <v>2718</v>
      </c>
      <c r="B6987" t="s">
        <v>38</v>
      </c>
      <c r="C6987" t="s">
        <v>24</v>
      </c>
      <c r="D6987">
        <v>1</v>
      </c>
    </row>
    <row r="6988" spans="1:4" ht="15.75" customHeight="1">
      <c r="A6988" t="s">
        <v>1275</v>
      </c>
      <c r="B6988" t="s">
        <v>38</v>
      </c>
      <c r="C6988" t="s">
        <v>24</v>
      </c>
      <c r="D6988">
        <v>1</v>
      </c>
    </row>
    <row r="6989" spans="1:4" ht="15.75" customHeight="1">
      <c r="A6989" t="s">
        <v>4760</v>
      </c>
      <c r="B6989" t="s">
        <v>38</v>
      </c>
      <c r="C6989" t="s">
        <v>24</v>
      </c>
      <c r="D6989">
        <v>1</v>
      </c>
    </row>
    <row r="6990" spans="1:4" ht="15.75" customHeight="1">
      <c r="A6990" t="s">
        <v>4386</v>
      </c>
      <c r="B6990" t="s">
        <v>38</v>
      </c>
      <c r="C6990" t="s">
        <v>24</v>
      </c>
      <c r="D6990">
        <v>1</v>
      </c>
    </row>
    <row r="6991" spans="1:4" ht="15.75" customHeight="1">
      <c r="A6991" t="s">
        <v>2208</v>
      </c>
      <c r="B6991" t="s">
        <v>38</v>
      </c>
      <c r="C6991" t="s">
        <v>24</v>
      </c>
      <c r="D6991">
        <v>1</v>
      </c>
    </row>
    <row r="6992" spans="1:4" ht="15.75" customHeight="1">
      <c r="A6992" t="s">
        <v>3697</v>
      </c>
      <c r="B6992" t="s">
        <v>38</v>
      </c>
      <c r="C6992" t="s">
        <v>24</v>
      </c>
      <c r="D6992">
        <v>1</v>
      </c>
    </row>
    <row r="6993" spans="1:4" ht="15.75" customHeight="1">
      <c r="A6993" t="s">
        <v>2764</v>
      </c>
      <c r="B6993" t="s">
        <v>38</v>
      </c>
      <c r="C6993" t="s">
        <v>24</v>
      </c>
      <c r="D6993">
        <v>1</v>
      </c>
    </row>
    <row r="6994" spans="1:4" ht="15.75" customHeight="1">
      <c r="A6994" t="s">
        <v>3724</v>
      </c>
      <c r="B6994" t="s">
        <v>38</v>
      </c>
      <c r="C6994" t="s">
        <v>24</v>
      </c>
      <c r="D6994">
        <v>1</v>
      </c>
    </row>
    <row r="6995" spans="1:4" ht="15.75" customHeight="1">
      <c r="A6995" t="s">
        <v>2753</v>
      </c>
      <c r="B6995" t="s">
        <v>38</v>
      </c>
      <c r="C6995" t="s">
        <v>24</v>
      </c>
      <c r="D6995">
        <v>1</v>
      </c>
    </row>
    <row r="6996" spans="1:4" ht="15.75" customHeight="1">
      <c r="A6996" t="s">
        <v>2778</v>
      </c>
      <c r="B6996" t="s">
        <v>38</v>
      </c>
      <c r="C6996" t="s">
        <v>24</v>
      </c>
      <c r="D6996">
        <v>1</v>
      </c>
    </row>
    <row r="6997" spans="1:4" ht="15.75" customHeight="1">
      <c r="A6997" t="s">
        <v>496</v>
      </c>
      <c r="B6997" t="s">
        <v>38</v>
      </c>
      <c r="C6997" t="s">
        <v>24</v>
      </c>
      <c r="D6997">
        <v>1</v>
      </c>
    </row>
    <row r="6998" spans="1:4" ht="15.75" customHeight="1">
      <c r="A6998" t="s">
        <v>4815</v>
      </c>
      <c r="B6998" t="s">
        <v>38</v>
      </c>
      <c r="C6998" t="s">
        <v>24</v>
      </c>
      <c r="D6998">
        <v>1</v>
      </c>
    </row>
    <row r="6999" spans="1:4" ht="15.75" customHeight="1">
      <c r="A6999" t="s">
        <v>1693</v>
      </c>
      <c r="B6999" t="s">
        <v>38</v>
      </c>
      <c r="C6999" t="s">
        <v>24</v>
      </c>
      <c r="D6999">
        <v>1</v>
      </c>
    </row>
    <row r="7000" spans="1:4" ht="15.75" customHeight="1">
      <c r="A7000" t="s">
        <v>3296</v>
      </c>
      <c r="B7000" t="s">
        <v>38</v>
      </c>
      <c r="C7000" t="s">
        <v>24</v>
      </c>
      <c r="D7000">
        <v>1</v>
      </c>
    </row>
    <row r="7001" spans="1:4" ht="15.75" customHeight="1">
      <c r="A7001" t="s">
        <v>2666</v>
      </c>
      <c r="B7001" t="s">
        <v>38</v>
      </c>
      <c r="C7001" t="s">
        <v>24</v>
      </c>
      <c r="D7001">
        <v>1</v>
      </c>
    </row>
    <row r="7002" spans="1:4" ht="15.75" customHeight="1">
      <c r="A7002" t="s">
        <v>3211</v>
      </c>
      <c r="B7002" t="s">
        <v>38</v>
      </c>
      <c r="C7002" t="s">
        <v>24</v>
      </c>
      <c r="D7002">
        <v>1</v>
      </c>
    </row>
    <row r="7003" spans="1:4" ht="15.75" customHeight="1">
      <c r="A7003" t="s">
        <v>655</v>
      </c>
      <c r="B7003" t="s">
        <v>38</v>
      </c>
      <c r="C7003" t="s">
        <v>24</v>
      </c>
      <c r="D7003">
        <v>1</v>
      </c>
    </row>
    <row r="7004" spans="1:4" ht="15.75" customHeight="1">
      <c r="A7004" t="s">
        <v>1721</v>
      </c>
      <c r="B7004" t="s">
        <v>38</v>
      </c>
      <c r="C7004" t="s">
        <v>24</v>
      </c>
      <c r="D7004">
        <v>1</v>
      </c>
    </row>
    <row r="7005" spans="1:4" ht="15.75" customHeight="1">
      <c r="A7005" t="s">
        <v>2125</v>
      </c>
      <c r="B7005" t="s">
        <v>38</v>
      </c>
      <c r="C7005" t="s">
        <v>24</v>
      </c>
      <c r="D7005">
        <v>1</v>
      </c>
    </row>
    <row r="7006" spans="1:4" ht="15.75" customHeight="1">
      <c r="A7006" t="s">
        <v>2117</v>
      </c>
      <c r="B7006" t="s">
        <v>38</v>
      </c>
      <c r="C7006" t="s">
        <v>24</v>
      </c>
      <c r="D7006">
        <v>1</v>
      </c>
    </row>
    <row r="7007" spans="1:4" ht="15.75" customHeight="1">
      <c r="A7007" t="s">
        <v>3255</v>
      </c>
      <c r="B7007" t="s">
        <v>38</v>
      </c>
      <c r="C7007" t="s">
        <v>24</v>
      </c>
      <c r="D7007">
        <v>1</v>
      </c>
    </row>
    <row r="7008" spans="1:4" ht="15.75" customHeight="1">
      <c r="A7008" t="s">
        <v>3275</v>
      </c>
      <c r="B7008" t="s">
        <v>38</v>
      </c>
      <c r="C7008" t="s">
        <v>24</v>
      </c>
      <c r="D7008">
        <v>1</v>
      </c>
    </row>
    <row r="7009" spans="1:4" ht="15.75" customHeight="1">
      <c r="A7009" t="s">
        <v>1756</v>
      </c>
      <c r="B7009" t="s">
        <v>38</v>
      </c>
      <c r="C7009" t="s">
        <v>24</v>
      </c>
      <c r="D7009">
        <v>1</v>
      </c>
    </row>
    <row r="7010" spans="1:4" ht="15.75" customHeight="1">
      <c r="A7010" t="s">
        <v>1758</v>
      </c>
      <c r="B7010" t="s">
        <v>38</v>
      </c>
      <c r="C7010" t="s">
        <v>24</v>
      </c>
      <c r="D7010">
        <v>1</v>
      </c>
    </row>
    <row r="7011" spans="1:4" ht="15.75" customHeight="1">
      <c r="A7011" t="s">
        <v>4763</v>
      </c>
      <c r="B7011" t="s">
        <v>38</v>
      </c>
      <c r="C7011" t="s">
        <v>24</v>
      </c>
      <c r="D7011">
        <v>1</v>
      </c>
    </row>
    <row r="7012" spans="1:4" ht="15.75" customHeight="1">
      <c r="A7012" t="s">
        <v>638</v>
      </c>
      <c r="B7012" t="s">
        <v>38</v>
      </c>
      <c r="C7012" t="s">
        <v>24</v>
      </c>
      <c r="D7012">
        <v>1</v>
      </c>
    </row>
    <row r="7013" spans="1:4" ht="15.75" customHeight="1">
      <c r="A7013" t="s">
        <v>1760</v>
      </c>
      <c r="B7013" t="s">
        <v>38</v>
      </c>
      <c r="C7013" t="s">
        <v>24</v>
      </c>
      <c r="D7013">
        <v>1</v>
      </c>
    </row>
    <row r="7014" spans="1:4" ht="15.75" customHeight="1">
      <c r="A7014" t="s">
        <v>2812</v>
      </c>
      <c r="B7014" t="s">
        <v>38</v>
      </c>
      <c r="C7014" t="s">
        <v>24</v>
      </c>
      <c r="D7014">
        <v>1</v>
      </c>
    </row>
    <row r="7015" spans="1:4" ht="15.75" customHeight="1">
      <c r="A7015" t="s">
        <v>2692</v>
      </c>
      <c r="B7015" t="s">
        <v>38</v>
      </c>
      <c r="C7015" t="s">
        <v>24</v>
      </c>
      <c r="D7015">
        <v>1</v>
      </c>
    </row>
    <row r="7016" spans="1:4" ht="15.75" customHeight="1">
      <c r="A7016" t="s">
        <v>2776</v>
      </c>
      <c r="B7016" t="s">
        <v>38</v>
      </c>
      <c r="C7016" t="s">
        <v>24</v>
      </c>
      <c r="D7016">
        <v>1</v>
      </c>
    </row>
    <row r="7017" spans="1:4" ht="15.75" customHeight="1">
      <c r="A7017" t="s">
        <v>1256</v>
      </c>
      <c r="B7017" t="s">
        <v>38</v>
      </c>
      <c r="C7017" t="s">
        <v>24</v>
      </c>
      <c r="D7017">
        <v>1</v>
      </c>
    </row>
    <row r="7018" spans="1:4" ht="15.75" customHeight="1">
      <c r="A7018" t="s">
        <v>2099</v>
      </c>
      <c r="B7018" t="s">
        <v>38</v>
      </c>
      <c r="C7018" t="s">
        <v>24</v>
      </c>
      <c r="D7018">
        <v>1</v>
      </c>
    </row>
    <row r="7019" spans="1:4" ht="15.75" customHeight="1">
      <c r="A7019" t="s">
        <v>3298</v>
      </c>
      <c r="B7019" t="s">
        <v>38</v>
      </c>
      <c r="C7019" t="s">
        <v>24</v>
      </c>
      <c r="D7019">
        <v>1</v>
      </c>
    </row>
    <row r="7020" spans="1:4" ht="15.75" customHeight="1">
      <c r="A7020" t="s">
        <v>2102</v>
      </c>
      <c r="B7020" t="s">
        <v>38</v>
      </c>
      <c r="C7020" t="s">
        <v>24</v>
      </c>
      <c r="D7020">
        <v>1</v>
      </c>
    </row>
    <row r="7021" spans="1:4" ht="15.75" customHeight="1">
      <c r="A7021" t="s">
        <v>1706</v>
      </c>
      <c r="B7021" t="s">
        <v>38</v>
      </c>
      <c r="C7021" t="s">
        <v>24</v>
      </c>
      <c r="D7021">
        <v>1</v>
      </c>
    </row>
    <row r="7022" spans="1:4" ht="15.75" customHeight="1">
      <c r="A7022" t="s">
        <v>1278</v>
      </c>
      <c r="B7022" t="s">
        <v>38</v>
      </c>
      <c r="C7022" t="s">
        <v>24</v>
      </c>
      <c r="D7022">
        <v>1</v>
      </c>
    </row>
    <row r="7023" spans="1:4" ht="15.75" customHeight="1">
      <c r="A7023" t="s">
        <v>1762</v>
      </c>
      <c r="B7023" t="s">
        <v>38</v>
      </c>
      <c r="C7023" t="s">
        <v>24</v>
      </c>
      <c r="D7023">
        <v>1</v>
      </c>
    </row>
    <row r="7024" spans="1:4" ht="15.75" customHeight="1">
      <c r="A7024" t="s">
        <v>2106</v>
      </c>
      <c r="B7024" t="s">
        <v>38</v>
      </c>
      <c r="C7024" t="s">
        <v>24</v>
      </c>
      <c r="D7024">
        <v>1</v>
      </c>
    </row>
    <row r="7025" spans="1:4" ht="15.75" customHeight="1">
      <c r="A7025" t="s">
        <v>4831</v>
      </c>
      <c r="B7025" t="s">
        <v>38</v>
      </c>
      <c r="C7025" t="s">
        <v>24</v>
      </c>
      <c r="D7025">
        <v>1</v>
      </c>
    </row>
    <row r="7026" spans="1:4" ht="15.75" customHeight="1">
      <c r="A7026" t="s">
        <v>1442</v>
      </c>
      <c r="B7026" t="s">
        <v>38</v>
      </c>
      <c r="C7026" t="s">
        <v>24</v>
      </c>
      <c r="D7026">
        <v>1</v>
      </c>
    </row>
    <row r="7027" spans="1:4" ht="15.75" customHeight="1">
      <c r="A7027" t="s">
        <v>4122</v>
      </c>
      <c r="B7027" t="s">
        <v>38</v>
      </c>
      <c r="C7027" t="s">
        <v>24</v>
      </c>
      <c r="D7027">
        <v>1</v>
      </c>
    </row>
    <row r="7028" spans="1:4" ht="15.75" customHeight="1">
      <c r="A7028" t="s">
        <v>2815</v>
      </c>
      <c r="B7028" t="s">
        <v>38</v>
      </c>
      <c r="C7028" t="s">
        <v>24</v>
      </c>
      <c r="D7028">
        <v>1</v>
      </c>
    </row>
    <row r="7029" spans="1:4" ht="15.75" customHeight="1">
      <c r="A7029" t="s">
        <v>1789</v>
      </c>
      <c r="B7029" t="s">
        <v>38</v>
      </c>
      <c r="C7029" t="s">
        <v>24</v>
      </c>
      <c r="D7029">
        <v>1</v>
      </c>
    </row>
    <row r="7030" spans="1:4" ht="15.75" customHeight="1">
      <c r="A7030" t="s">
        <v>3707</v>
      </c>
      <c r="B7030" t="s">
        <v>38</v>
      </c>
      <c r="C7030" t="s">
        <v>24</v>
      </c>
      <c r="D7030">
        <v>1</v>
      </c>
    </row>
    <row r="7031" spans="1:4" ht="15.75" customHeight="1">
      <c r="A7031" t="s">
        <v>3238</v>
      </c>
      <c r="B7031" t="s">
        <v>38</v>
      </c>
      <c r="C7031" t="s">
        <v>24</v>
      </c>
      <c r="D7031">
        <v>1</v>
      </c>
    </row>
    <row r="7032" spans="1:4" ht="15.75" customHeight="1">
      <c r="A7032" t="s">
        <v>457</v>
      </c>
      <c r="B7032" t="s">
        <v>38</v>
      </c>
      <c r="C7032" t="s">
        <v>24</v>
      </c>
      <c r="D7032">
        <v>1</v>
      </c>
    </row>
    <row r="7033" spans="1:4" ht="15.75" customHeight="1">
      <c r="A7033" t="s">
        <v>2740</v>
      </c>
      <c r="B7033" t="s">
        <v>38</v>
      </c>
      <c r="C7033" t="s">
        <v>24</v>
      </c>
      <c r="D7033">
        <v>1</v>
      </c>
    </row>
    <row r="7034" spans="1:4" ht="15.75" customHeight="1">
      <c r="A7034" t="s">
        <v>2251</v>
      </c>
      <c r="B7034" t="s">
        <v>38</v>
      </c>
      <c r="C7034" t="s">
        <v>24</v>
      </c>
      <c r="D7034">
        <v>1</v>
      </c>
    </row>
    <row r="7035" spans="1:4" ht="15.75" customHeight="1">
      <c r="A7035" t="s">
        <v>3174</v>
      </c>
      <c r="B7035" t="s">
        <v>38</v>
      </c>
      <c r="C7035" t="s">
        <v>24</v>
      </c>
      <c r="D7035">
        <v>1</v>
      </c>
    </row>
    <row r="7036" spans="1:4" ht="15.75" customHeight="1">
      <c r="A7036" t="s">
        <v>2133</v>
      </c>
      <c r="B7036" t="s">
        <v>38</v>
      </c>
      <c r="C7036" t="s">
        <v>24</v>
      </c>
      <c r="D7036">
        <v>1</v>
      </c>
    </row>
    <row r="7037" spans="1:4" ht="15.75" customHeight="1">
      <c r="A7037" t="s">
        <v>4712</v>
      </c>
      <c r="B7037" t="s">
        <v>38</v>
      </c>
      <c r="C7037" t="s">
        <v>24</v>
      </c>
      <c r="D7037">
        <v>1</v>
      </c>
    </row>
    <row r="7038" spans="1:4" ht="15.75" customHeight="1">
      <c r="A7038" t="s">
        <v>1343</v>
      </c>
      <c r="B7038" t="s">
        <v>38</v>
      </c>
      <c r="C7038" t="s">
        <v>24</v>
      </c>
      <c r="D7038">
        <v>1</v>
      </c>
    </row>
    <row r="7039" spans="1:4" ht="15.75" customHeight="1">
      <c r="A7039" t="s">
        <v>4410</v>
      </c>
      <c r="B7039" t="s">
        <v>38</v>
      </c>
      <c r="C7039" t="s">
        <v>24</v>
      </c>
      <c r="D7039">
        <v>1</v>
      </c>
    </row>
    <row r="7040" spans="1:4" ht="15.75" customHeight="1">
      <c r="A7040" t="s">
        <v>2211</v>
      </c>
      <c r="B7040" t="s">
        <v>38</v>
      </c>
      <c r="C7040" t="s">
        <v>24</v>
      </c>
      <c r="D7040">
        <v>1</v>
      </c>
    </row>
    <row r="7041" spans="1:4" ht="15.75" customHeight="1">
      <c r="A7041" t="s">
        <v>4113</v>
      </c>
      <c r="B7041" t="s">
        <v>38</v>
      </c>
      <c r="C7041" t="s">
        <v>24</v>
      </c>
      <c r="D7041">
        <v>1</v>
      </c>
    </row>
    <row r="7042" spans="1:4" ht="15.75" customHeight="1">
      <c r="A7042" t="s">
        <v>4428</v>
      </c>
      <c r="B7042" t="s">
        <v>38</v>
      </c>
      <c r="C7042" t="s">
        <v>24</v>
      </c>
      <c r="D7042">
        <v>1</v>
      </c>
    </row>
    <row r="7043" spans="1:4" ht="15.75" customHeight="1">
      <c r="A7043" t="s">
        <v>2108</v>
      </c>
      <c r="B7043" t="s">
        <v>38</v>
      </c>
      <c r="C7043" t="s">
        <v>24</v>
      </c>
      <c r="D7043">
        <v>1</v>
      </c>
    </row>
    <row r="7044" spans="1:4" ht="15.75" customHeight="1">
      <c r="A7044" t="s">
        <v>4843</v>
      </c>
      <c r="B7044" t="s">
        <v>38</v>
      </c>
      <c r="C7044" t="s">
        <v>24</v>
      </c>
      <c r="D7044">
        <v>1</v>
      </c>
    </row>
    <row r="7045" spans="1:4" ht="15.75" customHeight="1">
      <c r="A7045" t="s">
        <v>2745</v>
      </c>
      <c r="B7045" t="s">
        <v>38</v>
      </c>
      <c r="C7045" t="s">
        <v>24</v>
      </c>
      <c r="D7045">
        <v>1</v>
      </c>
    </row>
    <row r="7046" spans="1:4" ht="15.75" customHeight="1">
      <c r="A7046" t="s">
        <v>4105</v>
      </c>
      <c r="B7046" t="s">
        <v>38</v>
      </c>
      <c r="C7046" t="s">
        <v>24</v>
      </c>
      <c r="D7046">
        <v>1</v>
      </c>
    </row>
    <row r="7047" spans="1:4" ht="15.75" customHeight="1">
      <c r="A7047" t="s">
        <v>1793</v>
      </c>
      <c r="B7047" t="s">
        <v>38</v>
      </c>
      <c r="C7047" t="s">
        <v>24</v>
      </c>
      <c r="D7047">
        <v>1</v>
      </c>
    </row>
    <row r="7048" spans="1:4" ht="15.75" customHeight="1">
      <c r="A7048" t="s">
        <v>524</v>
      </c>
      <c r="B7048" t="s">
        <v>38</v>
      </c>
      <c r="C7048" t="s">
        <v>24</v>
      </c>
      <c r="D7048">
        <v>1</v>
      </c>
    </row>
    <row r="7049" spans="1:4" ht="15.75" customHeight="1">
      <c r="A7049" t="s">
        <v>2817</v>
      </c>
      <c r="B7049" t="s">
        <v>38</v>
      </c>
      <c r="C7049" t="s">
        <v>24</v>
      </c>
      <c r="D7049">
        <v>1</v>
      </c>
    </row>
    <row r="7050" spans="1:4" ht="15.75" customHeight="1">
      <c r="A7050" t="s">
        <v>3178</v>
      </c>
      <c r="B7050" t="s">
        <v>38</v>
      </c>
      <c r="C7050" t="s">
        <v>24</v>
      </c>
      <c r="D7050">
        <v>1</v>
      </c>
    </row>
    <row r="7051" spans="1:4" ht="15.75" customHeight="1">
      <c r="A7051" t="s">
        <v>3192</v>
      </c>
      <c r="B7051" t="s">
        <v>38</v>
      </c>
      <c r="C7051" t="s">
        <v>24</v>
      </c>
      <c r="D7051">
        <v>1</v>
      </c>
    </row>
    <row r="7052" spans="1:4" ht="15.75" customHeight="1">
      <c r="A7052" t="s">
        <v>3194</v>
      </c>
      <c r="B7052" t="s">
        <v>38</v>
      </c>
      <c r="C7052" t="s">
        <v>24</v>
      </c>
      <c r="D7052">
        <v>1</v>
      </c>
    </row>
    <row r="7053" spans="1:4" ht="15.75" customHeight="1">
      <c r="A7053" t="s">
        <v>1334</v>
      </c>
      <c r="B7053" t="s">
        <v>38</v>
      </c>
      <c r="C7053" t="s">
        <v>24</v>
      </c>
      <c r="D7053">
        <v>1</v>
      </c>
    </row>
    <row r="7054" spans="1:4" ht="15.75" customHeight="1">
      <c r="A7054" t="s">
        <v>3629</v>
      </c>
      <c r="B7054" t="s">
        <v>38</v>
      </c>
      <c r="C7054" t="s">
        <v>24</v>
      </c>
      <c r="D7054">
        <v>1</v>
      </c>
    </row>
    <row r="7055" spans="1:4" ht="15.75" customHeight="1">
      <c r="A7055" t="s">
        <v>599</v>
      </c>
      <c r="B7055" t="s">
        <v>38</v>
      </c>
      <c r="C7055" t="s">
        <v>24</v>
      </c>
      <c r="D7055">
        <v>1</v>
      </c>
    </row>
    <row r="7056" spans="1:4" ht="15.75" customHeight="1">
      <c r="A7056" t="s">
        <v>4751</v>
      </c>
      <c r="B7056" t="s">
        <v>38</v>
      </c>
      <c r="C7056" t="s">
        <v>24</v>
      </c>
      <c r="D7056">
        <v>1</v>
      </c>
    </row>
    <row r="7057" spans="1:4" ht="15.75" customHeight="1">
      <c r="A7057" t="s">
        <v>2769</v>
      </c>
      <c r="B7057" t="s">
        <v>38</v>
      </c>
      <c r="C7057" t="s">
        <v>24</v>
      </c>
      <c r="D7057">
        <v>1</v>
      </c>
    </row>
    <row r="7058" spans="1:4" ht="15.75" customHeight="1">
      <c r="A7058" t="s">
        <v>3213</v>
      </c>
      <c r="B7058" t="s">
        <v>38</v>
      </c>
      <c r="C7058" t="s">
        <v>24</v>
      </c>
      <c r="D7058">
        <v>1</v>
      </c>
    </row>
    <row r="7059" spans="1:4" ht="15.75" customHeight="1">
      <c r="A7059" t="s">
        <v>3647</v>
      </c>
      <c r="B7059" t="s">
        <v>38</v>
      </c>
      <c r="C7059" t="s">
        <v>24</v>
      </c>
      <c r="D7059">
        <v>1</v>
      </c>
    </row>
    <row r="7060" spans="1:4" ht="15.75" customHeight="1">
      <c r="A7060" t="s">
        <v>1764</v>
      </c>
      <c r="B7060" t="s">
        <v>38</v>
      </c>
      <c r="C7060" t="s">
        <v>24</v>
      </c>
      <c r="D7060">
        <v>1</v>
      </c>
    </row>
    <row r="7061" spans="1:4" ht="15.75" customHeight="1">
      <c r="A7061" t="s">
        <v>2742</v>
      </c>
      <c r="B7061" t="s">
        <v>38</v>
      </c>
      <c r="C7061" t="s">
        <v>24</v>
      </c>
      <c r="D7061">
        <v>1</v>
      </c>
    </row>
    <row r="7062" spans="1:4" ht="15.75" customHeight="1">
      <c r="A7062" t="s">
        <v>1436</v>
      </c>
      <c r="B7062" t="s">
        <v>38</v>
      </c>
      <c r="C7062" t="s">
        <v>24</v>
      </c>
      <c r="D7062">
        <v>1</v>
      </c>
    </row>
    <row r="7063" spans="1:4" ht="15.75" customHeight="1">
      <c r="A7063" t="s">
        <v>4756</v>
      </c>
      <c r="B7063" t="s">
        <v>38</v>
      </c>
      <c r="C7063" t="s">
        <v>24</v>
      </c>
      <c r="D7063">
        <v>1</v>
      </c>
    </row>
    <row r="7064" spans="1:4" ht="15.75" customHeight="1">
      <c r="A7064" t="s">
        <v>609</v>
      </c>
      <c r="B7064" t="s">
        <v>38</v>
      </c>
      <c r="C7064" t="s">
        <v>24</v>
      </c>
      <c r="D7064">
        <v>1</v>
      </c>
    </row>
    <row r="7065" spans="1:4" ht="15.75" customHeight="1">
      <c r="A7065" t="s">
        <v>2819</v>
      </c>
      <c r="B7065" t="s">
        <v>38</v>
      </c>
      <c r="C7065" t="s">
        <v>24</v>
      </c>
      <c r="D7065">
        <v>1</v>
      </c>
    </row>
    <row r="7066" spans="1:4" ht="15.75" customHeight="1">
      <c r="A7066" t="s">
        <v>3726</v>
      </c>
      <c r="B7066" t="s">
        <v>38</v>
      </c>
      <c r="C7066" t="s">
        <v>24</v>
      </c>
      <c r="D7066">
        <v>1</v>
      </c>
    </row>
    <row r="7067" spans="1:4" ht="15.75" customHeight="1">
      <c r="A7067" t="s">
        <v>3690</v>
      </c>
      <c r="B7067" t="s">
        <v>38</v>
      </c>
      <c r="C7067" t="s">
        <v>24</v>
      </c>
      <c r="D7067">
        <v>1</v>
      </c>
    </row>
    <row r="7068" spans="1:4" ht="15.75" customHeight="1">
      <c r="A7068" t="s">
        <v>611</v>
      </c>
      <c r="B7068" t="s">
        <v>38</v>
      </c>
      <c r="C7068" t="s">
        <v>24</v>
      </c>
      <c r="D7068">
        <v>1</v>
      </c>
    </row>
    <row r="7069" spans="1:4" ht="15.75" customHeight="1">
      <c r="A7069" t="s">
        <v>4753</v>
      </c>
      <c r="B7069" t="s">
        <v>38</v>
      </c>
      <c r="C7069" t="s">
        <v>24</v>
      </c>
      <c r="D7069">
        <v>1</v>
      </c>
    </row>
    <row r="7070" spans="1:4" ht="15.75" customHeight="1">
      <c r="A7070" t="s">
        <v>3678</v>
      </c>
      <c r="B7070" t="s">
        <v>38</v>
      </c>
      <c r="C7070" t="s">
        <v>24</v>
      </c>
      <c r="D7070">
        <v>1</v>
      </c>
    </row>
    <row r="7071" spans="1:4" ht="15.75" customHeight="1">
      <c r="A7071" t="s">
        <v>3642</v>
      </c>
      <c r="B7071" t="s">
        <v>38</v>
      </c>
      <c r="C7071" t="s">
        <v>24</v>
      </c>
      <c r="D7071">
        <v>1</v>
      </c>
    </row>
    <row r="7072" spans="1:4" ht="15.75" customHeight="1">
      <c r="A7072" t="s">
        <v>3300</v>
      </c>
      <c r="B7072" t="s">
        <v>38</v>
      </c>
      <c r="C7072" t="s">
        <v>24</v>
      </c>
      <c r="D7072">
        <v>1</v>
      </c>
    </row>
    <row r="7073" spans="1:4" ht="15.75" customHeight="1">
      <c r="A7073" t="s">
        <v>509</v>
      </c>
      <c r="B7073" t="s">
        <v>38</v>
      </c>
      <c r="C7073" t="s">
        <v>24</v>
      </c>
      <c r="D7073">
        <v>1</v>
      </c>
    </row>
    <row r="7074" spans="1:4" ht="15.75" customHeight="1">
      <c r="A7074" t="s">
        <v>4141</v>
      </c>
      <c r="B7074" t="s">
        <v>38</v>
      </c>
      <c r="C7074" t="s">
        <v>24</v>
      </c>
      <c r="D7074">
        <v>1</v>
      </c>
    </row>
    <row r="7075" spans="1:4" ht="15.75" customHeight="1">
      <c r="A7075" t="s">
        <v>2853</v>
      </c>
      <c r="B7075" t="s">
        <v>38</v>
      </c>
      <c r="C7075" t="s">
        <v>24</v>
      </c>
      <c r="D7075">
        <v>1</v>
      </c>
    </row>
    <row r="7076" spans="1:4" ht="15.75" customHeight="1">
      <c r="A7076" t="s">
        <v>681</v>
      </c>
      <c r="B7076" t="s">
        <v>38</v>
      </c>
      <c r="C7076" t="s">
        <v>24</v>
      </c>
      <c r="D7076">
        <v>1</v>
      </c>
    </row>
    <row r="7077" spans="1:4" ht="15.75" customHeight="1">
      <c r="A7077" t="s">
        <v>2663</v>
      </c>
      <c r="B7077" t="s">
        <v>38</v>
      </c>
      <c r="C7077" t="s">
        <v>24</v>
      </c>
      <c r="D7077">
        <v>1</v>
      </c>
    </row>
    <row r="7078" spans="1:4" ht="15.75" customHeight="1">
      <c r="A7078" t="s">
        <v>653</v>
      </c>
      <c r="B7078" t="s">
        <v>38</v>
      </c>
      <c r="C7078" t="s">
        <v>24</v>
      </c>
      <c r="D7078">
        <v>1</v>
      </c>
    </row>
    <row r="7079" spans="1:4" ht="15.75" customHeight="1">
      <c r="A7079" t="s">
        <v>3263</v>
      </c>
      <c r="B7079" t="s">
        <v>38</v>
      </c>
      <c r="C7079" t="s">
        <v>24</v>
      </c>
      <c r="D7079">
        <v>1</v>
      </c>
    </row>
    <row r="7080" spans="1:4" ht="15.75" customHeight="1">
      <c r="A7080" t="s">
        <v>2850</v>
      </c>
      <c r="B7080" t="s">
        <v>38</v>
      </c>
      <c r="C7080" t="s">
        <v>24</v>
      </c>
      <c r="D7080">
        <v>1</v>
      </c>
    </row>
    <row r="7081" spans="1:4" ht="15.75" customHeight="1">
      <c r="A7081" t="s">
        <v>2821</v>
      </c>
      <c r="B7081" t="s">
        <v>38</v>
      </c>
      <c r="C7081" t="s">
        <v>24</v>
      </c>
      <c r="D7081">
        <v>1</v>
      </c>
    </row>
    <row r="7082" spans="1:4" ht="15.75" customHeight="1">
      <c r="A7082" t="s">
        <v>2823</v>
      </c>
      <c r="B7082" t="s">
        <v>38</v>
      </c>
      <c r="C7082" t="s">
        <v>24</v>
      </c>
      <c r="D7082">
        <v>1</v>
      </c>
    </row>
    <row r="7083" spans="1:4" ht="15.75" customHeight="1">
      <c r="A7083" t="s">
        <v>2659</v>
      </c>
      <c r="B7083" t="s">
        <v>38</v>
      </c>
      <c r="C7083" t="s">
        <v>24</v>
      </c>
      <c r="D7083">
        <v>1</v>
      </c>
    </row>
    <row r="7084" spans="1:4" ht="15.75" customHeight="1">
      <c r="A7084" t="s">
        <v>4412</v>
      </c>
      <c r="B7084" t="s">
        <v>38</v>
      </c>
      <c r="C7084" t="s">
        <v>24</v>
      </c>
      <c r="D7084">
        <v>1</v>
      </c>
    </row>
    <row r="7085" spans="1:4" ht="15.75" customHeight="1">
      <c r="A7085" t="s">
        <v>561</v>
      </c>
      <c r="B7085" t="s">
        <v>38</v>
      </c>
      <c r="C7085" t="s">
        <v>24</v>
      </c>
      <c r="D7085">
        <v>1</v>
      </c>
    </row>
    <row r="7086" spans="1:4" ht="15.75" customHeight="1">
      <c r="A7086" t="s">
        <v>511</v>
      </c>
      <c r="B7086" t="s">
        <v>38</v>
      </c>
      <c r="C7086" t="s">
        <v>24</v>
      </c>
      <c r="D7086">
        <v>1</v>
      </c>
    </row>
    <row r="7087" spans="1:4" ht="15.75" customHeight="1">
      <c r="A7087" t="s">
        <v>2825</v>
      </c>
      <c r="B7087" t="s">
        <v>38</v>
      </c>
      <c r="C7087" t="s">
        <v>24</v>
      </c>
      <c r="D7087">
        <v>1</v>
      </c>
    </row>
    <row r="7088" spans="1:4" ht="15.75" customHeight="1">
      <c r="A7088" t="s">
        <v>2799</v>
      </c>
      <c r="B7088" t="s">
        <v>38</v>
      </c>
      <c r="C7088" t="s">
        <v>24</v>
      </c>
      <c r="D7088">
        <v>1</v>
      </c>
    </row>
    <row r="7089" spans="1:4" ht="15.75" customHeight="1">
      <c r="A7089" t="s">
        <v>3644</v>
      </c>
      <c r="B7089" t="s">
        <v>38</v>
      </c>
      <c r="C7089" t="s">
        <v>24</v>
      </c>
      <c r="D7089">
        <v>1</v>
      </c>
    </row>
    <row r="7090" spans="1:4" ht="15.75" customHeight="1">
      <c r="A7090" t="s">
        <v>2748</v>
      </c>
      <c r="B7090" t="s">
        <v>38</v>
      </c>
      <c r="C7090" t="s">
        <v>24</v>
      </c>
      <c r="D7090">
        <v>1</v>
      </c>
    </row>
    <row r="7091" spans="1:4" ht="15.75" customHeight="1">
      <c r="A7091" t="s">
        <v>3589</v>
      </c>
      <c r="B7091" t="s">
        <v>38</v>
      </c>
      <c r="C7091" t="s">
        <v>24</v>
      </c>
      <c r="D7091">
        <v>1</v>
      </c>
    </row>
    <row r="7092" spans="1:4" ht="15.75" customHeight="1">
      <c r="A7092" t="s">
        <v>3692</v>
      </c>
      <c r="B7092" t="s">
        <v>38</v>
      </c>
      <c r="C7092" t="s">
        <v>24</v>
      </c>
      <c r="D7092">
        <v>1</v>
      </c>
    </row>
    <row r="7093" spans="1:4" ht="15.75" customHeight="1">
      <c r="A7093" t="s">
        <v>688</v>
      </c>
      <c r="B7093" t="s">
        <v>38</v>
      </c>
      <c r="C7093" t="s">
        <v>24</v>
      </c>
      <c r="D7093">
        <v>1</v>
      </c>
    </row>
    <row r="7094" spans="1:4" ht="15.75" customHeight="1">
      <c r="A7094" t="s">
        <v>2866</v>
      </c>
      <c r="B7094" t="s">
        <v>38</v>
      </c>
      <c r="C7094" t="s">
        <v>24</v>
      </c>
      <c r="D7094">
        <v>1</v>
      </c>
    </row>
    <row r="7095" spans="1:4" ht="15.75" customHeight="1">
      <c r="A7095" t="s">
        <v>4833</v>
      </c>
      <c r="B7095" t="s">
        <v>38</v>
      </c>
      <c r="C7095" t="s">
        <v>24</v>
      </c>
      <c r="D7095">
        <v>1</v>
      </c>
    </row>
    <row r="7096" spans="1:4" ht="15.75" customHeight="1">
      <c r="A7096" t="s">
        <v>4077</v>
      </c>
      <c r="B7096" t="s">
        <v>38</v>
      </c>
      <c r="C7096" t="s">
        <v>24</v>
      </c>
      <c r="D7096">
        <v>1</v>
      </c>
    </row>
    <row r="7097" spans="1:4" ht="15.75" customHeight="1">
      <c r="A7097" t="s">
        <v>3615</v>
      </c>
      <c r="B7097" t="s">
        <v>38</v>
      </c>
      <c r="C7097" t="s">
        <v>24</v>
      </c>
      <c r="D7097">
        <v>1</v>
      </c>
    </row>
    <row r="7098" spans="1:4" ht="15.75" customHeight="1">
      <c r="A7098" t="s">
        <v>4093</v>
      </c>
      <c r="B7098" t="s">
        <v>38</v>
      </c>
      <c r="C7098" t="s">
        <v>24</v>
      </c>
      <c r="D7098">
        <v>1</v>
      </c>
    </row>
    <row r="7099" spans="1:4" ht="15.75" customHeight="1">
      <c r="A7099" t="s">
        <v>2227</v>
      </c>
      <c r="B7099" t="s">
        <v>38</v>
      </c>
      <c r="C7099" t="s">
        <v>24</v>
      </c>
      <c r="D7099">
        <v>1</v>
      </c>
    </row>
    <row r="7100" spans="1:4" ht="15.75" customHeight="1">
      <c r="A7100" t="s">
        <v>488</v>
      </c>
      <c r="B7100" t="s">
        <v>38</v>
      </c>
      <c r="C7100" t="s">
        <v>24</v>
      </c>
      <c r="D7100">
        <v>1</v>
      </c>
    </row>
    <row r="7101" spans="1:4" ht="15.75" customHeight="1">
      <c r="A7101" t="s">
        <v>2256</v>
      </c>
      <c r="B7101" t="s">
        <v>38</v>
      </c>
      <c r="C7101" t="s">
        <v>24</v>
      </c>
      <c r="D7101">
        <v>1</v>
      </c>
    </row>
    <row r="7102" spans="1:4" ht="15.75" customHeight="1">
      <c r="A7102" t="s">
        <v>3710</v>
      </c>
      <c r="B7102" t="s">
        <v>38</v>
      </c>
      <c r="C7102" t="s">
        <v>24</v>
      </c>
      <c r="D7102">
        <v>1</v>
      </c>
    </row>
    <row r="7103" spans="1:4" ht="15.75" customHeight="1">
      <c r="A7103" t="s">
        <v>4392</v>
      </c>
      <c r="B7103" t="s">
        <v>38</v>
      </c>
      <c r="C7103" t="s">
        <v>24</v>
      </c>
      <c r="D7103">
        <v>1</v>
      </c>
    </row>
    <row r="7104" spans="1:4" ht="15.75" customHeight="1">
      <c r="A7104" t="s">
        <v>1287</v>
      </c>
      <c r="B7104" t="s">
        <v>38</v>
      </c>
      <c r="C7104" t="s">
        <v>24</v>
      </c>
      <c r="D7104">
        <v>1</v>
      </c>
    </row>
    <row r="7105" spans="1:4" ht="15.75" customHeight="1">
      <c r="A7105" t="s">
        <v>4124</v>
      </c>
      <c r="B7105" t="s">
        <v>38</v>
      </c>
      <c r="C7105" t="s">
        <v>24</v>
      </c>
      <c r="D7105">
        <v>1</v>
      </c>
    </row>
    <row r="7106" spans="1:4" ht="15.75" customHeight="1">
      <c r="A7106" t="s">
        <v>1770</v>
      </c>
      <c r="B7106" t="s">
        <v>38</v>
      </c>
      <c r="C7106" t="s">
        <v>24</v>
      </c>
      <c r="D7106">
        <v>1</v>
      </c>
    </row>
    <row r="7107" spans="1:4" ht="15.75" customHeight="1">
      <c r="A7107" t="s">
        <v>2756</v>
      </c>
      <c r="B7107" t="s">
        <v>38</v>
      </c>
      <c r="C7107" t="s">
        <v>24</v>
      </c>
      <c r="D7107">
        <v>1</v>
      </c>
    </row>
    <row r="7108" spans="1:4" ht="15.75" customHeight="1">
      <c r="A7108" t="s">
        <v>699</v>
      </c>
      <c r="B7108" t="s">
        <v>38</v>
      </c>
      <c r="C7108" t="s">
        <v>24</v>
      </c>
      <c r="D7108">
        <v>1</v>
      </c>
    </row>
    <row r="7109" spans="1:4" ht="15.75" customHeight="1">
      <c r="A7109" t="s">
        <v>3699</v>
      </c>
      <c r="B7109" t="s">
        <v>38</v>
      </c>
      <c r="C7109" t="s">
        <v>24</v>
      </c>
      <c r="D7109">
        <v>1</v>
      </c>
    </row>
    <row r="7110" spans="1:4" ht="15.75" customHeight="1">
      <c r="A7110" t="s">
        <v>3181</v>
      </c>
      <c r="B7110" t="s">
        <v>38</v>
      </c>
      <c r="C7110" t="s">
        <v>24</v>
      </c>
      <c r="D7110">
        <v>1</v>
      </c>
    </row>
    <row r="7111" spans="1:4" ht="15.75" customHeight="1">
      <c r="A7111" t="s">
        <v>3188</v>
      </c>
      <c r="B7111" t="s">
        <v>38</v>
      </c>
      <c r="C7111" t="s">
        <v>24</v>
      </c>
      <c r="D7111">
        <v>1</v>
      </c>
    </row>
    <row r="7112" spans="1:4" ht="15.75" customHeight="1">
      <c r="A7112" t="s">
        <v>4823</v>
      </c>
      <c r="B7112" t="s">
        <v>38</v>
      </c>
      <c r="C7112" t="s">
        <v>24</v>
      </c>
      <c r="D7112">
        <v>1</v>
      </c>
    </row>
    <row r="7113" spans="1:4" ht="15.75" customHeight="1">
      <c r="A7113" t="s">
        <v>1289</v>
      </c>
      <c r="B7113" t="s">
        <v>38</v>
      </c>
      <c r="C7113" t="s">
        <v>24</v>
      </c>
      <c r="D7113">
        <v>1</v>
      </c>
    </row>
    <row r="7114" spans="1:4" ht="15.75" customHeight="1">
      <c r="A7114" t="s">
        <v>4130</v>
      </c>
      <c r="B7114" t="s">
        <v>38</v>
      </c>
      <c r="C7114" t="s">
        <v>24</v>
      </c>
      <c r="D7114">
        <v>1</v>
      </c>
    </row>
    <row r="7115" spans="1:4" ht="15.75" customHeight="1">
      <c r="A7115" t="s">
        <v>2827</v>
      </c>
      <c r="B7115" t="s">
        <v>38</v>
      </c>
      <c r="C7115" t="s">
        <v>24</v>
      </c>
      <c r="D7115">
        <v>1</v>
      </c>
    </row>
    <row r="7116" spans="1:4" ht="15.75" customHeight="1">
      <c r="A7116" t="s">
        <v>4115</v>
      </c>
      <c r="B7116" t="s">
        <v>38</v>
      </c>
      <c r="C7116" t="s">
        <v>24</v>
      </c>
      <c r="D7116">
        <v>1</v>
      </c>
    </row>
    <row r="7117" spans="1:4" ht="15.75" customHeight="1">
      <c r="A7117" t="s">
        <v>601</v>
      </c>
      <c r="B7117" t="s">
        <v>38</v>
      </c>
      <c r="C7117" t="s">
        <v>24</v>
      </c>
      <c r="D7117">
        <v>1</v>
      </c>
    </row>
    <row r="7118" spans="1:4" ht="15.75" customHeight="1">
      <c r="A7118" t="s">
        <v>3249</v>
      </c>
      <c r="B7118" t="s">
        <v>38</v>
      </c>
      <c r="C7118" t="s">
        <v>24</v>
      </c>
      <c r="D7118">
        <v>1</v>
      </c>
    </row>
    <row r="7119" spans="1:4" ht="15.75" customHeight="1">
      <c r="A7119" t="s">
        <v>3240</v>
      </c>
      <c r="B7119" t="s">
        <v>38</v>
      </c>
      <c r="C7119" t="s">
        <v>24</v>
      </c>
      <c r="D7119">
        <v>1</v>
      </c>
    </row>
    <row r="7120" spans="1:4" ht="15.75" customHeight="1">
      <c r="A7120" t="s">
        <v>2863</v>
      </c>
      <c r="B7120" t="s">
        <v>38</v>
      </c>
      <c r="C7120" t="s">
        <v>24</v>
      </c>
      <c r="D7120">
        <v>1</v>
      </c>
    </row>
    <row r="7121" spans="1:4" ht="15.75" customHeight="1">
      <c r="A7121" t="s">
        <v>546</v>
      </c>
      <c r="B7121" t="s">
        <v>38</v>
      </c>
      <c r="C7121" t="s">
        <v>24</v>
      </c>
      <c r="D7121">
        <v>1</v>
      </c>
    </row>
    <row r="7122" spans="1:4" ht="15.75" customHeight="1">
      <c r="A7122" t="s">
        <v>3215</v>
      </c>
      <c r="B7122" t="s">
        <v>38</v>
      </c>
      <c r="C7122" t="s">
        <v>24</v>
      </c>
      <c r="D7122">
        <v>1</v>
      </c>
    </row>
    <row r="7123" spans="1:4" ht="15.75" customHeight="1">
      <c r="A7123" t="s">
        <v>3302</v>
      </c>
      <c r="B7123" t="s">
        <v>38</v>
      </c>
      <c r="C7123" t="s">
        <v>24</v>
      </c>
      <c r="D7123">
        <v>1</v>
      </c>
    </row>
    <row r="7124" spans="1:4" ht="15.75" customHeight="1">
      <c r="A7124" t="s">
        <v>651</v>
      </c>
      <c r="B7124" t="s">
        <v>38</v>
      </c>
      <c r="C7124" t="s">
        <v>24</v>
      </c>
      <c r="D7124">
        <v>1</v>
      </c>
    </row>
    <row r="7125" spans="1:4" ht="15.75" customHeight="1">
      <c r="A7125" t="s">
        <v>663</v>
      </c>
      <c r="B7125" t="s">
        <v>38</v>
      </c>
      <c r="C7125" t="s">
        <v>24</v>
      </c>
      <c r="D7125">
        <v>1</v>
      </c>
    </row>
    <row r="7126" spans="1:4" ht="15.75" customHeight="1">
      <c r="A7126" t="s">
        <v>4414</v>
      </c>
      <c r="B7126" t="s">
        <v>38</v>
      </c>
      <c r="C7126" t="s">
        <v>24</v>
      </c>
      <c r="D7126">
        <v>1</v>
      </c>
    </row>
    <row r="7127" spans="1:4" ht="15.75" customHeight="1">
      <c r="A7127" t="s">
        <v>4744</v>
      </c>
      <c r="B7127" t="s">
        <v>38</v>
      </c>
      <c r="C7127" t="s">
        <v>24</v>
      </c>
      <c r="D7127">
        <v>1</v>
      </c>
    </row>
    <row r="7128" spans="1:4" ht="15.75" customHeight="1">
      <c r="A7128" t="s">
        <v>4087</v>
      </c>
      <c r="B7128" t="s">
        <v>38</v>
      </c>
      <c r="C7128" t="s">
        <v>24</v>
      </c>
      <c r="D7128">
        <v>1</v>
      </c>
    </row>
    <row r="7129" spans="1:4" ht="15.75" customHeight="1">
      <c r="A7129" t="s">
        <v>2694</v>
      </c>
      <c r="B7129" t="s">
        <v>38</v>
      </c>
      <c r="C7129" t="s">
        <v>24</v>
      </c>
      <c r="D7129">
        <v>1</v>
      </c>
    </row>
    <row r="7130" spans="1:4" ht="15.75" customHeight="1">
      <c r="A7130" t="s">
        <v>549</v>
      </c>
      <c r="B7130" t="s">
        <v>38</v>
      </c>
      <c r="C7130" t="s">
        <v>24</v>
      </c>
      <c r="D7130">
        <v>1</v>
      </c>
    </row>
    <row r="7131" spans="1:4" ht="15.75" customHeight="1">
      <c r="A7131" t="s">
        <v>1291</v>
      </c>
      <c r="B7131" t="s">
        <v>38</v>
      </c>
      <c r="C7131" t="s">
        <v>24</v>
      </c>
      <c r="D7131">
        <v>1</v>
      </c>
    </row>
    <row r="7132" spans="1:4" ht="15.75" customHeight="1">
      <c r="A7132" t="s">
        <v>4765</v>
      </c>
      <c r="B7132" t="s">
        <v>38</v>
      </c>
      <c r="C7132" t="s">
        <v>24</v>
      </c>
      <c r="D7132">
        <v>1</v>
      </c>
    </row>
    <row r="7133" spans="1:4" ht="15.75" customHeight="1">
      <c r="A7133" t="s">
        <v>2654</v>
      </c>
      <c r="B7133" t="s">
        <v>38</v>
      </c>
      <c r="C7133" t="s">
        <v>24</v>
      </c>
      <c r="D7133">
        <v>1</v>
      </c>
    </row>
    <row r="7134" spans="1:4" ht="15.75" customHeight="1">
      <c r="A7134" t="s">
        <v>1772</v>
      </c>
      <c r="B7134" t="s">
        <v>38</v>
      </c>
      <c r="C7134" t="s">
        <v>24</v>
      </c>
      <c r="D7134">
        <v>1</v>
      </c>
    </row>
    <row r="7135" spans="1:4" ht="15.75" customHeight="1">
      <c r="A7135" t="s">
        <v>4134</v>
      </c>
      <c r="B7135" t="s">
        <v>38</v>
      </c>
      <c r="C7135" t="s">
        <v>24</v>
      </c>
      <c r="D7135">
        <v>1</v>
      </c>
    </row>
    <row r="7136" spans="1:4" ht="15.75" customHeight="1">
      <c r="A7136" t="s">
        <v>4777</v>
      </c>
      <c r="B7136" t="s">
        <v>38</v>
      </c>
      <c r="C7136" t="s">
        <v>24</v>
      </c>
      <c r="D7136">
        <v>1</v>
      </c>
    </row>
    <row r="7137" spans="1:4" ht="15.75" customHeight="1">
      <c r="A7137" t="s">
        <v>3595</v>
      </c>
      <c r="B7137" t="s">
        <v>38</v>
      </c>
      <c r="C7137" t="s">
        <v>24</v>
      </c>
      <c r="D7137">
        <v>1</v>
      </c>
    </row>
    <row r="7138" spans="1:4" ht="15.75" customHeight="1">
      <c r="A7138" t="s">
        <v>4784</v>
      </c>
      <c r="B7138" t="s">
        <v>38</v>
      </c>
      <c r="C7138" t="s">
        <v>24</v>
      </c>
      <c r="D7138">
        <v>1</v>
      </c>
    </row>
    <row r="7139" spans="1:4" ht="15.75" customHeight="1">
      <c r="A7139" t="s">
        <v>4738</v>
      </c>
      <c r="B7139" t="s">
        <v>38</v>
      </c>
      <c r="C7139" t="s">
        <v>24</v>
      </c>
      <c r="D7139">
        <v>1</v>
      </c>
    </row>
    <row r="7140" spans="1:4" ht="15.75" customHeight="1">
      <c r="A7140" t="s">
        <v>4031</v>
      </c>
      <c r="B7140" t="s">
        <v>38</v>
      </c>
      <c r="C7140" t="s">
        <v>24</v>
      </c>
      <c r="D7140">
        <v>1</v>
      </c>
    </row>
    <row r="7141" spans="1:4" ht="15.75" customHeight="1">
      <c r="A7141" t="s">
        <v>1723</v>
      </c>
      <c r="B7141" t="s">
        <v>38</v>
      </c>
      <c r="C7141" t="s">
        <v>24</v>
      </c>
      <c r="D7141">
        <v>1</v>
      </c>
    </row>
    <row r="7142" spans="1:4" ht="15.75" customHeight="1">
      <c r="A7142" t="s">
        <v>4016</v>
      </c>
      <c r="B7142" t="s">
        <v>38</v>
      </c>
      <c r="C7142" t="s">
        <v>24</v>
      </c>
      <c r="D7142">
        <v>1</v>
      </c>
    </row>
    <row r="7143" spans="1:4" ht="15.75" customHeight="1">
      <c r="A7143" t="s">
        <v>1264</v>
      </c>
      <c r="B7143" t="s">
        <v>38</v>
      </c>
      <c r="C7143" t="s">
        <v>24</v>
      </c>
      <c r="D7143">
        <v>1</v>
      </c>
    </row>
    <row r="7144" spans="1:4" ht="15.75" customHeight="1">
      <c r="A7144" t="s">
        <v>1774</v>
      </c>
      <c r="B7144" t="s">
        <v>38</v>
      </c>
      <c r="C7144" t="s">
        <v>24</v>
      </c>
      <c r="D7144">
        <v>1</v>
      </c>
    </row>
    <row r="7145" spans="1:4" ht="15.75" customHeight="1">
      <c r="A7145" t="s">
        <v>2678</v>
      </c>
      <c r="B7145" t="s">
        <v>38</v>
      </c>
      <c r="C7145" t="s">
        <v>24</v>
      </c>
      <c r="D7145">
        <v>1</v>
      </c>
    </row>
    <row r="7146" spans="1:4" ht="15.75" customHeight="1">
      <c r="A7146" t="s">
        <v>2675</v>
      </c>
      <c r="B7146" t="s">
        <v>38</v>
      </c>
      <c r="C7146" t="s">
        <v>24</v>
      </c>
      <c r="D7146">
        <v>1</v>
      </c>
    </row>
    <row r="7147" spans="1:4" ht="15.75" customHeight="1">
      <c r="A7147" t="s">
        <v>3201</v>
      </c>
      <c r="B7147" t="s">
        <v>38</v>
      </c>
      <c r="C7147" t="s">
        <v>24</v>
      </c>
      <c r="D7147">
        <v>1</v>
      </c>
    </row>
    <row r="7148" spans="1:4" ht="15.75" customHeight="1">
      <c r="A7148" t="s">
        <v>3304</v>
      </c>
      <c r="B7148" t="s">
        <v>38</v>
      </c>
      <c r="C7148" t="s">
        <v>24</v>
      </c>
      <c r="D7148">
        <v>1</v>
      </c>
    </row>
    <row r="7149" spans="1:4" ht="15.75" customHeight="1">
      <c r="A7149" t="s">
        <v>3217</v>
      </c>
      <c r="B7149" t="s">
        <v>38</v>
      </c>
      <c r="C7149" t="s">
        <v>24</v>
      </c>
      <c r="D7149">
        <v>1</v>
      </c>
    </row>
    <row r="7150" spans="1:4" ht="15.75" customHeight="1">
      <c r="A7150" t="s">
        <v>4038</v>
      </c>
      <c r="B7150" t="s">
        <v>38</v>
      </c>
      <c r="C7150" t="s">
        <v>24</v>
      </c>
      <c r="D7150">
        <v>1</v>
      </c>
    </row>
    <row r="7151" spans="1:4" ht="15.75" customHeight="1">
      <c r="A7151" t="s">
        <v>3266</v>
      </c>
      <c r="B7151" t="s">
        <v>38</v>
      </c>
      <c r="C7151" t="s">
        <v>24</v>
      </c>
      <c r="D7151">
        <v>1</v>
      </c>
    </row>
    <row r="7152" spans="1:4" ht="15.75" customHeight="1">
      <c r="A7152" t="s">
        <v>4397</v>
      </c>
      <c r="B7152" t="s">
        <v>38</v>
      </c>
      <c r="C7152" t="s">
        <v>24</v>
      </c>
      <c r="D7152">
        <v>1</v>
      </c>
    </row>
    <row r="7153" spans="1:4" ht="15.75" customHeight="1">
      <c r="A7153" t="s">
        <v>4779</v>
      </c>
      <c r="B7153" t="s">
        <v>38</v>
      </c>
      <c r="C7153" t="s">
        <v>24</v>
      </c>
      <c r="D7153">
        <v>1</v>
      </c>
    </row>
    <row r="7154" spans="1:4" ht="15.75" customHeight="1">
      <c r="A7154" t="s">
        <v>1797</v>
      </c>
      <c r="B7154" t="s">
        <v>38</v>
      </c>
      <c r="C7154" t="s">
        <v>24</v>
      </c>
      <c r="D7154">
        <v>1</v>
      </c>
    </row>
    <row r="7155" spans="1:4" ht="15.75" customHeight="1">
      <c r="A7155" t="s">
        <v>513</v>
      </c>
      <c r="B7155" t="s">
        <v>38</v>
      </c>
      <c r="C7155" t="s">
        <v>24</v>
      </c>
      <c r="D7155">
        <v>1</v>
      </c>
    </row>
    <row r="7156" spans="1:4" ht="15.75" customHeight="1">
      <c r="A7156" t="s">
        <v>1776</v>
      </c>
      <c r="B7156" t="s">
        <v>38</v>
      </c>
      <c r="C7156" t="s">
        <v>24</v>
      </c>
      <c r="D7156">
        <v>1</v>
      </c>
    </row>
    <row r="7157" spans="1:4" ht="15.75" customHeight="1">
      <c r="A7157" t="s">
        <v>3261</v>
      </c>
      <c r="B7157" t="s">
        <v>38</v>
      </c>
      <c r="C7157" t="s">
        <v>24</v>
      </c>
      <c r="D7157">
        <v>1</v>
      </c>
    </row>
    <row r="7158" spans="1:4" ht="15.75" customHeight="1">
      <c r="A7158" t="s">
        <v>3681</v>
      </c>
      <c r="B7158" t="s">
        <v>38</v>
      </c>
      <c r="C7158" t="s">
        <v>24</v>
      </c>
      <c r="D7158">
        <v>1</v>
      </c>
    </row>
    <row r="7159" spans="1:4" ht="15.75" customHeight="1">
      <c r="A7159" t="s">
        <v>3306</v>
      </c>
      <c r="B7159" t="s">
        <v>38</v>
      </c>
      <c r="C7159" t="s">
        <v>24</v>
      </c>
      <c r="D7159">
        <v>1</v>
      </c>
    </row>
    <row r="7160" spans="1:4" ht="15.75" customHeight="1">
      <c r="A7160" t="s">
        <v>3269</v>
      </c>
      <c r="B7160" t="s">
        <v>38</v>
      </c>
      <c r="C7160" t="s">
        <v>24</v>
      </c>
      <c r="D7160">
        <v>1</v>
      </c>
    </row>
    <row r="7161" spans="1:4" ht="15.75" customHeight="1">
      <c r="A7161" t="s">
        <v>1238</v>
      </c>
      <c r="B7161" t="s">
        <v>38</v>
      </c>
      <c r="C7161" t="s">
        <v>24</v>
      </c>
      <c r="D7161">
        <v>1</v>
      </c>
    </row>
    <row r="7162" spans="1:4" ht="15.75" customHeight="1">
      <c r="A7162" t="s">
        <v>4740</v>
      </c>
      <c r="B7162" t="s">
        <v>38</v>
      </c>
      <c r="C7162" t="s">
        <v>24</v>
      </c>
      <c r="D7162">
        <v>1</v>
      </c>
    </row>
    <row r="7163" spans="1:4" ht="15.75" customHeight="1">
      <c r="A7163" t="s">
        <v>3308</v>
      </c>
      <c r="B7163" t="s">
        <v>38</v>
      </c>
      <c r="C7163" t="s">
        <v>24</v>
      </c>
      <c r="D7163">
        <v>1</v>
      </c>
    </row>
    <row r="7164" spans="1:4" ht="15.75" customHeight="1">
      <c r="A7164" t="s">
        <v>3144</v>
      </c>
      <c r="B7164" t="s">
        <v>38</v>
      </c>
      <c r="C7164" t="s">
        <v>24</v>
      </c>
      <c r="D7164">
        <v>1</v>
      </c>
    </row>
    <row r="7165" spans="1:4" ht="15.75" customHeight="1">
      <c r="A7165" t="s">
        <v>2788</v>
      </c>
      <c r="B7165" t="s">
        <v>38</v>
      </c>
      <c r="C7165" t="s">
        <v>24</v>
      </c>
      <c r="D7165">
        <v>1</v>
      </c>
    </row>
    <row r="7166" spans="1:4" ht="15.75" customHeight="1">
      <c r="A7166" t="s">
        <v>4837</v>
      </c>
      <c r="B7166" t="s">
        <v>38</v>
      </c>
      <c r="C7166" t="s">
        <v>24</v>
      </c>
      <c r="D7166">
        <v>1</v>
      </c>
    </row>
    <row r="7167" spans="1:4" ht="15.75" customHeight="1">
      <c r="A7167" t="s">
        <v>4839</v>
      </c>
      <c r="B7167" t="s">
        <v>38</v>
      </c>
      <c r="C7167" t="s">
        <v>24</v>
      </c>
      <c r="D7167">
        <v>1</v>
      </c>
    </row>
    <row r="7168" spans="1:4" ht="15.75" customHeight="1">
      <c r="A7168" t="s">
        <v>2258</v>
      </c>
      <c r="B7168" t="s">
        <v>38</v>
      </c>
      <c r="C7168" t="s">
        <v>24</v>
      </c>
      <c r="D7168">
        <v>1</v>
      </c>
    </row>
    <row r="7169" spans="1:4" ht="15.75" customHeight="1">
      <c r="A7169" t="s">
        <v>591</v>
      </c>
      <c r="B7169" t="s">
        <v>38</v>
      </c>
      <c r="C7169" t="s">
        <v>24</v>
      </c>
      <c r="D7169">
        <v>1</v>
      </c>
    </row>
    <row r="7170" spans="1:4" ht="15.75" customHeight="1">
      <c r="A7170" t="s">
        <v>2829</v>
      </c>
      <c r="B7170" t="s">
        <v>38</v>
      </c>
      <c r="C7170" t="s">
        <v>24</v>
      </c>
      <c r="D7170">
        <v>1</v>
      </c>
    </row>
    <row r="7171" spans="1:4" ht="15.75" customHeight="1">
      <c r="A7171" t="s">
        <v>2721</v>
      </c>
      <c r="B7171" t="s">
        <v>38</v>
      </c>
      <c r="C7171" t="s">
        <v>24</v>
      </c>
      <c r="D7171">
        <v>1</v>
      </c>
    </row>
    <row r="7172" spans="1:4" ht="15.75" customHeight="1">
      <c r="A7172" t="s">
        <v>4083</v>
      </c>
      <c r="B7172" t="s">
        <v>38</v>
      </c>
      <c r="C7172" t="s">
        <v>24</v>
      </c>
      <c r="D7172">
        <v>1</v>
      </c>
    </row>
    <row r="7173" spans="1:4" ht="15.75" customHeight="1">
      <c r="A7173" t="s">
        <v>3664</v>
      </c>
      <c r="B7173" t="s">
        <v>38</v>
      </c>
      <c r="C7173" t="s">
        <v>24</v>
      </c>
      <c r="D7173">
        <v>1</v>
      </c>
    </row>
    <row r="7174" spans="1:4" ht="15.75" customHeight="1">
      <c r="A7174" t="s">
        <v>1323</v>
      </c>
      <c r="B7174" t="s">
        <v>38</v>
      </c>
      <c r="C7174" t="s">
        <v>24</v>
      </c>
      <c r="D7174">
        <v>1</v>
      </c>
    </row>
    <row r="7175" spans="1:4" ht="15.75" customHeight="1">
      <c r="A7175" t="s">
        <v>4821</v>
      </c>
      <c r="B7175" t="s">
        <v>38</v>
      </c>
      <c r="C7175" t="s">
        <v>24</v>
      </c>
      <c r="D7175">
        <v>1</v>
      </c>
    </row>
    <row r="7176" spans="1:4" ht="15.75" customHeight="1">
      <c r="A7176" t="s">
        <v>3219</v>
      </c>
      <c r="B7176" t="s">
        <v>38</v>
      </c>
      <c r="C7176" t="s">
        <v>24</v>
      </c>
      <c r="D7176">
        <v>1</v>
      </c>
    </row>
    <row r="7177" spans="1:4" ht="15.75" customHeight="1">
      <c r="A7177" t="s">
        <v>3684</v>
      </c>
      <c r="B7177" t="s">
        <v>38</v>
      </c>
      <c r="C7177" t="s">
        <v>24</v>
      </c>
      <c r="D7177">
        <v>1</v>
      </c>
    </row>
    <row r="7178" spans="1:4" ht="15.75" customHeight="1">
      <c r="A7178" t="s">
        <v>4430</v>
      </c>
      <c r="B7178" t="s">
        <v>38</v>
      </c>
      <c r="C7178" t="s">
        <v>24</v>
      </c>
      <c r="D7178">
        <v>1</v>
      </c>
    </row>
    <row r="7179" spans="1:4" ht="15.75" customHeight="1">
      <c r="A7179" t="s">
        <v>2801</v>
      </c>
      <c r="B7179" t="s">
        <v>38</v>
      </c>
      <c r="C7179" t="s">
        <v>24</v>
      </c>
      <c r="D7179">
        <v>1</v>
      </c>
    </row>
    <row r="7180" spans="1:4" ht="15.75" customHeight="1">
      <c r="A7180" t="s">
        <v>3675</v>
      </c>
      <c r="B7180" t="s">
        <v>38</v>
      </c>
      <c r="C7180" t="s">
        <v>24</v>
      </c>
      <c r="D7180">
        <v>1</v>
      </c>
    </row>
    <row r="7181" spans="1:4" ht="15.75" customHeight="1">
      <c r="A7181" t="s">
        <v>4829</v>
      </c>
      <c r="B7181" t="s">
        <v>38</v>
      </c>
      <c r="C7181" t="s">
        <v>24</v>
      </c>
      <c r="D7181">
        <v>1</v>
      </c>
    </row>
    <row r="7182" spans="1:4" ht="15.75" customHeight="1">
      <c r="A7182" t="s">
        <v>2231</v>
      </c>
      <c r="B7182" t="s">
        <v>38</v>
      </c>
      <c r="C7182" t="s">
        <v>24</v>
      </c>
      <c r="D7182">
        <v>1</v>
      </c>
    </row>
    <row r="7183" spans="1:4" ht="15.75" customHeight="1">
      <c r="A7183" t="s">
        <v>3712</v>
      </c>
      <c r="B7183" t="s">
        <v>38</v>
      </c>
      <c r="C7183" t="s">
        <v>24</v>
      </c>
      <c r="D7183">
        <v>1</v>
      </c>
    </row>
    <row r="7184" spans="1:4" ht="15.75" customHeight="1">
      <c r="A7184" t="s">
        <v>666</v>
      </c>
      <c r="B7184" t="s">
        <v>38</v>
      </c>
      <c r="C7184" t="s">
        <v>24</v>
      </c>
      <c r="D7184">
        <v>1</v>
      </c>
    </row>
    <row r="7185" spans="1:4" ht="15.75" customHeight="1">
      <c r="A7185" t="s">
        <v>2164</v>
      </c>
      <c r="B7185" t="s">
        <v>38</v>
      </c>
      <c r="C7185" t="s">
        <v>24</v>
      </c>
      <c r="D7185">
        <v>1</v>
      </c>
    </row>
    <row r="7186" spans="1:4" ht="15.75" customHeight="1">
      <c r="A7186" t="s">
        <v>4724</v>
      </c>
      <c r="B7186" t="s">
        <v>38</v>
      </c>
      <c r="C7186" t="s">
        <v>24</v>
      </c>
      <c r="D7186">
        <v>1</v>
      </c>
    </row>
    <row r="7187" spans="1:4" ht="15.75" customHeight="1">
      <c r="A7187" t="s">
        <v>675</v>
      </c>
      <c r="B7187" t="s">
        <v>38</v>
      </c>
      <c r="C7187" t="s">
        <v>24</v>
      </c>
      <c r="D7187">
        <v>1</v>
      </c>
    </row>
    <row r="7188" spans="1:4" ht="15.75" customHeight="1">
      <c r="A7188" t="s">
        <v>4742</v>
      </c>
      <c r="B7188" t="s">
        <v>38</v>
      </c>
      <c r="C7188" t="s">
        <v>24</v>
      </c>
      <c r="D7188">
        <v>1</v>
      </c>
    </row>
    <row r="7189" spans="1:4" ht="15.75" customHeight="1">
      <c r="A7189" t="s">
        <v>4089</v>
      </c>
      <c r="B7189" t="s">
        <v>38</v>
      </c>
      <c r="C7189" t="s">
        <v>24</v>
      </c>
      <c r="D7189">
        <v>1</v>
      </c>
    </row>
    <row r="7190" spans="1:4" ht="15.75" customHeight="1">
      <c r="A7190" t="s">
        <v>4101</v>
      </c>
      <c r="B7190" t="s">
        <v>38</v>
      </c>
      <c r="C7190" t="s">
        <v>24</v>
      </c>
      <c r="D7190">
        <v>1</v>
      </c>
    </row>
    <row r="7191" spans="1:4" ht="15.75" customHeight="1">
      <c r="A7191" t="s">
        <v>2233</v>
      </c>
      <c r="B7191" t="s">
        <v>38</v>
      </c>
      <c r="C7191" t="s">
        <v>24</v>
      </c>
      <c r="D7191">
        <v>1</v>
      </c>
    </row>
    <row r="7192" spans="1:4" ht="15.75" customHeight="1">
      <c r="A7192" t="s">
        <v>4126</v>
      </c>
      <c r="B7192" t="s">
        <v>38</v>
      </c>
      <c r="C7192" t="s">
        <v>24</v>
      </c>
      <c r="D7192">
        <v>1</v>
      </c>
    </row>
    <row r="7193" spans="1:4" ht="15.75" customHeight="1">
      <c r="A7193" t="s">
        <v>2834</v>
      </c>
      <c r="B7193" t="s">
        <v>38</v>
      </c>
      <c r="C7193" t="s">
        <v>24</v>
      </c>
      <c r="D7193">
        <v>1</v>
      </c>
    </row>
    <row r="7194" spans="1:4" ht="15.75" customHeight="1">
      <c r="A7194" t="s">
        <v>563</v>
      </c>
      <c r="B7194" t="s">
        <v>38</v>
      </c>
      <c r="C7194" t="s">
        <v>24</v>
      </c>
      <c r="D7194">
        <v>1</v>
      </c>
    </row>
    <row r="7195" spans="1:4" ht="15.75" customHeight="1">
      <c r="A7195" t="s">
        <v>4136</v>
      </c>
      <c r="B7195" t="s">
        <v>38</v>
      </c>
      <c r="C7195" t="s">
        <v>24</v>
      </c>
      <c r="D7195">
        <v>1</v>
      </c>
    </row>
    <row r="7196" spans="1:4" ht="15.75" customHeight="1">
      <c r="A7196" t="s">
        <v>4059</v>
      </c>
      <c r="B7196" t="s">
        <v>38</v>
      </c>
      <c r="C7196" t="s">
        <v>24</v>
      </c>
      <c r="D7196">
        <v>1</v>
      </c>
    </row>
    <row r="7197" spans="1:4" ht="15.75" customHeight="1">
      <c r="A7197" t="s">
        <v>669</v>
      </c>
      <c r="B7197" t="s">
        <v>38</v>
      </c>
      <c r="C7197" t="s">
        <v>24</v>
      </c>
      <c r="D7197">
        <v>1</v>
      </c>
    </row>
    <row r="7198" spans="1:4" ht="15.75" customHeight="1">
      <c r="A7198" t="s">
        <v>613</v>
      </c>
      <c r="B7198" t="s">
        <v>38</v>
      </c>
      <c r="C7198" t="s">
        <v>24</v>
      </c>
      <c r="D7198">
        <v>1</v>
      </c>
    </row>
    <row r="7199" spans="1:4" ht="15.75" customHeight="1">
      <c r="A7199" t="s">
        <v>527</v>
      </c>
      <c r="B7199" t="s">
        <v>38</v>
      </c>
      <c r="C7199" t="s">
        <v>24</v>
      </c>
      <c r="D7199">
        <v>1</v>
      </c>
    </row>
    <row r="7200" spans="1:4" ht="15.75" customHeight="1">
      <c r="A7200" t="s">
        <v>648</v>
      </c>
      <c r="B7200" t="s">
        <v>38</v>
      </c>
      <c r="C7200" t="s">
        <v>24</v>
      </c>
      <c r="D7200">
        <v>1</v>
      </c>
    </row>
    <row r="7201" spans="1:4" ht="15.75" customHeight="1">
      <c r="A7201" t="s">
        <v>1229</v>
      </c>
      <c r="B7201" t="s">
        <v>38</v>
      </c>
      <c r="C7201" t="s">
        <v>24</v>
      </c>
      <c r="D7201">
        <v>1</v>
      </c>
    </row>
    <row r="7202" spans="1:4" ht="15.75" customHeight="1">
      <c r="A7202" t="s">
        <v>1270</v>
      </c>
      <c r="B7202" t="s">
        <v>38</v>
      </c>
      <c r="C7202" t="s">
        <v>24</v>
      </c>
      <c r="D7202">
        <v>1</v>
      </c>
    </row>
    <row r="7203" spans="1:4" ht="15.75" customHeight="1">
      <c r="A7203" t="s">
        <v>460</v>
      </c>
      <c r="B7203" t="s">
        <v>38</v>
      </c>
      <c r="C7203" t="s">
        <v>24</v>
      </c>
      <c r="D7203">
        <v>1</v>
      </c>
    </row>
    <row r="7204" spans="1:4" ht="15.75" customHeight="1">
      <c r="A7204" t="s">
        <v>4376</v>
      </c>
      <c r="B7204" t="s">
        <v>38</v>
      </c>
      <c r="C7204" t="s">
        <v>24</v>
      </c>
      <c r="D7204">
        <v>1</v>
      </c>
    </row>
    <row r="7205" spans="1:4" ht="15.75" customHeight="1">
      <c r="A7205" t="s">
        <v>4835</v>
      </c>
      <c r="B7205" t="s">
        <v>38</v>
      </c>
      <c r="C7205" t="s">
        <v>24</v>
      </c>
      <c r="D7205">
        <v>1</v>
      </c>
    </row>
    <row r="7206" spans="1:4" ht="15.75" customHeight="1">
      <c r="A7206" t="s">
        <v>3714</v>
      </c>
      <c r="B7206" t="s">
        <v>38</v>
      </c>
      <c r="C7206" t="s">
        <v>24</v>
      </c>
      <c r="D7206">
        <v>1</v>
      </c>
    </row>
    <row r="7207" spans="1:4" ht="15.75" customHeight="1">
      <c r="A7207" t="s">
        <v>2767</v>
      </c>
      <c r="B7207" t="s">
        <v>38</v>
      </c>
      <c r="C7207" t="s">
        <v>24</v>
      </c>
      <c r="D7207">
        <v>1</v>
      </c>
    </row>
    <row r="7208" spans="1:4" ht="15.75" customHeight="1">
      <c r="A7208" t="s">
        <v>1293</v>
      </c>
      <c r="B7208" t="s">
        <v>38</v>
      </c>
      <c r="C7208" t="s">
        <v>24</v>
      </c>
      <c r="D7208">
        <v>1</v>
      </c>
    </row>
    <row r="7209" spans="1:4" ht="15.75" customHeight="1">
      <c r="A7209" t="s">
        <v>2725</v>
      </c>
      <c r="B7209" t="s">
        <v>38</v>
      </c>
      <c r="C7209" t="s">
        <v>24</v>
      </c>
      <c r="D7209">
        <v>1</v>
      </c>
    </row>
    <row r="7210" spans="1:4" ht="15.75" customHeight="1">
      <c r="A7210" t="s">
        <v>2783</v>
      </c>
      <c r="B7210" t="s">
        <v>38</v>
      </c>
      <c r="C7210" t="s">
        <v>24</v>
      </c>
      <c r="D7210">
        <v>1</v>
      </c>
    </row>
    <row r="7211" spans="1:4" ht="15.75" customHeight="1">
      <c r="A7211" t="s">
        <v>2837</v>
      </c>
      <c r="B7211" t="s">
        <v>38</v>
      </c>
      <c r="C7211" t="s">
        <v>24</v>
      </c>
      <c r="D7211">
        <v>1</v>
      </c>
    </row>
    <row r="7212" spans="1:4" ht="15.75" customHeight="1">
      <c r="A7212" t="s">
        <v>4799</v>
      </c>
      <c r="B7212" t="s">
        <v>38</v>
      </c>
      <c r="C7212" t="s">
        <v>24</v>
      </c>
      <c r="D7212">
        <v>1</v>
      </c>
    </row>
    <row r="7213" spans="1:4" ht="15.75" customHeight="1">
      <c r="A7213" t="s">
        <v>3203</v>
      </c>
      <c r="B7213" t="s">
        <v>38</v>
      </c>
      <c r="C7213" t="s">
        <v>24</v>
      </c>
      <c r="D7213">
        <v>1</v>
      </c>
    </row>
    <row r="7214" spans="1:4" ht="15.75" customHeight="1">
      <c r="A7214" t="s">
        <v>565</v>
      </c>
      <c r="B7214" t="s">
        <v>38</v>
      </c>
      <c r="C7214" t="s">
        <v>24</v>
      </c>
      <c r="D7214">
        <v>1</v>
      </c>
    </row>
    <row r="7215" spans="1:4" ht="15.75" customHeight="1">
      <c r="A7215" t="s">
        <v>1778</v>
      </c>
      <c r="B7215" t="s">
        <v>38</v>
      </c>
      <c r="C7215" t="s">
        <v>24</v>
      </c>
      <c r="D7215">
        <v>1</v>
      </c>
    </row>
    <row r="7216" spans="1:4" ht="15.75" customHeight="1">
      <c r="A7216" t="s">
        <v>3146</v>
      </c>
      <c r="B7216" t="s">
        <v>38</v>
      </c>
      <c r="C7216" t="s">
        <v>24</v>
      </c>
      <c r="D7216">
        <v>1</v>
      </c>
    </row>
    <row r="7217" spans="1:4" ht="15.75" customHeight="1">
      <c r="A7217" t="s">
        <v>4416</v>
      </c>
      <c r="B7217" t="s">
        <v>38</v>
      </c>
      <c r="C7217" t="s">
        <v>24</v>
      </c>
      <c r="D7217">
        <v>1</v>
      </c>
    </row>
    <row r="7218" spans="1:4" ht="15.75" customHeight="1">
      <c r="A7218" t="s">
        <v>4767</v>
      </c>
      <c r="B7218" t="s">
        <v>38</v>
      </c>
      <c r="C7218" t="s">
        <v>24</v>
      </c>
      <c r="D7218">
        <v>1</v>
      </c>
    </row>
    <row r="7219" spans="1:4" ht="15.75" customHeight="1">
      <c r="A7219" t="s">
        <v>2166</v>
      </c>
      <c r="B7219" t="s">
        <v>38</v>
      </c>
      <c r="C7219" t="s">
        <v>24</v>
      </c>
      <c r="D7219">
        <v>1</v>
      </c>
    </row>
    <row r="7220" spans="1:4" ht="15.75" customHeight="1">
      <c r="A7220" t="s">
        <v>4792</v>
      </c>
      <c r="B7220" t="s">
        <v>38</v>
      </c>
      <c r="C7220" t="s">
        <v>24</v>
      </c>
      <c r="D7220">
        <v>1</v>
      </c>
    </row>
    <row r="7221" spans="1:4" ht="15.75" customHeight="1">
      <c r="A7221" t="s">
        <v>4731</v>
      </c>
      <c r="B7221" t="s">
        <v>38</v>
      </c>
      <c r="C7221" t="s">
        <v>24</v>
      </c>
      <c r="D7221">
        <v>1</v>
      </c>
    </row>
    <row r="7222" spans="1:4" ht="15.75" customHeight="1">
      <c r="A7222" t="s">
        <v>4138</v>
      </c>
      <c r="B7222" t="s">
        <v>38</v>
      </c>
      <c r="C7222" t="s">
        <v>24</v>
      </c>
      <c r="D7222">
        <v>1</v>
      </c>
    </row>
    <row r="7223" spans="1:4" ht="15.75" customHeight="1">
      <c r="A7223" t="s">
        <v>3224</v>
      </c>
      <c r="B7223" t="s">
        <v>38</v>
      </c>
      <c r="C7223" t="s">
        <v>24</v>
      </c>
      <c r="D7223">
        <v>1</v>
      </c>
    </row>
    <row r="7224" spans="1:4" ht="15.75" customHeight="1">
      <c r="A7224" t="s">
        <v>3728</v>
      </c>
      <c r="B7224" t="s">
        <v>38</v>
      </c>
      <c r="C7224" t="s">
        <v>24</v>
      </c>
      <c r="D7224">
        <v>1</v>
      </c>
    </row>
    <row r="7225" spans="1:4" ht="15.75" customHeight="1">
      <c r="A7225" t="s">
        <v>4418</v>
      </c>
      <c r="B7225" t="s">
        <v>38</v>
      </c>
      <c r="C7225" t="s">
        <v>24</v>
      </c>
      <c r="D7225">
        <v>1</v>
      </c>
    </row>
    <row r="7226" spans="1:4" ht="15.75" customHeight="1">
      <c r="A7226" t="s">
        <v>4758</v>
      </c>
      <c r="B7226" t="s">
        <v>38</v>
      </c>
      <c r="C7226" t="s">
        <v>24</v>
      </c>
      <c r="D7226">
        <v>1</v>
      </c>
    </row>
    <row r="7227" spans="1:4" ht="15.75" customHeight="1">
      <c r="A7227" t="s">
        <v>4046</v>
      </c>
      <c r="B7227" t="s">
        <v>38</v>
      </c>
      <c r="C7227" t="s">
        <v>24</v>
      </c>
      <c r="D7227">
        <v>1</v>
      </c>
    </row>
    <row r="7228" spans="1:4" ht="15.75" customHeight="1">
      <c r="A7228" t="s">
        <v>544</v>
      </c>
      <c r="B7228" t="s">
        <v>38</v>
      </c>
      <c r="C7228" t="s">
        <v>24</v>
      </c>
      <c r="D7228">
        <v>1</v>
      </c>
    </row>
    <row r="7229" spans="1:4" ht="15.75" customHeight="1">
      <c r="A7229" t="s">
        <v>2671</v>
      </c>
      <c r="B7229" t="s">
        <v>38</v>
      </c>
      <c r="C7229" t="s">
        <v>24</v>
      </c>
      <c r="D7229">
        <v>1</v>
      </c>
    </row>
    <row r="7230" spans="1:4" ht="15.75" customHeight="1">
      <c r="A7230" t="s">
        <v>4103</v>
      </c>
      <c r="B7230" t="s">
        <v>38</v>
      </c>
      <c r="C7230" t="s">
        <v>24</v>
      </c>
      <c r="D7230">
        <v>1</v>
      </c>
    </row>
    <row r="7231" spans="1:4" ht="15.75" customHeight="1">
      <c r="A7231" t="s">
        <v>4733</v>
      </c>
      <c r="B7231" t="s">
        <v>38</v>
      </c>
      <c r="C7231" t="s">
        <v>24</v>
      </c>
      <c r="D7231">
        <v>1</v>
      </c>
    </row>
    <row r="7232" spans="1:4" ht="15.75" customHeight="1">
      <c r="A7232" t="s">
        <v>3196</v>
      </c>
      <c r="B7232" t="s">
        <v>38</v>
      </c>
      <c r="C7232" t="s">
        <v>24</v>
      </c>
      <c r="D7232">
        <v>1</v>
      </c>
    </row>
    <row r="7233" spans="1:4" ht="15.75" customHeight="1">
      <c r="A7233" t="s">
        <v>4726</v>
      </c>
      <c r="B7233" t="s">
        <v>38</v>
      </c>
      <c r="C7233" t="s">
        <v>24</v>
      </c>
      <c r="D7233">
        <v>1</v>
      </c>
    </row>
    <row r="7234" spans="1:4" ht="15.75" customHeight="1">
      <c r="A7234" t="s">
        <v>4369</v>
      </c>
      <c r="B7234" t="s">
        <v>38</v>
      </c>
      <c r="C7234" t="s">
        <v>24</v>
      </c>
      <c r="D7234">
        <v>1</v>
      </c>
    </row>
    <row r="7235" spans="1:4" ht="15.75" customHeight="1">
      <c r="A7235" t="s">
        <v>618</v>
      </c>
      <c r="B7235" t="s">
        <v>38</v>
      </c>
      <c r="C7235" t="s">
        <v>39</v>
      </c>
      <c r="D7235">
        <v>471</v>
      </c>
    </row>
    <row r="7236" spans="1:4" ht="15.75" customHeight="1">
      <c r="A7236" t="s">
        <v>644</v>
      </c>
      <c r="B7236" t="s">
        <v>38</v>
      </c>
      <c r="C7236" t="s">
        <v>39</v>
      </c>
      <c r="D7236">
        <v>467</v>
      </c>
    </row>
    <row r="7237" spans="1:4" ht="15.75" customHeight="1">
      <c r="A7237" t="s">
        <v>615</v>
      </c>
      <c r="B7237" t="s">
        <v>38</v>
      </c>
      <c r="C7237" t="s">
        <v>39</v>
      </c>
      <c r="D7237">
        <v>467</v>
      </c>
    </row>
    <row r="7238" spans="1:4" ht="15.75" customHeight="1">
      <c r="A7238" t="s">
        <v>1748</v>
      </c>
      <c r="B7238" t="s">
        <v>38</v>
      </c>
      <c r="C7238" t="s">
        <v>39</v>
      </c>
      <c r="D7238">
        <v>461</v>
      </c>
    </row>
    <row r="7239" spans="1:4" ht="15.75" customHeight="1">
      <c r="A7239" t="s">
        <v>567</v>
      </c>
      <c r="B7239" t="s">
        <v>38</v>
      </c>
      <c r="C7239" t="s">
        <v>39</v>
      </c>
      <c r="D7239">
        <v>459</v>
      </c>
    </row>
    <row r="7240" spans="1:4" ht="15.75" customHeight="1">
      <c r="A7240" t="s">
        <v>641</v>
      </c>
      <c r="B7240" t="s">
        <v>38</v>
      </c>
      <c r="C7240" t="s">
        <v>39</v>
      </c>
      <c r="D7240">
        <v>459</v>
      </c>
    </row>
    <row r="7241" spans="1:4" ht="15.75" customHeight="1">
      <c r="A7241" t="s">
        <v>518</v>
      </c>
      <c r="B7241" t="s">
        <v>38</v>
      </c>
      <c r="C7241" t="s">
        <v>39</v>
      </c>
      <c r="D7241">
        <v>459</v>
      </c>
    </row>
    <row r="7242" spans="1:4" ht="15.75" customHeight="1">
      <c r="A7242" t="s">
        <v>621</v>
      </c>
      <c r="B7242" t="s">
        <v>38</v>
      </c>
      <c r="C7242" t="s">
        <v>39</v>
      </c>
      <c r="D7242">
        <v>454</v>
      </c>
    </row>
    <row r="7243" spans="1:4" ht="15.75" customHeight="1">
      <c r="A7243" t="s">
        <v>655</v>
      </c>
      <c r="B7243" t="s">
        <v>38</v>
      </c>
      <c r="C7243" t="s">
        <v>39</v>
      </c>
      <c r="D7243">
        <v>451</v>
      </c>
    </row>
    <row r="7244" spans="1:4" ht="15.75" customHeight="1">
      <c r="A7244" t="s">
        <v>3668</v>
      </c>
      <c r="B7244" t="s">
        <v>38</v>
      </c>
      <c r="C7244" t="s">
        <v>39</v>
      </c>
      <c r="D7244">
        <v>450</v>
      </c>
    </row>
    <row r="7245" spans="1:4" ht="15.75" customHeight="1">
      <c r="A7245" t="s">
        <v>1416</v>
      </c>
      <c r="B7245" t="s">
        <v>38</v>
      </c>
      <c r="C7245" t="s">
        <v>39</v>
      </c>
      <c r="D7245">
        <v>449</v>
      </c>
    </row>
    <row r="7246" spans="1:4" ht="15.75" customHeight="1">
      <c r="A7246" t="s">
        <v>638</v>
      </c>
      <c r="B7246" t="s">
        <v>38</v>
      </c>
      <c r="C7246" t="s">
        <v>39</v>
      </c>
      <c r="D7246">
        <v>448</v>
      </c>
    </row>
    <row r="7247" spans="1:4" ht="15.75" customHeight="1">
      <c r="A7247" t="s">
        <v>1432</v>
      </c>
      <c r="B7247" t="s">
        <v>38</v>
      </c>
      <c r="C7247" t="s">
        <v>39</v>
      </c>
      <c r="D7247">
        <v>443</v>
      </c>
    </row>
    <row r="7248" spans="1:4" ht="15.75" customHeight="1">
      <c r="A7248" t="s">
        <v>1414</v>
      </c>
      <c r="B7248" t="s">
        <v>38</v>
      </c>
      <c r="C7248" t="s">
        <v>39</v>
      </c>
      <c r="D7248">
        <v>442</v>
      </c>
    </row>
    <row r="7249" spans="1:4" ht="15.75" customHeight="1">
      <c r="A7249" t="s">
        <v>658</v>
      </c>
      <c r="B7249" t="s">
        <v>38</v>
      </c>
      <c r="C7249" t="s">
        <v>39</v>
      </c>
      <c r="D7249">
        <v>442</v>
      </c>
    </row>
    <row r="7250" spans="1:4" ht="15.75" customHeight="1">
      <c r="A7250" t="s">
        <v>648</v>
      </c>
      <c r="B7250" t="s">
        <v>38</v>
      </c>
      <c r="C7250" t="s">
        <v>39</v>
      </c>
      <c r="D7250">
        <v>440</v>
      </c>
    </row>
    <row r="7251" spans="1:4" ht="15.75" customHeight="1">
      <c r="A7251" t="s">
        <v>1732</v>
      </c>
      <c r="B7251" t="s">
        <v>38</v>
      </c>
      <c r="C7251" t="s">
        <v>39</v>
      </c>
      <c r="D7251">
        <v>438</v>
      </c>
    </row>
    <row r="7252" spans="1:4" ht="15.75" customHeight="1">
      <c r="A7252" t="s">
        <v>697</v>
      </c>
      <c r="B7252" t="s">
        <v>38</v>
      </c>
      <c r="C7252" t="s">
        <v>39</v>
      </c>
      <c r="D7252">
        <v>437</v>
      </c>
    </row>
    <row r="7253" spans="1:4" ht="15.75" customHeight="1">
      <c r="A7253" t="s">
        <v>4128</v>
      </c>
      <c r="B7253" t="s">
        <v>38</v>
      </c>
      <c r="C7253" t="s">
        <v>39</v>
      </c>
      <c r="D7253">
        <v>436</v>
      </c>
    </row>
    <row r="7254" spans="1:4" ht="15.75" customHeight="1">
      <c r="A7254" t="s">
        <v>678</v>
      </c>
      <c r="B7254" t="s">
        <v>38</v>
      </c>
      <c r="C7254" t="s">
        <v>39</v>
      </c>
      <c r="D7254">
        <v>436</v>
      </c>
    </row>
    <row r="7255" spans="1:4" ht="15.75" customHeight="1">
      <c r="A7255" t="s">
        <v>653</v>
      </c>
      <c r="B7255" t="s">
        <v>38</v>
      </c>
      <c r="C7255" t="s">
        <v>39</v>
      </c>
      <c r="D7255">
        <v>435</v>
      </c>
    </row>
    <row r="7256" spans="1:4" ht="15.75" customHeight="1">
      <c r="A7256" t="s">
        <v>1377</v>
      </c>
      <c r="B7256" t="s">
        <v>38</v>
      </c>
      <c r="C7256" t="s">
        <v>39</v>
      </c>
      <c r="D7256">
        <v>435</v>
      </c>
    </row>
    <row r="7257" spans="1:4" ht="15.75" customHeight="1">
      <c r="A7257" t="s">
        <v>4103</v>
      </c>
      <c r="B7257" t="s">
        <v>38</v>
      </c>
      <c r="C7257" t="s">
        <v>39</v>
      </c>
      <c r="D7257">
        <v>433</v>
      </c>
    </row>
    <row r="7258" spans="1:4" ht="15.75" customHeight="1">
      <c r="A7258" t="s">
        <v>693</v>
      </c>
      <c r="B7258" t="s">
        <v>38</v>
      </c>
      <c r="C7258" t="s">
        <v>39</v>
      </c>
      <c r="D7258">
        <v>430</v>
      </c>
    </row>
    <row r="7259" spans="1:4" ht="15.75" customHeight="1">
      <c r="A7259" t="s">
        <v>635</v>
      </c>
      <c r="B7259" t="s">
        <v>38</v>
      </c>
      <c r="C7259" t="s">
        <v>39</v>
      </c>
      <c r="D7259">
        <v>429</v>
      </c>
    </row>
    <row r="7260" spans="1:4" ht="15.75" customHeight="1">
      <c r="A7260" t="s">
        <v>629</v>
      </c>
      <c r="B7260" t="s">
        <v>38</v>
      </c>
      <c r="C7260" t="s">
        <v>39</v>
      </c>
      <c r="D7260">
        <v>422</v>
      </c>
    </row>
    <row r="7261" spans="1:4" ht="15.75" customHeight="1">
      <c r="A7261" t="s">
        <v>2737</v>
      </c>
      <c r="B7261" t="s">
        <v>38</v>
      </c>
      <c r="C7261" t="s">
        <v>39</v>
      </c>
      <c r="D7261">
        <v>421</v>
      </c>
    </row>
    <row r="7262" spans="1:4" ht="15.75" customHeight="1">
      <c r="A7262" t="s">
        <v>666</v>
      </c>
      <c r="B7262" t="s">
        <v>38</v>
      </c>
      <c r="C7262" t="s">
        <v>39</v>
      </c>
      <c r="D7262">
        <v>419</v>
      </c>
    </row>
    <row r="7263" spans="1:4" ht="15.75" customHeight="1">
      <c r="A7263" t="s">
        <v>690</v>
      </c>
      <c r="B7263" t="s">
        <v>38</v>
      </c>
      <c r="C7263" t="s">
        <v>39</v>
      </c>
      <c r="D7263">
        <v>418</v>
      </c>
    </row>
    <row r="7264" spans="1:4" ht="15.75" customHeight="1">
      <c r="A7264" t="s">
        <v>1360</v>
      </c>
      <c r="B7264" t="s">
        <v>38</v>
      </c>
      <c r="C7264" t="s">
        <v>39</v>
      </c>
      <c r="D7264">
        <v>417</v>
      </c>
    </row>
    <row r="7265" spans="1:4" ht="15.75" customHeight="1">
      <c r="A7265" t="s">
        <v>1275</v>
      </c>
      <c r="B7265" t="s">
        <v>38</v>
      </c>
      <c r="C7265" t="s">
        <v>39</v>
      </c>
      <c r="D7265">
        <v>415</v>
      </c>
    </row>
    <row r="7266" spans="1:4" ht="15.75" customHeight="1">
      <c r="A7266" t="s">
        <v>4077</v>
      </c>
      <c r="B7266" t="s">
        <v>38</v>
      </c>
      <c r="C7266" t="s">
        <v>39</v>
      </c>
      <c r="D7266">
        <v>415</v>
      </c>
    </row>
    <row r="7267" spans="1:4" ht="15.75" customHeight="1">
      <c r="A7267" t="s">
        <v>4813</v>
      </c>
      <c r="B7267" t="s">
        <v>38</v>
      </c>
      <c r="C7267" t="s">
        <v>39</v>
      </c>
      <c r="D7267">
        <v>414</v>
      </c>
    </row>
    <row r="7268" spans="1:4" ht="15.75" customHeight="1">
      <c r="A7268" t="s">
        <v>661</v>
      </c>
      <c r="B7268" t="s">
        <v>38</v>
      </c>
      <c r="C7268" t="s">
        <v>39</v>
      </c>
      <c r="D7268">
        <v>412</v>
      </c>
    </row>
    <row r="7269" spans="1:4" ht="15.75" customHeight="1">
      <c r="A7269" t="s">
        <v>695</v>
      </c>
      <c r="B7269" t="s">
        <v>38</v>
      </c>
      <c r="C7269" t="s">
        <v>39</v>
      </c>
      <c r="D7269">
        <v>412</v>
      </c>
    </row>
    <row r="7270" spans="1:4" ht="15.75" customHeight="1">
      <c r="A7270" t="s">
        <v>3695</v>
      </c>
      <c r="B7270" t="s">
        <v>38</v>
      </c>
      <c r="C7270" t="s">
        <v>39</v>
      </c>
      <c r="D7270">
        <v>412</v>
      </c>
    </row>
    <row r="7271" spans="1:4" ht="15.75" customHeight="1">
      <c r="A7271" t="s">
        <v>1409</v>
      </c>
      <c r="B7271" t="s">
        <v>38</v>
      </c>
      <c r="C7271" t="s">
        <v>39</v>
      </c>
      <c r="D7271">
        <v>411</v>
      </c>
    </row>
    <row r="7272" spans="1:4" ht="15.75" customHeight="1">
      <c r="A7272" t="s">
        <v>1453</v>
      </c>
      <c r="B7272" t="s">
        <v>38</v>
      </c>
      <c r="C7272" t="s">
        <v>39</v>
      </c>
      <c r="D7272">
        <v>411</v>
      </c>
    </row>
    <row r="7273" spans="1:4" ht="15.75" customHeight="1">
      <c r="A7273" t="s">
        <v>684</v>
      </c>
      <c r="B7273" t="s">
        <v>38</v>
      </c>
      <c r="C7273" t="s">
        <v>39</v>
      </c>
      <c r="D7273">
        <v>410</v>
      </c>
    </row>
    <row r="7274" spans="1:4" ht="15.75" customHeight="1">
      <c r="A7274" t="s">
        <v>465</v>
      </c>
      <c r="B7274" t="s">
        <v>38</v>
      </c>
      <c r="C7274" t="s">
        <v>39</v>
      </c>
      <c r="D7274">
        <v>410</v>
      </c>
    </row>
    <row r="7275" spans="1:4" ht="15.75" customHeight="1">
      <c r="A7275" t="s">
        <v>632</v>
      </c>
      <c r="B7275" t="s">
        <v>38</v>
      </c>
      <c r="C7275" t="s">
        <v>39</v>
      </c>
      <c r="D7275">
        <v>409</v>
      </c>
    </row>
    <row r="7276" spans="1:4" ht="15.75" customHeight="1">
      <c r="A7276" t="s">
        <v>1725</v>
      </c>
      <c r="B7276" t="s">
        <v>38</v>
      </c>
      <c r="C7276" t="s">
        <v>39</v>
      </c>
      <c r="D7276">
        <v>409</v>
      </c>
    </row>
    <row r="7277" spans="1:4" ht="15.75" customHeight="1">
      <c r="A7277" t="s">
        <v>1380</v>
      </c>
      <c r="B7277" t="s">
        <v>38</v>
      </c>
      <c r="C7277" t="s">
        <v>39</v>
      </c>
      <c r="D7277">
        <v>408</v>
      </c>
    </row>
    <row r="7278" spans="1:4" ht="15.75" customHeight="1">
      <c r="A7278" t="s">
        <v>4430</v>
      </c>
      <c r="B7278" t="s">
        <v>38</v>
      </c>
      <c r="C7278" t="s">
        <v>39</v>
      </c>
      <c r="D7278">
        <v>408</v>
      </c>
    </row>
    <row r="7279" spans="1:4" ht="15.75" customHeight="1">
      <c r="A7279" t="s">
        <v>651</v>
      </c>
      <c r="B7279" t="s">
        <v>38</v>
      </c>
      <c r="C7279" t="s">
        <v>39</v>
      </c>
      <c r="D7279">
        <v>407</v>
      </c>
    </row>
    <row r="7280" spans="1:4" ht="15.75" customHeight="1">
      <c r="A7280" t="s">
        <v>1425</v>
      </c>
      <c r="B7280" t="s">
        <v>38</v>
      </c>
      <c r="C7280" t="s">
        <v>39</v>
      </c>
      <c r="D7280">
        <v>404</v>
      </c>
    </row>
    <row r="7281" spans="1:4" ht="15.75" customHeight="1">
      <c r="A7281" t="s">
        <v>688</v>
      </c>
      <c r="B7281" t="s">
        <v>38</v>
      </c>
      <c r="C7281" t="s">
        <v>39</v>
      </c>
      <c r="D7281">
        <v>403</v>
      </c>
    </row>
    <row r="7282" spans="1:4" ht="15.75" customHeight="1">
      <c r="A7282" t="s">
        <v>4386</v>
      </c>
      <c r="B7282" t="s">
        <v>38</v>
      </c>
      <c r="C7282" t="s">
        <v>39</v>
      </c>
      <c r="D7282">
        <v>402</v>
      </c>
    </row>
    <row r="7283" spans="1:4" ht="15.75" customHeight="1">
      <c r="A7283" t="s">
        <v>4399</v>
      </c>
      <c r="B7283" t="s">
        <v>38</v>
      </c>
      <c r="C7283" t="s">
        <v>39</v>
      </c>
      <c r="D7283">
        <v>399</v>
      </c>
    </row>
    <row r="7284" spans="1:4" ht="15.75" customHeight="1">
      <c r="A7284" t="s">
        <v>2188</v>
      </c>
      <c r="B7284" t="s">
        <v>38</v>
      </c>
      <c r="C7284" t="s">
        <v>39</v>
      </c>
      <c r="D7284">
        <v>398</v>
      </c>
    </row>
    <row r="7285" spans="1:4" ht="15.75" customHeight="1">
      <c r="A7285" t="s">
        <v>1730</v>
      </c>
      <c r="B7285" t="s">
        <v>38</v>
      </c>
      <c r="C7285" t="s">
        <v>39</v>
      </c>
      <c r="D7285">
        <v>397</v>
      </c>
    </row>
    <row r="7286" spans="1:4" ht="15.75" customHeight="1">
      <c r="A7286" t="s">
        <v>1316</v>
      </c>
      <c r="B7286" t="s">
        <v>38</v>
      </c>
      <c r="C7286" t="s">
        <v>39</v>
      </c>
      <c r="D7286">
        <v>397</v>
      </c>
    </row>
    <row r="7287" spans="1:4" ht="15.75" customHeight="1">
      <c r="A7287" t="s">
        <v>4807</v>
      </c>
      <c r="B7287" t="s">
        <v>38</v>
      </c>
      <c r="C7287" t="s">
        <v>39</v>
      </c>
      <c r="D7287">
        <v>396</v>
      </c>
    </row>
    <row r="7288" spans="1:4" ht="15.75" customHeight="1">
      <c r="A7288" t="s">
        <v>669</v>
      </c>
      <c r="B7288" t="s">
        <v>38</v>
      </c>
      <c r="C7288" t="s">
        <v>39</v>
      </c>
      <c r="D7288">
        <v>396</v>
      </c>
    </row>
    <row r="7289" spans="1:4" ht="15.75" customHeight="1">
      <c r="A7289" t="s">
        <v>2710</v>
      </c>
      <c r="B7289" t="s">
        <v>38</v>
      </c>
      <c r="C7289" t="s">
        <v>39</v>
      </c>
      <c r="D7289">
        <v>395</v>
      </c>
    </row>
    <row r="7290" spans="1:4" ht="15.75" customHeight="1">
      <c r="A7290" t="s">
        <v>1434</v>
      </c>
      <c r="B7290" t="s">
        <v>38</v>
      </c>
      <c r="C7290" t="s">
        <v>39</v>
      </c>
      <c r="D7290">
        <v>388</v>
      </c>
    </row>
    <row r="7291" spans="1:4" ht="15.75" customHeight="1">
      <c r="A7291" t="s">
        <v>3188</v>
      </c>
      <c r="B7291" t="s">
        <v>38</v>
      </c>
      <c r="C7291" t="s">
        <v>39</v>
      </c>
      <c r="D7291">
        <v>387</v>
      </c>
    </row>
    <row r="7292" spans="1:4" ht="15.75" customHeight="1">
      <c r="A7292" t="s">
        <v>4095</v>
      </c>
      <c r="B7292" t="s">
        <v>38</v>
      </c>
      <c r="C7292" t="s">
        <v>39</v>
      </c>
      <c r="D7292">
        <v>385</v>
      </c>
    </row>
    <row r="7293" spans="1:4" ht="15.75" customHeight="1">
      <c r="A7293" t="s">
        <v>471</v>
      </c>
      <c r="B7293" t="s">
        <v>38</v>
      </c>
      <c r="C7293" t="s">
        <v>39</v>
      </c>
      <c r="D7293">
        <v>384</v>
      </c>
    </row>
    <row r="7294" spans="1:4" ht="15.75" customHeight="1">
      <c r="A7294" t="s">
        <v>1261</v>
      </c>
      <c r="B7294" t="s">
        <v>38</v>
      </c>
      <c r="C7294" t="s">
        <v>39</v>
      </c>
      <c r="D7294">
        <v>382</v>
      </c>
    </row>
    <row r="7295" spans="1:4" ht="15.75" customHeight="1">
      <c r="A7295" t="s">
        <v>4833</v>
      </c>
      <c r="B7295" t="s">
        <v>38</v>
      </c>
      <c r="C7295" t="s">
        <v>39</v>
      </c>
      <c r="D7295">
        <v>382</v>
      </c>
    </row>
    <row r="7296" spans="1:4" ht="15.75" customHeight="1">
      <c r="A7296" t="s">
        <v>1373</v>
      </c>
      <c r="B7296" t="s">
        <v>38</v>
      </c>
      <c r="C7296" t="s">
        <v>39</v>
      </c>
      <c r="D7296">
        <v>380</v>
      </c>
    </row>
    <row r="7297" spans="1:4" ht="15.75" customHeight="1">
      <c r="A7297" t="s">
        <v>4130</v>
      </c>
      <c r="B7297" t="s">
        <v>38</v>
      </c>
      <c r="C7297" t="s">
        <v>39</v>
      </c>
      <c r="D7297">
        <v>379</v>
      </c>
    </row>
    <row r="7298" spans="1:4" ht="15.75" customHeight="1">
      <c r="A7298" t="s">
        <v>1349</v>
      </c>
      <c r="B7298" t="s">
        <v>38</v>
      </c>
      <c r="C7298" t="s">
        <v>39</v>
      </c>
      <c r="D7298">
        <v>377</v>
      </c>
    </row>
    <row r="7299" spans="1:4" ht="15.75" customHeight="1">
      <c r="A7299" t="s">
        <v>4093</v>
      </c>
      <c r="B7299" t="s">
        <v>38</v>
      </c>
      <c r="C7299" t="s">
        <v>39</v>
      </c>
      <c r="D7299">
        <v>376</v>
      </c>
    </row>
    <row r="7300" spans="1:4" ht="15.75" customHeight="1">
      <c r="A7300" t="s">
        <v>1430</v>
      </c>
      <c r="B7300" t="s">
        <v>38</v>
      </c>
      <c r="C7300" t="s">
        <v>39</v>
      </c>
      <c r="D7300">
        <v>372</v>
      </c>
    </row>
    <row r="7301" spans="1:4" ht="15.75" customHeight="1">
      <c r="A7301" t="s">
        <v>1366</v>
      </c>
      <c r="B7301" t="s">
        <v>38</v>
      </c>
      <c r="C7301" t="s">
        <v>39</v>
      </c>
      <c r="D7301">
        <v>372</v>
      </c>
    </row>
    <row r="7302" spans="1:4" ht="15.75" customHeight="1">
      <c r="A7302" t="s">
        <v>4790</v>
      </c>
      <c r="B7302" t="s">
        <v>38</v>
      </c>
      <c r="C7302" t="s">
        <v>39</v>
      </c>
      <c r="D7302">
        <v>372</v>
      </c>
    </row>
    <row r="7303" spans="1:4" ht="15.75" customHeight="1">
      <c r="A7303" t="s">
        <v>1320</v>
      </c>
      <c r="B7303" t="s">
        <v>38</v>
      </c>
      <c r="C7303" t="s">
        <v>39</v>
      </c>
      <c r="D7303">
        <v>370</v>
      </c>
    </row>
    <row r="7304" spans="1:4" ht="15.75" customHeight="1">
      <c r="A7304" t="s">
        <v>1764</v>
      </c>
      <c r="B7304" t="s">
        <v>38</v>
      </c>
      <c r="C7304" t="s">
        <v>39</v>
      </c>
      <c r="D7304">
        <v>369</v>
      </c>
    </row>
    <row r="7305" spans="1:4" ht="15.75" customHeight="1">
      <c r="A7305" t="s">
        <v>3312</v>
      </c>
      <c r="B7305" t="s">
        <v>38</v>
      </c>
      <c r="C7305" t="s">
        <v>39</v>
      </c>
      <c r="D7305">
        <v>368</v>
      </c>
    </row>
    <row r="7306" spans="1:4" ht="15.75" customHeight="1">
      <c r="A7306" t="s">
        <v>1791</v>
      </c>
      <c r="B7306" t="s">
        <v>38</v>
      </c>
      <c r="C7306" t="s">
        <v>39</v>
      </c>
      <c r="D7306">
        <v>368</v>
      </c>
    </row>
    <row r="7307" spans="1:4" ht="15.75" customHeight="1">
      <c r="A7307" t="s">
        <v>699</v>
      </c>
      <c r="B7307" t="s">
        <v>38</v>
      </c>
      <c r="C7307" t="s">
        <v>39</v>
      </c>
      <c r="D7307">
        <v>368</v>
      </c>
    </row>
    <row r="7308" spans="1:4" ht="15.75" customHeight="1">
      <c r="A7308" t="s">
        <v>2764</v>
      </c>
      <c r="B7308" t="s">
        <v>38</v>
      </c>
      <c r="C7308" t="s">
        <v>39</v>
      </c>
      <c r="D7308">
        <v>367</v>
      </c>
    </row>
    <row r="7309" spans="1:4" ht="15.75" customHeight="1">
      <c r="A7309" t="s">
        <v>1752</v>
      </c>
      <c r="B7309" t="s">
        <v>38</v>
      </c>
      <c r="C7309" t="s">
        <v>39</v>
      </c>
      <c r="D7309">
        <v>366</v>
      </c>
    </row>
    <row r="7310" spans="1:4" ht="15.75" customHeight="1">
      <c r="A7310" t="s">
        <v>2186</v>
      </c>
      <c r="B7310" t="s">
        <v>38</v>
      </c>
      <c r="C7310" t="s">
        <v>39</v>
      </c>
      <c r="D7310">
        <v>364</v>
      </c>
    </row>
    <row r="7311" spans="1:4" ht="15.75" customHeight="1">
      <c r="A7311" t="s">
        <v>1711</v>
      </c>
      <c r="B7311" t="s">
        <v>38</v>
      </c>
      <c r="C7311" t="s">
        <v>39</v>
      </c>
      <c r="D7311">
        <v>363</v>
      </c>
    </row>
    <row r="7312" spans="1:4" ht="15.75" customHeight="1">
      <c r="A7312" t="s">
        <v>702</v>
      </c>
      <c r="B7312" t="s">
        <v>38</v>
      </c>
      <c r="C7312" t="s">
        <v>39</v>
      </c>
      <c r="D7312">
        <v>363</v>
      </c>
    </row>
    <row r="7313" spans="1:4" ht="15.75" customHeight="1">
      <c r="A7313" t="s">
        <v>4065</v>
      </c>
      <c r="B7313" t="s">
        <v>38</v>
      </c>
      <c r="C7313" t="s">
        <v>39</v>
      </c>
      <c r="D7313">
        <v>362</v>
      </c>
    </row>
    <row r="7314" spans="1:4" ht="15.75" customHeight="1">
      <c r="A7314" t="s">
        <v>623</v>
      </c>
      <c r="B7314" t="s">
        <v>38</v>
      </c>
      <c r="C7314" t="s">
        <v>39</v>
      </c>
      <c r="D7314">
        <v>362</v>
      </c>
    </row>
    <row r="7315" spans="1:4" ht="15.75" customHeight="1">
      <c r="A7315" t="s">
        <v>4063</v>
      </c>
      <c r="B7315" t="s">
        <v>38</v>
      </c>
      <c r="C7315" t="s">
        <v>39</v>
      </c>
      <c r="D7315">
        <v>361</v>
      </c>
    </row>
    <row r="7316" spans="1:4" ht="15.75" customHeight="1">
      <c r="A7316" t="s">
        <v>2742</v>
      </c>
      <c r="B7316" t="s">
        <v>38</v>
      </c>
      <c r="C7316" t="s">
        <v>39</v>
      </c>
      <c r="D7316">
        <v>361</v>
      </c>
    </row>
    <row r="7317" spans="1:4" ht="15.75" customHeight="1">
      <c r="A7317" t="s">
        <v>2857</v>
      </c>
      <c r="B7317" t="s">
        <v>38</v>
      </c>
      <c r="C7317" t="s">
        <v>39</v>
      </c>
      <c r="D7317">
        <v>359</v>
      </c>
    </row>
    <row r="7318" spans="1:4" ht="15.75" customHeight="1">
      <c r="A7318" t="s">
        <v>2732</v>
      </c>
      <c r="B7318" t="s">
        <v>38</v>
      </c>
      <c r="C7318" t="s">
        <v>39</v>
      </c>
      <c r="D7318">
        <v>358</v>
      </c>
    </row>
    <row r="7319" spans="1:4" ht="15.75" customHeight="1">
      <c r="A7319" t="s">
        <v>4831</v>
      </c>
      <c r="B7319" t="s">
        <v>38</v>
      </c>
      <c r="C7319" t="s">
        <v>39</v>
      </c>
      <c r="D7319">
        <v>358</v>
      </c>
    </row>
    <row r="7320" spans="1:4" ht="15.75" customHeight="1">
      <c r="A7320" t="s">
        <v>1734</v>
      </c>
      <c r="B7320" t="s">
        <v>38</v>
      </c>
      <c r="C7320" t="s">
        <v>39</v>
      </c>
      <c r="D7320">
        <v>357</v>
      </c>
    </row>
    <row r="7321" spans="1:4" ht="15.75" customHeight="1">
      <c r="A7321" t="s">
        <v>4408</v>
      </c>
      <c r="B7321" t="s">
        <v>38</v>
      </c>
      <c r="C7321" t="s">
        <v>39</v>
      </c>
      <c r="D7321">
        <v>355</v>
      </c>
    </row>
    <row r="7322" spans="1:4" ht="15.75" customHeight="1">
      <c r="A7322" t="s">
        <v>3266</v>
      </c>
      <c r="B7322" t="s">
        <v>38</v>
      </c>
      <c r="C7322" t="s">
        <v>39</v>
      </c>
      <c r="D7322">
        <v>355</v>
      </c>
    </row>
    <row r="7323" spans="1:4" ht="15.75" customHeight="1">
      <c r="A7323" t="s">
        <v>2172</v>
      </c>
      <c r="B7323" t="s">
        <v>38</v>
      </c>
      <c r="C7323" t="s">
        <v>39</v>
      </c>
      <c r="D7323">
        <v>355</v>
      </c>
    </row>
    <row r="7324" spans="1:4" ht="15.75" customHeight="1">
      <c r="A7324" t="s">
        <v>4777</v>
      </c>
      <c r="B7324" t="s">
        <v>38</v>
      </c>
      <c r="C7324" t="s">
        <v>39</v>
      </c>
      <c r="D7324">
        <v>354</v>
      </c>
    </row>
    <row r="7325" spans="1:4" ht="15.75" customHeight="1">
      <c r="A7325" t="s">
        <v>2243</v>
      </c>
      <c r="B7325" t="s">
        <v>38</v>
      </c>
      <c r="C7325" t="s">
        <v>39</v>
      </c>
      <c r="D7325">
        <v>351</v>
      </c>
    </row>
    <row r="7326" spans="1:4" ht="15.75" customHeight="1">
      <c r="A7326" t="s">
        <v>4811</v>
      </c>
      <c r="B7326" t="s">
        <v>38</v>
      </c>
      <c r="C7326" t="s">
        <v>39</v>
      </c>
      <c r="D7326">
        <v>350</v>
      </c>
    </row>
    <row r="7327" spans="1:4" ht="15.75" customHeight="1">
      <c r="A7327" t="s">
        <v>1750</v>
      </c>
      <c r="B7327" t="s">
        <v>38</v>
      </c>
      <c r="C7327" t="s">
        <v>39</v>
      </c>
      <c r="D7327">
        <v>350</v>
      </c>
    </row>
    <row r="7328" spans="1:4" ht="15.75" customHeight="1">
      <c r="A7328" t="s">
        <v>2700</v>
      </c>
      <c r="B7328" t="s">
        <v>38</v>
      </c>
      <c r="C7328" t="s">
        <v>39</v>
      </c>
      <c r="D7328">
        <v>349</v>
      </c>
    </row>
    <row r="7329" spans="1:4" ht="15.75" customHeight="1">
      <c r="A7329" t="s">
        <v>2191</v>
      </c>
      <c r="B7329" t="s">
        <v>38</v>
      </c>
      <c r="C7329" t="s">
        <v>39</v>
      </c>
      <c r="D7329">
        <v>347</v>
      </c>
    </row>
    <row r="7330" spans="1:4" ht="15.75" customHeight="1">
      <c r="A7330" t="s">
        <v>1716</v>
      </c>
      <c r="B7330" t="s">
        <v>38</v>
      </c>
      <c r="C7330" t="s">
        <v>39</v>
      </c>
      <c r="D7330">
        <v>346</v>
      </c>
    </row>
    <row r="7331" spans="1:4" ht="15.75" customHeight="1">
      <c r="A7331" t="s">
        <v>1304</v>
      </c>
      <c r="B7331" t="s">
        <v>38</v>
      </c>
      <c r="C7331" t="s">
        <v>39</v>
      </c>
      <c r="D7331">
        <v>345</v>
      </c>
    </row>
    <row r="7332" spans="1:4" ht="15.75" customHeight="1">
      <c r="A7332" t="s">
        <v>1760</v>
      </c>
      <c r="B7332" t="s">
        <v>38</v>
      </c>
      <c r="C7332" t="s">
        <v>39</v>
      </c>
      <c r="D7332">
        <v>344</v>
      </c>
    </row>
    <row r="7333" spans="1:4" ht="15.75" customHeight="1">
      <c r="A7333" t="s">
        <v>4120</v>
      </c>
      <c r="B7333" t="s">
        <v>38</v>
      </c>
      <c r="C7333" t="s">
        <v>39</v>
      </c>
      <c r="D7333">
        <v>341</v>
      </c>
    </row>
    <row r="7334" spans="1:4" ht="15.75" customHeight="1">
      <c r="A7334" t="s">
        <v>4132</v>
      </c>
      <c r="B7334" t="s">
        <v>38</v>
      </c>
      <c r="C7334" t="s">
        <v>39</v>
      </c>
      <c r="D7334">
        <v>341</v>
      </c>
    </row>
    <row r="7335" spans="1:4" ht="15.75" customHeight="1">
      <c r="A7335" t="s">
        <v>2707</v>
      </c>
      <c r="B7335" t="s">
        <v>38</v>
      </c>
      <c r="C7335" t="s">
        <v>39</v>
      </c>
      <c r="D7335">
        <v>341</v>
      </c>
    </row>
    <row r="7336" spans="1:4" ht="15.75" customHeight="1">
      <c r="A7336" t="s">
        <v>672</v>
      </c>
      <c r="B7336" t="s">
        <v>38</v>
      </c>
      <c r="C7336" t="s">
        <v>39</v>
      </c>
      <c r="D7336">
        <v>340</v>
      </c>
    </row>
    <row r="7337" spans="1:4" ht="15.75" customHeight="1">
      <c r="A7337" t="s">
        <v>1444</v>
      </c>
      <c r="B7337" t="s">
        <v>38</v>
      </c>
      <c r="C7337" t="s">
        <v>39</v>
      </c>
      <c r="D7337">
        <v>340</v>
      </c>
    </row>
    <row r="7338" spans="1:4" ht="15.75" customHeight="1">
      <c r="A7338" t="s">
        <v>4397</v>
      </c>
      <c r="B7338" t="s">
        <v>38</v>
      </c>
      <c r="C7338" t="s">
        <v>39</v>
      </c>
      <c r="D7338">
        <v>338</v>
      </c>
    </row>
    <row r="7339" spans="1:4" ht="15.75" customHeight="1">
      <c r="A7339" t="s">
        <v>4712</v>
      </c>
      <c r="B7339" t="s">
        <v>38</v>
      </c>
      <c r="C7339" t="s">
        <v>39</v>
      </c>
      <c r="D7339">
        <v>336</v>
      </c>
    </row>
    <row r="7340" spans="1:4" ht="15.75" customHeight="1">
      <c r="A7340" t="s">
        <v>1708</v>
      </c>
      <c r="B7340" t="s">
        <v>38</v>
      </c>
      <c r="C7340" t="s">
        <v>39</v>
      </c>
      <c r="D7340">
        <v>335</v>
      </c>
    </row>
    <row r="7341" spans="1:4" ht="15.75" customHeight="1">
      <c r="A7341" t="s">
        <v>3678</v>
      </c>
      <c r="B7341" t="s">
        <v>38</v>
      </c>
      <c r="C7341" t="s">
        <v>39</v>
      </c>
      <c r="D7341">
        <v>335</v>
      </c>
    </row>
    <row r="7342" spans="1:4" ht="15.75" customHeight="1">
      <c r="A7342" t="s">
        <v>4819</v>
      </c>
      <c r="B7342" t="s">
        <v>38</v>
      </c>
      <c r="C7342" t="s">
        <v>39</v>
      </c>
      <c r="D7342">
        <v>334</v>
      </c>
    </row>
    <row r="7343" spans="1:4" ht="15.75" customHeight="1">
      <c r="A7343" t="s">
        <v>3310</v>
      </c>
      <c r="B7343" t="s">
        <v>38</v>
      </c>
      <c r="C7343" t="s">
        <v>39</v>
      </c>
      <c r="D7343">
        <v>334</v>
      </c>
    </row>
    <row r="7344" spans="1:4" ht="15.75" customHeight="1">
      <c r="A7344" t="s">
        <v>1436</v>
      </c>
      <c r="B7344" t="s">
        <v>38</v>
      </c>
      <c r="C7344" t="s">
        <v>39</v>
      </c>
      <c r="D7344">
        <v>332</v>
      </c>
    </row>
    <row r="7345" spans="1:4" ht="15.75" customHeight="1">
      <c r="A7345" t="s">
        <v>4122</v>
      </c>
      <c r="B7345" t="s">
        <v>38</v>
      </c>
      <c r="C7345" t="s">
        <v>39</v>
      </c>
      <c r="D7345">
        <v>330</v>
      </c>
    </row>
    <row r="7346" spans="1:4" ht="15.75" customHeight="1">
      <c r="A7346" t="s">
        <v>582</v>
      </c>
      <c r="B7346" t="s">
        <v>38</v>
      </c>
      <c r="C7346" t="s">
        <v>39</v>
      </c>
      <c r="D7346">
        <v>327</v>
      </c>
    </row>
    <row r="7347" spans="1:4" ht="15.75" customHeight="1">
      <c r="A7347" t="s">
        <v>1407</v>
      </c>
      <c r="B7347" t="s">
        <v>38</v>
      </c>
      <c r="C7347" t="s">
        <v>39</v>
      </c>
      <c r="D7347">
        <v>323</v>
      </c>
    </row>
    <row r="7348" spans="1:4" ht="15.75" customHeight="1">
      <c r="A7348" t="s">
        <v>1449</v>
      </c>
      <c r="B7348" t="s">
        <v>38</v>
      </c>
      <c r="C7348" t="s">
        <v>39</v>
      </c>
      <c r="D7348">
        <v>322</v>
      </c>
    </row>
    <row r="7349" spans="1:4" ht="15.75" customHeight="1">
      <c r="A7349" t="s">
        <v>2663</v>
      </c>
      <c r="B7349" t="s">
        <v>38</v>
      </c>
      <c r="C7349" t="s">
        <v>39</v>
      </c>
      <c r="D7349">
        <v>322</v>
      </c>
    </row>
    <row r="7350" spans="1:4" ht="15.75" customHeight="1">
      <c r="A7350" t="s">
        <v>2247</v>
      </c>
      <c r="B7350" t="s">
        <v>38</v>
      </c>
      <c r="C7350" t="s">
        <v>39</v>
      </c>
      <c r="D7350">
        <v>322</v>
      </c>
    </row>
    <row r="7351" spans="1:4" ht="15.75" customHeight="1">
      <c r="A7351" t="s">
        <v>2860</v>
      </c>
      <c r="B7351" t="s">
        <v>38</v>
      </c>
      <c r="C7351" t="s">
        <v>39</v>
      </c>
      <c r="D7351">
        <v>320</v>
      </c>
    </row>
    <row r="7352" spans="1:4" ht="15.75" customHeight="1">
      <c r="A7352" t="s">
        <v>2267</v>
      </c>
      <c r="B7352" t="s">
        <v>38</v>
      </c>
      <c r="C7352" t="s">
        <v>39</v>
      </c>
      <c r="D7352">
        <v>319</v>
      </c>
    </row>
    <row r="7353" spans="1:4" ht="15.75" customHeight="1">
      <c r="A7353" t="s">
        <v>2256</v>
      </c>
      <c r="B7353" t="s">
        <v>38</v>
      </c>
      <c r="C7353" t="s">
        <v>39</v>
      </c>
      <c r="D7353">
        <v>319</v>
      </c>
    </row>
    <row r="7354" spans="1:4" ht="15.75" customHeight="1">
      <c r="A7354" t="s">
        <v>2261</v>
      </c>
      <c r="B7354" t="s">
        <v>38</v>
      </c>
      <c r="C7354" t="s">
        <v>39</v>
      </c>
      <c r="D7354">
        <v>315</v>
      </c>
    </row>
    <row r="7355" spans="1:4" ht="15.75" customHeight="1">
      <c r="A7355" t="s">
        <v>1419</v>
      </c>
      <c r="B7355" t="s">
        <v>38</v>
      </c>
      <c r="C7355" t="s">
        <v>39</v>
      </c>
      <c r="D7355">
        <v>315</v>
      </c>
    </row>
    <row r="7356" spans="1:4" ht="15.75" customHeight="1">
      <c r="A7356" t="s">
        <v>442</v>
      </c>
      <c r="B7356" t="s">
        <v>38</v>
      </c>
      <c r="C7356" t="s">
        <v>39</v>
      </c>
      <c r="D7356">
        <v>314</v>
      </c>
    </row>
    <row r="7357" spans="1:4" ht="15.75" customHeight="1">
      <c r="A7357" t="s">
        <v>515</v>
      </c>
      <c r="B7357" t="s">
        <v>38</v>
      </c>
      <c r="C7357" t="s">
        <v>39</v>
      </c>
      <c r="D7357">
        <v>314</v>
      </c>
    </row>
    <row r="7358" spans="1:4" ht="15.75" customHeight="1">
      <c r="A7358" t="s">
        <v>4821</v>
      </c>
      <c r="B7358" t="s">
        <v>38</v>
      </c>
      <c r="C7358" t="s">
        <v>39</v>
      </c>
      <c r="D7358">
        <v>314</v>
      </c>
    </row>
    <row r="7359" spans="1:4" ht="15.75" customHeight="1">
      <c r="A7359" t="s">
        <v>3703</v>
      </c>
      <c r="B7359" t="s">
        <v>38</v>
      </c>
      <c r="C7359" t="s">
        <v>39</v>
      </c>
      <c r="D7359">
        <v>308</v>
      </c>
    </row>
    <row r="7360" spans="1:4" ht="15.75" customHeight="1">
      <c r="A7360" t="s">
        <v>3136</v>
      </c>
      <c r="B7360" t="s">
        <v>38</v>
      </c>
      <c r="C7360" t="s">
        <v>39</v>
      </c>
      <c r="D7360">
        <v>307</v>
      </c>
    </row>
    <row r="7361" spans="1:4" ht="15.75" customHeight="1">
      <c r="A7361" t="s">
        <v>436</v>
      </c>
      <c r="B7361" t="s">
        <v>38</v>
      </c>
      <c r="C7361" t="s">
        <v>39</v>
      </c>
      <c r="D7361">
        <v>307</v>
      </c>
    </row>
    <row r="7362" spans="1:4" ht="15.75" customHeight="1">
      <c r="A7362" t="s">
        <v>3701</v>
      </c>
      <c r="B7362" t="s">
        <v>38</v>
      </c>
      <c r="C7362" t="s">
        <v>39</v>
      </c>
      <c r="D7362">
        <v>305</v>
      </c>
    </row>
    <row r="7363" spans="1:4" ht="15.75" customHeight="1">
      <c r="A7363" t="s">
        <v>2750</v>
      </c>
      <c r="B7363" t="s">
        <v>38</v>
      </c>
      <c r="C7363" t="s">
        <v>39</v>
      </c>
      <c r="D7363">
        <v>303</v>
      </c>
    </row>
    <row r="7364" spans="1:4" ht="15.75" customHeight="1">
      <c r="A7364" t="s">
        <v>2730</v>
      </c>
      <c r="B7364" t="s">
        <v>38</v>
      </c>
      <c r="C7364" t="s">
        <v>39</v>
      </c>
      <c r="D7364">
        <v>301</v>
      </c>
    </row>
    <row r="7365" spans="1:4" ht="15.75" customHeight="1">
      <c r="A7365" t="s">
        <v>1226</v>
      </c>
      <c r="B7365" t="s">
        <v>38</v>
      </c>
      <c r="C7365" t="s">
        <v>39</v>
      </c>
      <c r="D7365">
        <v>299</v>
      </c>
    </row>
    <row r="7366" spans="1:4" ht="15.75" customHeight="1">
      <c r="A7366" t="s">
        <v>1768</v>
      </c>
      <c r="B7366" t="s">
        <v>38</v>
      </c>
      <c r="C7366" t="s">
        <v>39</v>
      </c>
      <c r="D7366">
        <v>299</v>
      </c>
    </row>
    <row r="7367" spans="1:4" ht="15.75" customHeight="1">
      <c r="A7367" t="s">
        <v>2773</v>
      </c>
      <c r="B7367" t="s">
        <v>38</v>
      </c>
      <c r="C7367" t="s">
        <v>39</v>
      </c>
      <c r="D7367">
        <v>298</v>
      </c>
    </row>
    <row r="7368" spans="1:4" ht="15.75" customHeight="1">
      <c r="A7368" t="s">
        <v>4111</v>
      </c>
      <c r="B7368" t="s">
        <v>38</v>
      </c>
      <c r="C7368" t="s">
        <v>39</v>
      </c>
      <c r="D7368">
        <v>298</v>
      </c>
    </row>
    <row r="7369" spans="1:4" ht="15.75" customHeight="1">
      <c r="A7369" t="s">
        <v>4099</v>
      </c>
      <c r="B7369" t="s">
        <v>38</v>
      </c>
      <c r="C7369" t="s">
        <v>39</v>
      </c>
      <c r="D7369">
        <v>297</v>
      </c>
    </row>
    <row r="7370" spans="1:4" ht="15.75" customHeight="1">
      <c r="A7370" t="s">
        <v>1351</v>
      </c>
      <c r="B7370" t="s">
        <v>38</v>
      </c>
      <c r="C7370" t="s">
        <v>39</v>
      </c>
      <c r="D7370">
        <v>296</v>
      </c>
    </row>
    <row r="7371" spans="1:4" ht="15.75" customHeight="1">
      <c r="A7371" t="s">
        <v>2251</v>
      </c>
      <c r="B7371" t="s">
        <v>38</v>
      </c>
      <c r="C7371" t="s">
        <v>39</v>
      </c>
      <c r="D7371">
        <v>295</v>
      </c>
    </row>
    <row r="7372" spans="1:4" ht="15.75" customHeight="1">
      <c r="A7372" t="s">
        <v>1428</v>
      </c>
      <c r="B7372" t="s">
        <v>38</v>
      </c>
      <c r="C7372" t="s">
        <v>39</v>
      </c>
      <c r="D7372">
        <v>294</v>
      </c>
    </row>
    <row r="7373" spans="1:4" ht="15.75" customHeight="1">
      <c r="A7373" t="s">
        <v>1728</v>
      </c>
      <c r="B7373" t="s">
        <v>38</v>
      </c>
      <c r="C7373" t="s">
        <v>39</v>
      </c>
      <c r="D7373">
        <v>293</v>
      </c>
    </row>
    <row r="7374" spans="1:4" ht="15.75" customHeight="1">
      <c r="A7374" t="s">
        <v>1369</v>
      </c>
      <c r="B7374" t="s">
        <v>38</v>
      </c>
      <c r="C7374" t="s">
        <v>39</v>
      </c>
      <c r="D7374">
        <v>293</v>
      </c>
    </row>
    <row r="7375" spans="1:4" ht="15.75" customHeight="1">
      <c r="A7375" t="s">
        <v>1787</v>
      </c>
      <c r="B7375" t="s">
        <v>38</v>
      </c>
      <c r="C7375" t="s">
        <v>39</v>
      </c>
      <c r="D7375">
        <v>293</v>
      </c>
    </row>
    <row r="7376" spans="1:4" ht="15.75" customHeight="1">
      <c r="A7376" t="s">
        <v>1334</v>
      </c>
      <c r="B7376" t="s">
        <v>38</v>
      </c>
      <c r="C7376" t="s">
        <v>39</v>
      </c>
      <c r="D7376">
        <v>291</v>
      </c>
    </row>
    <row r="7377" spans="1:4" ht="15.75" customHeight="1">
      <c r="A7377" t="s">
        <v>1721</v>
      </c>
      <c r="B7377" t="s">
        <v>38</v>
      </c>
      <c r="C7377" t="s">
        <v>39</v>
      </c>
      <c r="D7377">
        <v>290</v>
      </c>
    </row>
    <row r="7378" spans="1:4" ht="15.75" customHeight="1">
      <c r="A7378" t="s">
        <v>4384</v>
      </c>
      <c r="B7378" t="s">
        <v>38</v>
      </c>
      <c r="C7378" t="s">
        <v>39</v>
      </c>
      <c r="D7378">
        <v>288</v>
      </c>
    </row>
    <row r="7379" spans="1:4" ht="15.75" customHeight="1">
      <c r="A7379" t="s">
        <v>4389</v>
      </c>
      <c r="B7379" t="s">
        <v>38</v>
      </c>
      <c r="C7379" t="s">
        <v>39</v>
      </c>
      <c r="D7379">
        <v>287</v>
      </c>
    </row>
    <row r="7380" spans="1:4" ht="15.75" customHeight="1">
      <c r="A7380" t="s">
        <v>4414</v>
      </c>
      <c r="B7380" t="s">
        <v>38</v>
      </c>
      <c r="C7380" t="s">
        <v>39</v>
      </c>
      <c r="D7380">
        <v>284</v>
      </c>
    </row>
    <row r="7381" spans="1:4" ht="15.75" customHeight="1">
      <c r="A7381" t="s">
        <v>2843</v>
      </c>
      <c r="B7381" t="s">
        <v>38</v>
      </c>
      <c r="C7381" t="s">
        <v>39</v>
      </c>
      <c r="D7381">
        <v>283</v>
      </c>
    </row>
    <row r="7382" spans="1:4" ht="15.75" customHeight="1">
      <c r="A7382" t="s">
        <v>3171</v>
      </c>
      <c r="B7382" t="s">
        <v>38</v>
      </c>
      <c r="C7382" t="s">
        <v>39</v>
      </c>
      <c r="D7382">
        <v>283</v>
      </c>
    </row>
    <row r="7383" spans="1:4" ht="15.75" customHeight="1">
      <c r="A7383" t="s">
        <v>3697</v>
      </c>
      <c r="B7383" t="s">
        <v>38</v>
      </c>
      <c r="C7383" t="s">
        <v>39</v>
      </c>
      <c r="D7383">
        <v>281</v>
      </c>
    </row>
    <row r="7384" spans="1:4" ht="15.75" customHeight="1">
      <c r="A7384" t="s">
        <v>2095</v>
      </c>
      <c r="B7384" t="s">
        <v>38</v>
      </c>
      <c r="C7384" t="s">
        <v>39</v>
      </c>
      <c r="D7384">
        <v>281</v>
      </c>
    </row>
    <row r="7385" spans="1:4" ht="15.75" customHeight="1">
      <c r="A7385" t="s">
        <v>1404</v>
      </c>
      <c r="B7385" t="s">
        <v>38</v>
      </c>
      <c r="C7385" t="s">
        <v>39</v>
      </c>
      <c r="D7385">
        <v>277</v>
      </c>
    </row>
    <row r="7386" spans="1:4" ht="15.75" customHeight="1">
      <c r="A7386" t="s">
        <v>570</v>
      </c>
      <c r="B7386" t="s">
        <v>38</v>
      </c>
      <c r="C7386" t="s">
        <v>39</v>
      </c>
      <c r="D7386">
        <v>277</v>
      </c>
    </row>
    <row r="7387" spans="1:4" ht="15.75" customHeight="1">
      <c r="A7387" t="s">
        <v>576</v>
      </c>
      <c r="B7387" t="s">
        <v>38</v>
      </c>
      <c r="C7387" t="s">
        <v>39</v>
      </c>
      <c r="D7387">
        <v>277</v>
      </c>
    </row>
    <row r="7388" spans="1:4" ht="15.75" customHeight="1">
      <c r="A7388" t="s">
        <v>4403</v>
      </c>
      <c r="B7388" t="s">
        <v>38</v>
      </c>
      <c r="C7388" t="s">
        <v>39</v>
      </c>
      <c r="D7388">
        <v>276</v>
      </c>
    </row>
    <row r="7389" spans="1:4" ht="15.75" customHeight="1">
      <c r="A7389" t="s">
        <v>4758</v>
      </c>
      <c r="B7389" t="s">
        <v>38</v>
      </c>
      <c r="C7389" t="s">
        <v>39</v>
      </c>
      <c r="D7389">
        <v>274</v>
      </c>
    </row>
    <row r="7390" spans="1:4" ht="15.75" customHeight="1">
      <c r="A7390" t="s">
        <v>4087</v>
      </c>
      <c r="B7390" t="s">
        <v>38</v>
      </c>
      <c r="C7390" t="s">
        <v>39</v>
      </c>
      <c r="D7390">
        <v>273</v>
      </c>
    </row>
    <row r="7391" spans="1:4" ht="15.75" customHeight="1">
      <c r="A7391" t="s">
        <v>4115</v>
      </c>
      <c r="B7391" t="s">
        <v>38</v>
      </c>
      <c r="C7391" t="s">
        <v>39</v>
      </c>
      <c r="D7391">
        <v>272</v>
      </c>
    </row>
    <row r="7392" spans="1:4" ht="15.75" customHeight="1">
      <c r="A7392" t="s">
        <v>4381</v>
      </c>
      <c r="B7392" t="s">
        <v>38</v>
      </c>
      <c r="C7392" t="s">
        <v>39</v>
      </c>
      <c r="D7392">
        <v>271</v>
      </c>
    </row>
    <row r="7393" spans="1:4" ht="15.75" customHeight="1">
      <c r="A7393" t="s">
        <v>494</v>
      </c>
      <c r="B7393" t="s">
        <v>38</v>
      </c>
      <c r="C7393" t="s">
        <v>39</v>
      </c>
      <c r="D7393">
        <v>271</v>
      </c>
    </row>
    <row r="7394" spans="1:4" ht="15.75" customHeight="1">
      <c r="A7394" t="s">
        <v>3255</v>
      </c>
      <c r="B7394" t="s">
        <v>38</v>
      </c>
      <c r="C7394" t="s">
        <v>39</v>
      </c>
      <c r="D7394">
        <v>271</v>
      </c>
    </row>
    <row r="7395" spans="1:4" ht="15.75" customHeight="1">
      <c r="A7395" t="s">
        <v>2866</v>
      </c>
      <c r="B7395" t="s">
        <v>38</v>
      </c>
      <c r="C7395" t="s">
        <v>39</v>
      </c>
      <c r="D7395">
        <v>270</v>
      </c>
    </row>
    <row r="7396" spans="1:4" ht="15.75" customHeight="1">
      <c r="A7396" t="s">
        <v>4751</v>
      </c>
      <c r="B7396" t="s">
        <v>38</v>
      </c>
      <c r="C7396" t="s">
        <v>39</v>
      </c>
      <c r="D7396">
        <v>269</v>
      </c>
    </row>
    <row r="7397" spans="1:4" ht="15.75" customHeight="1">
      <c r="A7397" t="s">
        <v>2117</v>
      </c>
      <c r="B7397" t="s">
        <v>38</v>
      </c>
      <c r="C7397" t="s">
        <v>39</v>
      </c>
      <c r="D7397">
        <v>264</v>
      </c>
    </row>
    <row r="7398" spans="1:4" ht="15.75" customHeight="1">
      <c r="A7398" t="s">
        <v>4081</v>
      </c>
      <c r="B7398" t="s">
        <v>38</v>
      </c>
      <c r="C7398" t="s">
        <v>39</v>
      </c>
      <c r="D7398">
        <v>264</v>
      </c>
    </row>
    <row r="7399" spans="1:4" ht="15.75" customHeight="1">
      <c r="A7399" t="s">
        <v>2272</v>
      </c>
      <c r="B7399" t="s">
        <v>38</v>
      </c>
      <c r="C7399" t="s">
        <v>39</v>
      </c>
      <c r="D7399">
        <v>261</v>
      </c>
    </row>
    <row r="7400" spans="1:4" ht="15.75" customHeight="1">
      <c r="A7400" t="s">
        <v>2113</v>
      </c>
      <c r="B7400" t="s">
        <v>38</v>
      </c>
      <c r="C7400" t="s">
        <v>39</v>
      </c>
      <c r="D7400">
        <v>260</v>
      </c>
    </row>
    <row r="7401" spans="1:4" ht="15.75" customHeight="1">
      <c r="A7401" t="s">
        <v>1325</v>
      </c>
      <c r="B7401" t="s">
        <v>38</v>
      </c>
      <c r="C7401" t="s">
        <v>39</v>
      </c>
      <c r="D7401">
        <v>259</v>
      </c>
    </row>
    <row r="7402" spans="1:4" ht="15.75" customHeight="1">
      <c r="A7402" t="s">
        <v>1267</v>
      </c>
      <c r="B7402" t="s">
        <v>38</v>
      </c>
      <c r="C7402" t="s">
        <v>39</v>
      </c>
      <c r="D7402">
        <v>259</v>
      </c>
    </row>
    <row r="7403" spans="1:4" ht="15.75" customHeight="1">
      <c r="A7403" t="s">
        <v>4825</v>
      </c>
      <c r="B7403" t="s">
        <v>38</v>
      </c>
      <c r="C7403" t="s">
        <v>39</v>
      </c>
      <c r="D7403">
        <v>258</v>
      </c>
    </row>
    <row r="7404" spans="1:4" ht="15.75" customHeight="1">
      <c r="A7404" t="s">
        <v>480</v>
      </c>
      <c r="B7404" t="s">
        <v>38</v>
      </c>
      <c r="C7404" t="s">
        <v>39</v>
      </c>
      <c r="D7404">
        <v>256</v>
      </c>
    </row>
    <row r="7405" spans="1:4" ht="15.75" customHeight="1">
      <c r="A7405" t="s">
        <v>1756</v>
      </c>
      <c r="B7405" t="s">
        <v>38</v>
      </c>
      <c r="C7405" t="s">
        <v>39</v>
      </c>
      <c r="D7405">
        <v>251</v>
      </c>
    </row>
    <row r="7406" spans="1:4" ht="15.75" customHeight="1">
      <c r="A7406" t="s">
        <v>1766</v>
      </c>
      <c r="B7406" t="s">
        <v>38</v>
      </c>
      <c r="C7406" t="s">
        <v>39</v>
      </c>
      <c r="D7406">
        <v>251</v>
      </c>
    </row>
    <row r="7407" spans="1:4" ht="15.75" customHeight="1">
      <c r="A7407" t="s">
        <v>2853</v>
      </c>
      <c r="B7407" t="s">
        <v>38</v>
      </c>
      <c r="C7407" t="s">
        <v>39</v>
      </c>
      <c r="D7407">
        <v>248</v>
      </c>
    </row>
    <row r="7408" spans="1:4" ht="15.75" customHeight="1">
      <c r="A7408" t="s">
        <v>1742</v>
      </c>
      <c r="B7408" t="s">
        <v>38</v>
      </c>
      <c r="C7408" t="s">
        <v>39</v>
      </c>
      <c r="D7408">
        <v>246</v>
      </c>
    </row>
    <row r="7409" spans="1:4" ht="15.75" customHeight="1">
      <c r="A7409" t="s">
        <v>3234</v>
      </c>
      <c r="B7409" t="s">
        <v>38</v>
      </c>
      <c r="C7409" t="s">
        <v>39</v>
      </c>
      <c r="D7409">
        <v>242</v>
      </c>
    </row>
    <row r="7410" spans="1:4" ht="15.75" customHeight="1">
      <c r="A7410" t="s">
        <v>3181</v>
      </c>
      <c r="B7410" t="s">
        <v>38</v>
      </c>
      <c r="C7410" t="s">
        <v>39</v>
      </c>
      <c r="D7410">
        <v>242</v>
      </c>
    </row>
    <row r="7411" spans="1:4" ht="15.75" customHeight="1">
      <c r="A7411" t="s">
        <v>579</v>
      </c>
      <c r="B7411" t="s">
        <v>38</v>
      </c>
      <c r="C7411" t="s">
        <v>39</v>
      </c>
      <c r="D7411">
        <v>239</v>
      </c>
    </row>
    <row r="7412" spans="1:4" ht="15.75" customHeight="1">
      <c r="A7412" t="s">
        <v>588</v>
      </c>
      <c r="B7412" t="s">
        <v>38</v>
      </c>
      <c r="C7412" t="s">
        <v>39</v>
      </c>
      <c r="D7412">
        <v>238</v>
      </c>
    </row>
    <row r="7413" spans="1:4" ht="15.75" customHeight="1">
      <c r="A7413" t="s">
        <v>1446</v>
      </c>
      <c r="B7413" t="s">
        <v>38</v>
      </c>
      <c r="C7413" t="s">
        <v>39</v>
      </c>
      <c r="D7413">
        <v>235</v>
      </c>
    </row>
    <row r="7414" spans="1:4" ht="15.75" customHeight="1">
      <c r="A7414" t="s">
        <v>3722</v>
      </c>
      <c r="B7414" t="s">
        <v>38</v>
      </c>
      <c r="C7414" t="s">
        <v>39</v>
      </c>
      <c r="D7414">
        <v>235</v>
      </c>
    </row>
    <row r="7415" spans="1:4" ht="15.75" customHeight="1">
      <c r="A7415" t="s">
        <v>3664</v>
      </c>
      <c r="B7415" t="s">
        <v>38</v>
      </c>
      <c r="C7415" t="s">
        <v>39</v>
      </c>
      <c r="D7415">
        <v>235</v>
      </c>
    </row>
    <row r="7416" spans="1:4" ht="15.75" customHeight="1">
      <c r="A7416" t="s">
        <v>1795</v>
      </c>
      <c r="B7416" t="s">
        <v>38</v>
      </c>
      <c r="C7416" t="s">
        <v>39</v>
      </c>
      <c r="D7416">
        <v>233</v>
      </c>
    </row>
    <row r="7417" spans="1:4" ht="15.75" customHeight="1">
      <c r="A7417" t="s">
        <v>2785</v>
      </c>
      <c r="B7417" t="s">
        <v>38</v>
      </c>
      <c r="C7417" t="s">
        <v>39</v>
      </c>
      <c r="D7417">
        <v>231</v>
      </c>
    </row>
    <row r="7418" spans="1:4" ht="15.75" customHeight="1">
      <c r="A7418" t="s">
        <v>4089</v>
      </c>
      <c r="B7418" t="s">
        <v>38</v>
      </c>
      <c r="C7418" t="s">
        <v>39</v>
      </c>
      <c r="D7418">
        <v>231</v>
      </c>
    </row>
    <row r="7419" spans="1:4" ht="15.75" customHeight="1">
      <c r="A7419" t="s">
        <v>3263</v>
      </c>
      <c r="B7419" t="s">
        <v>38</v>
      </c>
      <c r="C7419" t="s">
        <v>39</v>
      </c>
      <c r="D7419">
        <v>228</v>
      </c>
    </row>
    <row r="7420" spans="1:4" ht="15.75" customHeight="1">
      <c r="A7420" t="s">
        <v>4724</v>
      </c>
      <c r="B7420" t="s">
        <v>38</v>
      </c>
      <c r="C7420" t="s">
        <v>39</v>
      </c>
      <c r="D7420">
        <v>228</v>
      </c>
    </row>
    <row r="7421" spans="1:4" ht="15.75" customHeight="1">
      <c r="A7421" t="s">
        <v>3611</v>
      </c>
      <c r="B7421" t="s">
        <v>38</v>
      </c>
      <c r="C7421" t="s">
        <v>39</v>
      </c>
      <c r="D7421">
        <v>227</v>
      </c>
    </row>
    <row r="7422" spans="1:4" ht="15.75" customHeight="1">
      <c r="A7422" t="s">
        <v>4392</v>
      </c>
      <c r="B7422" t="s">
        <v>38</v>
      </c>
      <c r="C7422" t="s">
        <v>39</v>
      </c>
      <c r="D7422">
        <v>227</v>
      </c>
    </row>
    <row r="7423" spans="1:4" ht="15.75" customHeight="1">
      <c r="A7423" t="s">
        <v>1423</v>
      </c>
      <c r="B7423" t="s">
        <v>38</v>
      </c>
      <c r="C7423" t="s">
        <v>39</v>
      </c>
      <c r="D7423">
        <v>226</v>
      </c>
    </row>
    <row r="7424" spans="1:4" ht="15.75" customHeight="1">
      <c r="A7424" t="s">
        <v>3298</v>
      </c>
      <c r="B7424" t="s">
        <v>38</v>
      </c>
      <c r="C7424" t="s">
        <v>39</v>
      </c>
      <c r="D7424">
        <v>221</v>
      </c>
    </row>
    <row r="7425" spans="1:4" ht="15.75" customHeight="1">
      <c r="A7425" t="s">
        <v>3252</v>
      </c>
      <c r="B7425" t="s">
        <v>38</v>
      </c>
      <c r="C7425" t="s">
        <v>39</v>
      </c>
      <c r="D7425">
        <v>221</v>
      </c>
    </row>
    <row r="7426" spans="1:4" ht="15.75" customHeight="1">
      <c r="A7426" t="s">
        <v>4760</v>
      </c>
      <c r="B7426" t="s">
        <v>38</v>
      </c>
      <c r="C7426" t="s">
        <v>39</v>
      </c>
      <c r="D7426">
        <v>220</v>
      </c>
    </row>
    <row r="7427" spans="1:4" ht="15.75" customHeight="1">
      <c r="A7427" t="s">
        <v>3249</v>
      </c>
      <c r="B7427" t="s">
        <v>38</v>
      </c>
      <c r="C7427" t="s">
        <v>39</v>
      </c>
      <c r="D7427">
        <v>218</v>
      </c>
    </row>
    <row r="7428" spans="1:4" ht="15.75" customHeight="1">
      <c r="A7428" t="s">
        <v>4412</v>
      </c>
      <c r="B7428" t="s">
        <v>38</v>
      </c>
      <c r="C7428" t="s">
        <v>39</v>
      </c>
      <c r="D7428">
        <v>217</v>
      </c>
    </row>
    <row r="7429" spans="1:4" ht="15.75" customHeight="1">
      <c r="A7429" t="s">
        <v>626</v>
      </c>
      <c r="B7429" t="s">
        <v>38</v>
      </c>
      <c r="C7429" t="s">
        <v>39</v>
      </c>
      <c r="D7429">
        <v>216</v>
      </c>
    </row>
    <row r="7430" spans="1:4" ht="15.75" customHeight="1">
      <c r="A7430" t="s">
        <v>1736</v>
      </c>
      <c r="B7430" t="s">
        <v>38</v>
      </c>
      <c r="C7430" t="s">
        <v>39</v>
      </c>
      <c r="D7430">
        <v>216</v>
      </c>
    </row>
    <row r="7431" spans="1:4" ht="15.75" customHeight="1">
      <c r="A7431" t="s">
        <v>3675</v>
      </c>
      <c r="B7431" t="s">
        <v>38</v>
      </c>
      <c r="C7431" t="s">
        <v>39</v>
      </c>
      <c r="D7431">
        <v>215</v>
      </c>
    </row>
    <row r="7432" spans="1:4" ht="15.75" customHeight="1">
      <c r="A7432" t="s">
        <v>4835</v>
      </c>
      <c r="B7432" t="s">
        <v>38</v>
      </c>
      <c r="C7432" t="s">
        <v>39</v>
      </c>
      <c r="D7432">
        <v>215</v>
      </c>
    </row>
    <row r="7433" spans="1:4" ht="15.75" customHeight="1">
      <c r="A7433" t="s">
        <v>468</v>
      </c>
      <c r="B7433" t="s">
        <v>38</v>
      </c>
      <c r="C7433" t="s">
        <v>39</v>
      </c>
      <c r="D7433">
        <v>212</v>
      </c>
    </row>
    <row r="7434" spans="1:4" ht="15.75" customHeight="1">
      <c r="A7434" t="s">
        <v>3289</v>
      </c>
      <c r="B7434" t="s">
        <v>38</v>
      </c>
      <c r="C7434" t="s">
        <v>39</v>
      </c>
      <c r="D7434">
        <v>211</v>
      </c>
    </row>
    <row r="7435" spans="1:4" ht="15.75" customHeight="1">
      <c r="A7435" t="s">
        <v>4141</v>
      </c>
      <c r="B7435" t="s">
        <v>38</v>
      </c>
      <c r="C7435" t="s">
        <v>39</v>
      </c>
      <c r="D7435">
        <v>211</v>
      </c>
    </row>
    <row r="7436" spans="1:4" ht="15.75" customHeight="1">
      <c r="A7436" t="s">
        <v>591</v>
      </c>
      <c r="B7436" t="s">
        <v>38</v>
      </c>
      <c r="C7436" t="s">
        <v>39</v>
      </c>
      <c r="D7436">
        <v>211</v>
      </c>
    </row>
    <row r="7437" spans="1:4" ht="15.75" customHeight="1">
      <c r="A7437" t="s">
        <v>2201</v>
      </c>
      <c r="B7437" t="s">
        <v>38</v>
      </c>
      <c r="C7437" t="s">
        <v>39</v>
      </c>
      <c r="D7437">
        <v>209</v>
      </c>
    </row>
    <row r="7438" spans="1:4" ht="15.75" customHeight="1">
      <c r="A7438" t="s">
        <v>3603</v>
      </c>
      <c r="B7438" t="s">
        <v>38</v>
      </c>
      <c r="C7438" t="s">
        <v>39</v>
      </c>
      <c r="D7438">
        <v>209</v>
      </c>
    </row>
    <row r="7439" spans="1:4" ht="15.75" customHeight="1">
      <c r="A7439" t="s">
        <v>1442</v>
      </c>
      <c r="B7439" t="s">
        <v>38</v>
      </c>
      <c r="C7439" t="s">
        <v>39</v>
      </c>
      <c r="D7439">
        <v>209</v>
      </c>
    </row>
    <row r="7440" spans="1:4" ht="15.75" customHeight="1">
      <c r="A7440" t="s">
        <v>4038</v>
      </c>
      <c r="B7440" t="s">
        <v>38</v>
      </c>
      <c r="C7440" t="s">
        <v>39</v>
      </c>
      <c r="D7440">
        <v>207</v>
      </c>
    </row>
    <row r="7441" spans="1:4" ht="15.75" customHeight="1">
      <c r="A7441" t="s">
        <v>4041</v>
      </c>
      <c r="B7441" t="s">
        <v>38</v>
      </c>
      <c r="C7441" t="s">
        <v>39</v>
      </c>
      <c r="D7441">
        <v>206</v>
      </c>
    </row>
    <row r="7442" spans="1:4" ht="15.75" customHeight="1">
      <c r="A7442" t="s">
        <v>663</v>
      </c>
      <c r="B7442" t="s">
        <v>38</v>
      </c>
      <c r="C7442" t="s">
        <v>39</v>
      </c>
      <c r="D7442">
        <v>205</v>
      </c>
    </row>
    <row r="7443" spans="1:4" ht="15.75" customHeight="1">
      <c r="A7443" t="s">
        <v>3240</v>
      </c>
      <c r="B7443" t="s">
        <v>38</v>
      </c>
      <c r="C7443" t="s">
        <v>39</v>
      </c>
      <c r="D7443">
        <v>204</v>
      </c>
    </row>
    <row r="7444" spans="1:4" ht="15.75" customHeight="1">
      <c r="A7444" t="s">
        <v>2133</v>
      </c>
      <c r="B7444" t="s">
        <v>38</v>
      </c>
      <c r="C7444" t="s">
        <v>39</v>
      </c>
      <c r="D7444">
        <v>202</v>
      </c>
    </row>
    <row r="7445" spans="1:4" ht="15.75" customHeight="1">
      <c r="A7445" t="s">
        <v>3148</v>
      </c>
      <c r="B7445" t="s">
        <v>38</v>
      </c>
      <c r="C7445" t="s">
        <v>39</v>
      </c>
      <c r="D7445">
        <v>200</v>
      </c>
    </row>
    <row r="7446" spans="1:4" ht="15.75" customHeight="1">
      <c r="A7446" t="s">
        <v>2110</v>
      </c>
      <c r="B7446" t="s">
        <v>38</v>
      </c>
      <c r="C7446" t="s">
        <v>39</v>
      </c>
      <c r="D7446">
        <v>199</v>
      </c>
    </row>
    <row r="7447" spans="1:4" ht="15.75" customHeight="1">
      <c r="A7447" t="s">
        <v>1328</v>
      </c>
      <c r="B7447" t="s">
        <v>38</v>
      </c>
      <c r="C7447" t="s">
        <v>39</v>
      </c>
      <c r="D7447">
        <v>199</v>
      </c>
    </row>
    <row r="7448" spans="1:4" ht="15.75" customHeight="1">
      <c r="A7448" t="s">
        <v>3644</v>
      </c>
      <c r="B7448" t="s">
        <v>38</v>
      </c>
      <c r="C7448" t="s">
        <v>39</v>
      </c>
      <c r="D7448">
        <v>196</v>
      </c>
    </row>
    <row r="7449" spans="1:4" ht="15.75" customHeight="1">
      <c r="A7449" t="s">
        <v>3618</v>
      </c>
      <c r="B7449" t="s">
        <v>38</v>
      </c>
      <c r="C7449" t="s">
        <v>39</v>
      </c>
      <c r="D7449">
        <v>195</v>
      </c>
    </row>
    <row r="7450" spans="1:4" ht="15.75" customHeight="1">
      <c r="A7450" t="s">
        <v>3615</v>
      </c>
      <c r="B7450" t="s">
        <v>38</v>
      </c>
      <c r="C7450" t="s">
        <v>39</v>
      </c>
      <c r="D7450">
        <v>195</v>
      </c>
    </row>
    <row r="7451" spans="1:4" ht="15.75" customHeight="1">
      <c r="A7451" t="s">
        <v>4784</v>
      </c>
      <c r="B7451" t="s">
        <v>38</v>
      </c>
      <c r="C7451" t="s">
        <v>39</v>
      </c>
      <c r="D7451">
        <v>195</v>
      </c>
    </row>
    <row r="7452" spans="1:4" ht="15.75" customHeight="1">
      <c r="A7452" t="s">
        <v>3236</v>
      </c>
      <c r="B7452" t="s">
        <v>38</v>
      </c>
      <c r="C7452" t="s">
        <v>39</v>
      </c>
      <c r="D7452">
        <v>194</v>
      </c>
    </row>
    <row r="7453" spans="1:4" ht="15.75" customHeight="1">
      <c r="A7453" t="s">
        <v>3712</v>
      </c>
      <c r="B7453" t="s">
        <v>38</v>
      </c>
      <c r="C7453" t="s">
        <v>39</v>
      </c>
      <c r="D7453">
        <v>193</v>
      </c>
    </row>
    <row r="7454" spans="1:4" ht="15.75" customHeight="1">
      <c r="A7454" t="s">
        <v>445</v>
      </c>
      <c r="B7454" t="s">
        <v>38</v>
      </c>
      <c r="C7454" t="s">
        <v>39</v>
      </c>
      <c r="D7454">
        <v>192</v>
      </c>
    </row>
    <row r="7455" spans="1:4" ht="15.75" customHeight="1">
      <c r="A7455" t="s">
        <v>4085</v>
      </c>
      <c r="B7455" t="s">
        <v>38</v>
      </c>
      <c r="C7455" t="s">
        <v>39</v>
      </c>
      <c r="D7455">
        <v>192</v>
      </c>
    </row>
    <row r="7456" spans="1:4" ht="15.75" customHeight="1">
      <c r="A7456" t="s">
        <v>1421</v>
      </c>
      <c r="B7456" t="s">
        <v>38</v>
      </c>
      <c r="C7456" t="s">
        <v>39</v>
      </c>
      <c r="D7456">
        <v>192</v>
      </c>
    </row>
    <row r="7457" spans="1:4" ht="15.75" customHeight="1">
      <c r="A7457" t="s">
        <v>1746</v>
      </c>
      <c r="B7457" t="s">
        <v>38</v>
      </c>
      <c r="C7457" t="s">
        <v>39</v>
      </c>
      <c r="D7457">
        <v>191</v>
      </c>
    </row>
    <row r="7458" spans="1:4" ht="15.75" customHeight="1">
      <c r="A7458" t="s">
        <v>1740</v>
      </c>
      <c r="B7458" t="s">
        <v>38</v>
      </c>
      <c r="C7458" t="s">
        <v>39</v>
      </c>
      <c r="D7458">
        <v>189</v>
      </c>
    </row>
    <row r="7459" spans="1:4" ht="15.75" customHeight="1">
      <c r="A7459" t="s">
        <v>3178</v>
      </c>
      <c r="B7459" t="s">
        <v>38</v>
      </c>
      <c r="C7459" t="s">
        <v>39</v>
      </c>
      <c r="D7459">
        <v>189</v>
      </c>
    </row>
    <row r="7460" spans="1:4" ht="15.75" customHeight="1">
      <c r="A7460" t="s">
        <v>2767</v>
      </c>
      <c r="B7460" t="s">
        <v>38</v>
      </c>
      <c r="C7460" t="s">
        <v>39</v>
      </c>
      <c r="D7460">
        <v>188</v>
      </c>
    </row>
    <row r="7461" spans="1:4" ht="15.75" customHeight="1">
      <c r="A7461" t="s">
        <v>2776</v>
      </c>
      <c r="B7461" t="s">
        <v>38</v>
      </c>
      <c r="C7461" t="s">
        <v>39</v>
      </c>
      <c r="D7461">
        <v>187</v>
      </c>
    </row>
    <row r="7462" spans="1:4" ht="15.75" customHeight="1">
      <c r="A7462" t="s">
        <v>4394</v>
      </c>
      <c r="B7462" t="s">
        <v>38</v>
      </c>
      <c r="C7462" t="s">
        <v>39</v>
      </c>
      <c r="D7462">
        <v>186</v>
      </c>
    </row>
    <row r="7463" spans="1:4" ht="15.75" customHeight="1">
      <c r="A7463" t="s">
        <v>4748</v>
      </c>
      <c r="B7463" t="s">
        <v>38</v>
      </c>
      <c r="C7463" t="s">
        <v>39</v>
      </c>
      <c r="D7463">
        <v>183</v>
      </c>
    </row>
    <row r="7464" spans="1:4" ht="15.75" customHeight="1">
      <c r="A7464" t="s">
        <v>4426</v>
      </c>
      <c r="B7464" t="s">
        <v>38</v>
      </c>
      <c r="C7464" t="s">
        <v>39</v>
      </c>
      <c r="D7464">
        <v>183</v>
      </c>
    </row>
    <row r="7465" spans="1:4" ht="15.75" customHeight="1">
      <c r="A7465" t="s">
        <v>1354</v>
      </c>
      <c r="B7465" t="s">
        <v>38</v>
      </c>
      <c r="C7465" t="s">
        <v>39</v>
      </c>
      <c r="D7465">
        <v>181</v>
      </c>
    </row>
    <row r="7466" spans="1:4" ht="15.75" customHeight="1">
      <c r="A7466" t="s">
        <v>474</v>
      </c>
      <c r="B7466" t="s">
        <v>38</v>
      </c>
      <c r="C7466" t="s">
        <v>39</v>
      </c>
      <c r="D7466">
        <v>181</v>
      </c>
    </row>
    <row r="7467" spans="1:4" ht="15.75" customHeight="1">
      <c r="A7467" t="s">
        <v>4072</v>
      </c>
      <c r="B7467" t="s">
        <v>38</v>
      </c>
      <c r="C7467" t="s">
        <v>39</v>
      </c>
      <c r="D7467">
        <v>179</v>
      </c>
    </row>
    <row r="7468" spans="1:4" ht="15.75" customHeight="1">
      <c r="A7468" t="s">
        <v>4792</v>
      </c>
      <c r="B7468" t="s">
        <v>38</v>
      </c>
      <c r="C7468" t="s">
        <v>39</v>
      </c>
      <c r="D7468">
        <v>177</v>
      </c>
    </row>
    <row r="7469" spans="1:4" ht="15.75" customHeight="1">
      <c r="A7469" t="s">
        <v>4728</v>
      </c>
      <c r="B7469" t="s">
        <v>38</v>
      </c>
      <c r="C7469" t="s">
        <v>39</v>
      </c>
      <c r="D7469">
        <v>173</v>
      </c>
    </row>
    <row r="7470" spans="1:4" ht="15.75" customHeight="1">
      <c r="A7470" t="s">
        <v>1778</v>
      </c>
      <c r="B7470" t="s">
        <v>38</v>
      </c>
      <c r="C7470" t="s">
        <v>39</v>
      </c>
      <c r="D7470">
        <v>172</v>
      </c>
    </row>
    <row r="7471" spans="1:4" ht="15.75" customHeight="1">
      <c r="A7471" t="s">
        <v>4418</v>
      </c>
      <c r="B7471" t="s">
        <v>38</v>
      </c>
      <c r="C7471" t="s">
        <v>39</v>
      </c>
      <c r="D7471">
        <v>172</v>
      </c>
    </row>
    <row r="7472" spans="1:4" ht="15.75" customHeight="1">
      <c r="A7472" t="s">
        <v>1386</v>
      </c>
      <c r="B7472" t="s">
        <v>38</v>
      </c>
      <c r="C7472" t="s">
        <v>39</v>
      </c>
      <c r="D7472">
        <v>168</v>
      </c>
    </row>
    <row r="7473" spans="1:4" ht="15.75" customHeight="1">
      <c r="A7473" t="s">
        <v>1785</v>
      </c>
      <c r="B7473" t="s">
        <v>38</v>
      </c>
      <c r="C7473" t="s">
        <v>39</v>
      </c>
      <c r="D7473">
        <v>168</v>
      </c>
    </row>
    <row r="7474" spans="1:4" ht="15.75" customHeight="1">
      <c r="A7474" t="s">
        <v>2666</v>
      </c>
      <c r="B7474" t="s">
        <v>38</v>
      </c>
      <c r="C7474" t="s">
        <v>39</v>
      </c>
      <c r="D7474">
        <v>168</v>
      </c>
    </row>
    <row r="7475" spans="1:4" ht="15.75" customHeight="1">
      <c r="A7475" t="s">
        <v>4083</v>
      </c>
      <c r="B7475" t="s">
        <v>38</v>
      </c>
      <c r="C7475" t="s">
        <v>39</v>
      </c>
      <c r="D7475">
        <v>168</v>
      </c>
    </row>
    <row r="7476" spans="1:4" ht="15.75" customHeight="1">
      <c r="A7476" t="s">
        <v>1323</v>
      </c>
      <c r="B7476" t="s">
        <v>38</v>
      </c>
      <c r="C7476" t="s">
        <v>39</v>
      </c>
      <c r="D7476">
        <v>168</v>
      </c>
    </row>
    <row r="7477" spans="1:4" ht="15.75" customHeight="1">
      <c r="A7477" t="s">
        <v>2740</v>
      </c>
      <c r="B7477" t="s">
        <v>38</v>
      </c>
      <c r="C7477" t="s">
        <v>39</v>
      </c>
      <c r="D7477">
        <v>167</v>
      </c>
    </row>
    <row r="7478" spans="1:4" ht="15.75" customHeight="1">
      <c r="A7478" t="s">
        <v>3684</v>
      </c>
      <c r="B7478" t="s">
        <v>38</v>
      </c>
      <c r="C7478" t="s">
        <v>39</v>
      </c>
      <c r="D7478">
        <v>167</v>
      </c>
    </row>
    <row r="7479" spans="1:4" ht="15.75" customHeight="1">
      <c r="A7479" t="s">
        <v>1301</v>
      </c>
      <c r="B7479" t="s">
        <v>38</v>
      </c>
      <c r="C7479" t="s">
        <v>39</v>
      </c>
      <c r="D7479">
        <v>165</v>
      </c>
    </row>
    <row r="7480" spans="1:4" ht="15.75" customHeight="1">
      <c r="A7480" t="s">
        <v>2211</v>
      </c>
      <c r="B7480" t="s">
        <v>38</v>
      </c>
      <c r="C7480" t="s">
        <v>39</v>
      </c>
      <c r="D7480">
        <v>165</v>
      </c>
    </row>
    <row r="7481" spans="1:4" ht="15.75" customHeight="1">
      <c r="A7481" t="s">
        <v>2762</v>
      </c>
      <c r="B7481" t="s">
        <v>38</v>
      </c>
      <c r="C7481" t="s">
        <v>39</v>
      </c>
      <c r="D7481">
        <v>164</v>
      </c>
    </row>
    <row r="7482" spans="1:4" ht="15.75" customHeight="1">
      <c r="A7482" t="s">
        <v>2801</v>
      </c>
      <c r="B7482" t="s">
        <v>38</v>
      </c>
      <c r="C7482" t="s">
        <v>39</v>
      </c>
      <c r="D7482">
        <v>164</v>
      </c>
    </row>
    <row r="7483" spans="1:4" ht="15.75" customHeight="1">
      <c r="A7483" t="s">
        <v>1229</v>
      </c>
      <c r="B7483" t="s">
        <v>38</v>
      </c>
      <c r="C7483" t="s">
        <v>39</v>
      </c>
      <c r="D7483">
        <v>163</v>
      </c>
    </row>
    <row r="7484" spans="1:4" ht="15.75" customHeight="1">
      <c r="A7484" t="s">
        <v>1339</v>
      </c>
      <c r="B7484" t="s">
        <v>38</v>
      </c>
      <c r="C7484" t="s">
        <v>39</v>
      </c>
      <c r="D7484">
        <v>162</v>
      </c>
    </row>
    <row r="7485" spans="1:4" ht="15.75" customHeight="1">
      <c r="A7485" t="s">
        <v>4794</v>
      </c>
      <c r="B7485" t="s">
        <v>38</v>
      </c>
      <c r="C7485" t="s">
        <v>39</v>
      </c>
      <c r="D7485">
        <v>159</v>
      </c>
    </row>
    <row r="7486" spans="1:4" ht="15.75" customHeight="1">
      <c r="A7486" t="s">
        <v>541</v>
      </c>
      <c r="B7486" t="s">
        <v>38</v>
      </c>
      <c r="C7486" t="s">
        <v>39</v>
      </c>
      <c r="D7486">
        <v>159</v>
      </c>
    </row>
    <row r="7487" spans="1:4" ht="15.75" customHeight="1">
      <c r="A7487" t="s">
        <v>3699</v>
      </c>
      <c r="B7487" t="s">
        <v>38</v>
      </c>
      <c r="C7487" t="s">
        <v>39</v>
      </c>
      <c r="D7487">
        <v>157</v>
      </c>
    </row>
    <row r="7488" spans="1:4" ht="15.75" customHeight="1">
      <c r="A7488" t="s">
        <v>2240</v>
      </c>
      <c r="B7488" t="s">
        <v>38</v>
      </c>
      <c r="C7488" t="s">
        <v>39</v>
      </c>
      <c r="D7488">
        <v>155</v>
      </c>
    </row>
    <row r="7489" spans="1:4" ht="15.75" customHeight="1">
      <c r="A7489" t="s">
        <v>2697</v>
      </c>
      <c r="B7489" t="s">
        <v>38</v>
      </c>
      <c r="C7489" t="s">
        <v>39</v>
      </c>
      <c r="D7489">
        <v>155</v>
      </c>
    </row>
    <row r="7490" spans="1:4" ht="15.75" customHeight="1">
      <c r="A7490" t="s">
        <v>4379</v>
      </c>
      <c r="B7490" t="s">
        <v>38</v>
      </c>
      <c r="C7490" t="s">
        <v>39</v>
      </c>
      <c r="D7490">
        <v>155</v>
      </c>
    </row>
    <row r="7491" spans="1:4" ht="15.75" customHeight="1">
      <c r="A7491" t="s">
        <v>521</v>
      </c>
      <c r="B7491" t="s">
        <v>38</v>
      </c>
      <c r="C7491" t="s">
        <v>39</v>
      </c>
      <c r="D7491">
        <v>155</v>
      </c>
    </row>
    <row r="7492" spans="1:4" ht="15.75" customHeight="1">
      <c r="A7492" t="s">
        <v>3162</v>
      </c>
      <c r="B7492" t="s">
        <v>38</v>
      </c>
      <c r="C7492" t="s">
        <v>39</v>
      </c>
      <c r="D7492">
        <v>155</v>
      </c>
    </row>
    <row r="7493" spans="1:4" ht="15.75" customHeight="1">
      <c r="A7493" t="s">
        <v>1310</v>
      </c>
      <c r="B7493" t="s">
        <v>38</v>
      </c>
      <c r="C7493" t="s">
        <v>39</v>
      </c>
      <c r="D7493">
        <v>154</v>
      </c>
    </row>
    <row r="7494" spans="1:4" ht="15.75" customHeight="1">
      <c r="A7494" t="s">
        <v>2703</v>
      </c>
      <c r="B7494" t="s">
        <v>38</v>
      </c>
      <c r="C7494" t="s">
        <v>39</v>
      </c>
      <c r="D7494">
        <v>152</v>
      </c>
    </row>
    <row r="7495" spans="1:4" ht="15.75" customHeight="1">
      <c r="A7495" t="s">
        <v>2788</v>
      </c>
      <c r="B7495" t="s">
        <v>38</v>
      </c>
      <c r="C7495" t="s">
        <v>39</v>
      </c>
      <c r="D7495">
        <v>152</v>
      </c>
    </row>
    <row r="7496" spans="1:4" ht="15.75" customHeight="1">
      <c r="A7496" t="s">
        <v>1797</v>
      </c>
      <c r="B7496" t="s">
        <v>38</v>
      </c>
      <c r="C7496" t="s">
        <v>39</v>
      </c>
      <c r="D7496">
        <v>151</v>
      </c>
    </row>
    <row r="7497" spans="1:4" ht="15.75" customHeight="1">
      <c r="A7497" t="s">
        <v>2850</v>
      </c>
      <c r="B7497" t="s">
        <v>38</v>
      </c>
      <c r="C7497" t="s">
        <v>39</v>
      </c>
      <c r="D7497">
        <v>150</v>
      </c>
    </row>
    <row r="7498" spans="1:4" ht="15.75" customHeight="1">
      <c r="A7498" t="s">
        <v>2253</v>
      </c>
      <c r="B7498" t="s">
        <v>38</v>
      </c>
      <c r="C7498" t="s">
        <v>39</v>
      </c>
      <c r="D7498">
        <v>149</v>
      </c>
    </row>
    <row r="7499" spans="1:4" ht="15.75" customHeight="1">
      <c r="A7499" t="s">
        <v>433</v>
      </c>
      <c r="B7499" t="s">
        <v>38</v>
      </c>
      <c r="C7499" t="s">
        <v>39</v>
      </c>
      <c r="D7499">
        <v>146</v>
      </c>
    </row>
    <row r="7500" spans="1:4" ht="15.75" customHeight="1">
      <c r="A7500" t="s">
        <v>675</v>
      </c>
      <c r="B7500" t="s">
        <v>38</v>
      </c>
      <c r="C7500" t="s">
        <v>39</v>
      </c>
      <c r="D7500">
        <v>146</v>
      </c>
    </row>
    <row r="7501" spans="1:4" ht="15.75" customHeight="1">
      <c r="A7501" t="s">
        <v>530</v>
      </c>
      <c r="B7501" t="s">
        <v>38</v>
      </c>
      <c r="C7501" t="s">
        <v>39</v>
      </c>
      <c r="D7501">
        <v>145</v>
      </c>
    </row>
    <row r="7502" spans="1:4" ht="15.75" customHeight="1">
      <c r="A7502" t="s">
        <v>527</v>
      </c>
      <c r="B7502" t="s">
        <v>38</v>
      </c>
      <c r="C7502" t="s">
        <v>39</v>
      </c>
      <c r="D7502">
        <v>145</v>
      </c>
    </row>
    <row r="7503" spans="1:4" ht="15.75" customHeight="1">
      <c r="A7503" t="s">
        <v>4763</v>
      </c>
      <c r="B7503" t="s">
        <v>38</v>
      </c>
      <c r="C7503" t="s">
        <v>39</v>
      </c>
      <c r="D7503">
        <v>144</v>
      </c>
    </row>
    <row r="7504" spans="1:4" ht="15.75" customHeight="1">
      <c r="A7504" t="s">
        <v>4113</v>
      </c>
      <c r="B7504" t="s">
        <v>38</v>
      </c>
      <c r="C7504" t="s">
        <v>39</v>
      </c>
      <c r="D7504">
        <v>144</v>
      </c>
    </row>
    <row r="7505" spans="1:4" ht="15.75" customHeight="1">
      <c r="A7505" t="s">
        <v>2827</v>
      </c>
      <c r="B7505" t="s">
        <v>38</v>
      </c>
      <c r="C7505" t="s">
        <v>39</v>
      </c>
      <c r="D7505">
        <v>142</v>
      </c>
    </row>
    <row r="7506" spans="1:4" ht="15.75" customHeight="1">
      <c r="A7506" t="s">
        <v>1313</v>
      </c>
      <c r="B7506" t="s">
        <v>38</v>
      </c>
      <c r="C7506" t="s">
        <v>39</v>
      </c>
      <c r="D7506">
        <v>141</v>
      </c>
    </row>
    <row r="7507" spans="1:4" ht="15.75" customHeight="1">
      <c r="A7507" t="s">
        <v>1411</v>
      </c>
      <c r="B7507" t="s">
        <v>38</v>
      </c>
      <c r="C7507" t="s">
        <v>39</v>
      </c>
      <c r="D7507">
        <v>141</v>
      </c>
    </row>
    <row r="7508" spans="1:4" ht="15.75" customHeight="1">
      <c r="A7508" t="s">
        <v>1253</v>
      </c>
      <c r="B7508" t="s">
        <v>38</v>
      </c>
      <c r="C7508" t="s">
        <v>39</v>
      </c>
      <c r="D7508">
        <v>139</v>
      </c>
    </row>
    <row r="7509" spans="1:4" ht="15.75" customHeight="1">
      <c r="A7509" t="s">
        <v>1258</v>
      </c>
      <c r="B7509" t="s">
        <v>38</v>
      </c>
      <c r="C7509" t="s">
        <v>39</v>
      </c>
      <c r="D7509">
        <v>138</v>
      </c>
    </row>
    <row r="7510" spans="1:4" ht="15.75" customHeight="1">
      <c r="A7510" t="s">
        <v>1256</v>
      </c>
      <c r="B7510" t="s">
        <v>38</v>
      </c>
      <c r="C7510" t="s">
        <v>39</v>
      </c>
      <c r="D7510">
        <v>137</v>
      </c>
    </row>
    <row r="7511" spans="1:4" ht="15.75" customHeight="1">
      <c r="A7511" t="s">
        <v>1272</v>
      </c>
      <c r="B7511" t="s">
        <v>38</v>
      </c>
      <c r="C7511" t="s">
        <v>39</v>
      </c>
      <c r="D7511">
        <v>136</v>
      </c>
    </row>
    <row r="7512" spans="1:4" ht="15.75" customHeight="1">
      <c r="A7512" t="s">
        <v>3671</v>
      </c>
      <c r="B7512" t="s">
        <v>38</v>
      </c>
      <c r="C7512" t="s">
        <v>39</v>
      </c>
      <c r="D7512">
        <v>134</v>
      </c>
    </row>
    <row r="7513" spans="1:4" ht="15.75" customHeight="1">
      <c r="A7513" t="s">
        <v>2805</v>
      </c>
      <c r="B7513" t="s">
        <v>38</v>
      </c>
      <c r="C7513" t="s">
        <v>39</v>
      </c>
      <c r="D7513">
        <v>133</v>
      </c>
    </row>
    <row r="7514" spans="1:4" ht="15.75" customHeight="1">
      <c r="A7514" t="s">
        <v>2125</v>
      </c>
      <c r="B7514" t="s">
        <v>38</v>
      </c>
      <c r="C7514" t="s">
        <v>39</v>
      </c>
      <c r="D7514">
        <v>133</v>
      </c>
    </row>
    <row r="7515" spans="1:4" ht="15.75" customHeight="1">
      <c r="A7515" t="s">
        <v>573</v>
      </c>
      <c r="B7515" t="s">
        <v>38</v>
      </c>
      <c r="C7515" t="s">
        <v>39</v>
      </c>
      <c r="D7515">
        <v>133</v>
      </c>
    </row>
    <row r="7516" spans="1:4" ht="15.75" customHeight="1">
      <c r="A7516" t="s">
        <v>1307</v>
      </c>
      <c r="B7516" t="s">
        <v>38</v>
      </c>
      <c r="C7516" t="s">
        <v>39</v>
      </c>
      <c r="D7516">
        <v>132</v>
      </c>
    </row>
    <row r="7517" spans="1:4" ht="15.75" customHeight="1">
      <c r="A7517" t="s">
        <v>1332</v>
      </c>
      <c r="B7517" t="s">
        <v>38</v>
      </c>
      <c r="C7517" t="s">
        <v>39</v>
      </c>
      <c r="D7517">
        <v>131</v>
      </c>
    </row>
    <row r="7518" spans="1:4" ht="15.75" customHeight="1">
      <c r="A7518" t="s">
        <v>585</v>
      </c>
      <c r="B7518" t="s">
        <v>38</v>
      </c>
      <c r="C7518" t="s">
        <v>39</v>
      </c>
      <c r="D7518">
        <v>129</v>
      </c>
    </row>
    <row r="7519" spans="1:4" ht="15.75" customHeight="1">
      <c r="A7519" t="s">
        <v>2837</v>
      </c>
      <c r="B7519" t="s">
        <v>38</v>
      </c>
      <c r="C7519" t="s">
        <v>39</v>
      </c>
      <c r="D7519">
        <v>129</v>
      </c>
    </row>
    <row r="7520" spans="1:4" ht="15.75" customHeight="1">
      <c r="A7520" t="s">
        <v>3707</v>
      </c>
      <c r="B7520" t="s">
        <v>38</v>
      </c>
      <c r="C7520" t="s">
        <v>39</v>
      </c>
      <c r="D7520">
        <v>128</v>
      </c>
    </row>
    <row r="7521" spans="1:4" ht="15.75" customHeight="1">
      <c r="A7521" t="s">
        <v>1389</v>
      </c>
      <c r="B7521" t="s">
        <v>38</v>
      </c>
      <c r="C7521" t="s">
        <v>39</v>
      </c>
      <c r="D7521">
        <v>126</v>
      </c>
    </row>
    <row r="7522" spans="1:4" ht="15.75" customHeight="1">
      <c r="A7522" t="s">
        <v>1744</v>
      </c>
      <c r="B7522" t="s">
        <v>38</v>
      </c>
      <c r="C7522" t="s">
        <v>39</v>
      </c>
      <c r="D7522">
        <v>126</v>
      </c>
    </row>
    <row r="7523" spans="1:4" ht="15.75" customHeight="1">
      <c r="A7523" t="s">
        <v>1383</v>
      </c>
      <c r="B7523" t="s">
        <v>38</v>
      </c>
      <c r="C7523" t="s">
        <v>39</v>
      </c>
      <c r="D7523">
        <v>126</v>
      </c>
    </row>
    <row r="7524" spans="1:4" ht="15.75" customHeight="1">
      <c r="A7524" t="s">
        <v>1343</v>
      </c>
      <c r="B7524" t="s">
        <v>38</v>
      </c>
      <c r="C7524" t="s">
        <v>39</v>
      </c>
      <c r="D7524">
        <v>126</v>
      </c>
    </row>
    <row r="7525" spans="1:4" ht="15.75" customHeight="1">
      <c r="A7525" t="s">
        <v>681</v>
      </c>
      <c r="B7525" t="s">
        <v>38</v>
      </c>
      <c r="C7525" t="s">
        <v>39</v>
      </c>
      <c r="D7525">
        <v>126</v>
      </c>
    </row>
    <row r="7526" spans="1:4" ht="15.75" customHeight="1">
      <c r="A7526" t="s">
        <v>4779</v>
      </c>
      <c r="B7526" t="s">
        <v>38</v>
      </c>
      <c r="C7526" t="s">
        <v>39</v>
      </c>
      <c r="D7526">
        <v>126</v>
      </c>
    </row>
    <row r="7527" spans="1:4" ht="15.75" customHeight="1">
      <c r="A7527" t="s">
        <v>4138</v>
      </c>
      <c r="B7527" t="s">
        <v>38</v>
      </c>
      <c r="C7527" t="s">
        <v>39</v>
      </c>
      <c r="D7527">
        <v>126</v>
      </c>
    </row>
    <row r="7528" spans="1:4" ht="15.75" customHeight="1">
      <c r="A7528" t="s">
        <v>3224</v>
      </c>
      <c r="B7528" t="s">
        <v>38</v>
      </c>
      <c r="C7528" t="s">
        <v>39</v>
      </c>
      <c r="D7528">
        <v>126</v>
      </c>
    </row>
    <row r="7529" spans="1:4" ht="15.75" customHeight="1">
      <c r="A7529" t="s">
        <v>4756</v>
      </c>
      <c r="B7529" t="s">
        <v>38</v>
      </c>
      <c r="C7529" t="s">
        <v>39</v>
      </c>
      <c r="D7529">
        <v>124</v>
      </c>
    </row>
    <row r="7530" spans="1:4" ht="15.75" customHeight="1">
      <c r="A7530" t="s">
        <v>4031</v>
      </c>
      <c r="B7530" t="s">
        <v>38</v>
      </c>
      <c r="C7530" t="s">
        <v>39</v>
      </c>
      <c r="D7530">
        <v>123</v>
      </c>
    </row>
    <row r="7531" spans="1:4" ht="15.75" customHeight="1">
      <c r="A7531" t="s">
        <v>4046</v>
      </c>
      <c r="B7531" t="s">
        <v>38</v>
      </c>
      <c r="C7531" t="s">
        <v>39</v>
      </c>
      <c r="D7531">
        <v>123</v>
      </c>
    </row>
    <row r="7532" spans="1:4" ht="15.75" customHeight="1">
      <c r="A7532" t="s">
        <v>3716</v>
      </c>
      <c r="B7532" t="s">
        <v>38</v>
      </c>
      <c r="C7532" t="s">
        <v>39</v>
      </c>
      <c r="D7532">
        <v>120</v>
      </c>
    </row>
    <row r="7533" spans="1:4" ht="15.75" customHeight="1">
      <c r="A7533" t="s">
        <v>4097</v>
      </c>
      <c r="B7533" t="s">
        <v>38</v>
      </c>
      <c r="C7533" t="s">
        <v>39</v>
      </c>
      <c r="D7533">
        <v>119</v>
      </c>
    </row>
    <row r="7534" spans="1:4" ht="15.75" customHeight="1">
      <c r="A7534" t="s">
        <v>439</v>
      </c>
      <c r="B7534" t="s">
        <v>38</v>
      </c>
      <c r="C7534" t="s">
        <v>39</v>
      </c>
      <c r="D7534">
        <v>119</v>
      </c>
    </row>
    <row r="7535" spans="1:4" ht="15.75" customHeight="1">
      <c r="A7535" t="s">
        <v>2193</v>
      </c>
      <c r="B7535" t="s">
        <v>38</v>
      </c>
      <c r="C7535" t="s">
        <v>39</v>
      </c>
      <c r="D7535">
        <v>118</v>
      </c>
    </row>
    <row r="7536" spans="1:4" ht="15.75" customHeight="1">
      <c r="A7536" t="s">
        <v>4815</v>
      </c>
      <c r="B7536" t="s">
        <v>38</v>
      </c>
      <c r="C7536" t="s">
        <v>39</v>
      </c>
      <c r="D7536">
        <v>118</v>
      </c>
    </row>
    <row r="7537" spans="1:4" ht="15.75" customHeight="1">
      <c r="A7537" t="s">
        <v>4410</v>
      </c>
      <c r="B7537" t="s">
        <v>38</v>
      </c>
      <c r="C7537" t="s">
        <v>39</v>
      </c>
      <c r="D7537">
        <v>118</v>
      </c>
    </row>
    <row r="7538" spans="1:4" ht="15.75" customHeight="1">
      <c r="A7538" t="s">
        <v>2725</v>
      </c>
      <c r="B7538" t="s">
        <v>38</v>
      </c>
      <c r="C7538" t="s">
        <v>39</v>
      </c>
      <c r="D7538">
        <v>117</v>
      </c>
    </row>
    <row r="7539" spans="1:4" ht="15.75" customHeight="1">
      <c r="A7539" t="s">
        <v>2745</v>
      </c>
      <c r="B7539" t="s">
        <v>38</v>
      </c>
      <c r="C7539" t="s">
        <v>39</v>
      </c>
      <c r="D7539">
        <v>116</v>
      </c>
    </row>
    <row r="7540" spans="1:4" ht="15.75" customHeight="1">
      <c r="A7540" t="s">
        <v>3635</v>
      </c>
      <c r="B7540" t="s">
        <v>38</v>
      </c>
      <c r="C7540" t="s">
        <v>39</v>
      </c>
      <c r="D7540">
        <v>114</v>
      </c>
    </row>
    <row r="7541" spans="1:4" ht="15.75" customHeight="1">
      <c r="A7541" t="s">
        <v>2235</v>
      </c>
      <c r="B7541" t="s">
        <v>38</v>
      </c>
      <c r="C7541" t="s">
        <v>39</v>
      </c>
      <c r="D7541">
        <v>112</v>
      </c>
    </row>
    <row r="7542" spans="1:4" ht="15.75" customHeight="1">
      <c r="A7542" t="s">
        <v>4012</v>
      </c>
      <c r="B7542" t="s">
        <v>38</v>
      </c>
      <c r="C7542" t="s">
        <v>39</v>
      </c>
      <c r="D7542">
        <v>111</v>
      </c>
    </row>
    <row r="7543" spans="1:4" ht="15.75" customHeight="1">
      <c r="A7543" t="s">
        <v>3600</v>
      </c>
      <c r="B7543" t="s">
        <v>38</v>
      </c>
      <c r="C7543" t="s">
        <v>39</v>
      </c>
      <c r="D7543">
        <v>111</v>
      </c>
    </row>
    <row r="7544" spans="1:4" ht="15.75" customHeight="1">
      <c r="A7544" t="s">
        <v>2863</v>
      </c>
      <c r="B7544" t="s">
        <v>38</v>
      </c>
      <c r="C7544" t="s">
        <v>39</v>
      </c>
      <c r="D7544">
        <v>111</v>
      </c>
    </row>
    <row r="7545" spans="1:4" ht="15.75" customHeight="1">
      <c r="A7545" t="s">
        <v>2258</v>
      </c>
      <c r="B7545" t="s">
        <v>38</v>
      </c>
      <c r="C7545" t="s">
        <v>39</v>
      </c>
      <c r="D7545">
        <v>111</v>
      </c>
    </row>
    <row r="7546" spans="1:4" ht="15.75" customHeight="1">
      <c r="A7546" t="s">
        <v>4354</v>
      </c>
      <c r="B7546" t="s">
        <v>38</v>
      </c>
      <c r="C7546" t="s">
        <v>39</v>
      </c>
      <c r="D7546">
        <v>109</v>
      </c>
    </row>
    <row r="7547" spans="1:4" ht="15.75" customHeight="1">
      <c r="A7547" t="s">
        <v>4028</v>
      </c>
      <c r="B7547" t="s">
        <v>38</v>
      </c>
      <c r="C7547" t="s">
        <v>39</v>
      </c>
      <c r="D7547">
        <v>108</v>
      </c>
    </row>
    <row r="7548" spans="1:4" ht="15.75" customHeight="1">
      <c r="A7548" t="s">
        <v>607</v>
      </c>
      <c r="B7548" t="s">
        <v>38</v>
      </c>
      <c r="C7548" t="s">
        <v>39</v>
      </c>
      <c r="D7548">
        <v>108</v>
      </c>
    </row>
    <row r="7549" spans="1:4" ht="15.75" customHeight="1">
      <c r="A7549" t="s">
        <v>1357</v>
      </c>
      <c r="B7549" t="s">
        <v>38</v>
      </c>
      <c r="C7549" t="s">
        <v>39</v>
      </c>
      <c r="D7549">
        <v>107</v>
      </c>
    </row>
    <row r="7550" spans="1:4" ht="15.75" customHeight="1">
      <c r="A7550" t="s">
        <v>2264</v>
      </c>
      <c r="B7550" t="s">
        <v>38</v>
      </c>
      <c r="C7550" t="s">
        <v>39</v>
      </c>
      <c r="D7550">
        <v>106</v>
      </c>
    </row>
    <row r="7551" spans="1:4" ht="15.75" customHeight="1">
      <c r="A7551" t="s">
        <v>3275</v>
      </c>
      <c r="B7551" t="s">
        <v>38</v>
      </c>
      <c r="C7551" t="s">
        <v>39</v>
      </c>
      <c r="D7551">
        <v>106</v>
      </c>
    </row>
    <row r="7552" spans="1:4" ht="15.75" customHeight="1">
      <c r="A7552" t="s">
        <v>513</v>
      </c>
      <c r="B7552" t="s">
        <v>38</v>
      </c>
      <c r="C7552" t="s">
        <v>39</v>
      </c>
      <c r="D7552">
        <v>105</v>
      </c>
    </row>
    <row r="7553" spans="1:4" ht="15.75" customHeight="1">
      <c r="A7553" t="s">
        <v>1451</v>
      </c>
      <c r="B7553" t="s">
        <v>38</v>
      </c>
      <c r="C7553" t="s">
        <v>39</v>
      </c>
      <c r="D7553">
        <v>104</v>
      </c>
    </row>
    <row r="7554" spans="1:4" ht="15.75" customHeight="1">
      <c r="A7554" t="s">
        <v>3681</v>
      </c>
      <c r="B7554" t="s">
        <v>38</v>
      </c>
      <c r="C7554" t="s">
        <v>39</v>
      </c>
      <c r="D7554">
        <v>104</v>
      </c>
    </row>
    <row r="7555" spans="1:4" ht="15.75" customHeight="1">
      <c r="A7555" t="s">
        <v>2650</v>
      </c>
      <c r="B7555" t="s">
        <v>38</v>
      </c>
      <c r="C7555" t="s">
        <v>39</v>
      </c>
      <c r="D7555">
        <v>103</v>
      </c>
    </row>
    <row r="7556" spans="1:4" ht="15.75" customHeight="1">
      <c r="A7556" t="s">
        <v>4020</v>
      </c>
      <c r="B7556" t="s">
        <v>38</v>
      </c>
      <c r="C7556" t="s">
        <v>39</v>
      </c>
      <c r="D7556">
        <v>103</v>
      </c>
    </row>
    <row r="7557" spans="1:4" ht="15.75" customHeight="1">
      <c r="A7557" t="s">
        <v>1723</v>
      </c>
      <c r="B7557" t="s">
        <v>38</v>
      </c>
      <c r="C7557" t="s">
        <v>39</v>
      </c>
      <c r="D7557">
        <v>102</v>
      </c>
    </row>
    <row r="7558" spans="1:4" ht="15.75" customHeight="1">
      <c r="A7558" t="s">
        <v>4126</v>
      </c>
      <c r="B7558" t="s">
        <v>38</v>
      </c>
      <c r="C7558" t="s">
        <v>39</v>
      </c>
      <c r="D7558">
        <v>100</v>
      </c>
    </row>
    <row r="7559" spans="1:4" ht="15.75" customHeight="1">
      <c r="A7559" t="s">
        <v>1780</v>
      </c>
      <c r="B7559" t="s">
        <v>38</v>
      </c>
      <c r="C7559" t="s">
        <v>39</v>
      </c>
      <c r="D7559">
        <v>99</v>
      </c>
    </row>
    <row r="7560" spans="1:4" ht="15.75" customHeight="1">
      <c r="A7560" t="s">
        <v>4841</v>
      </c>
      <c r="B7560" t="s">
        <v>38</v>
      </c>
      <c r="C7560" t="s">
        <v>39</v>
      </c>
      <c r="D7560">
        <v>99</v>
      </c>
    </row>
    <row r="7561" spans="1:4" ht="15.75" customHeight="1">
      <c r="A7561" t="s">
        <v>1298</v>
      </c>
      <c r="B7561" t="s">
        <v>38</v>
      </c>
      <c r="C7561" t="s">
        <v>39</v>
      </c>
      <c r="D7561">
        <v>97</v>
      </c>
    </row>
    <row r="7562" spans="1:4" ht="15.75" customHeight="1">
      <c r="A7562" t="s">
        <v>4134</v>
      </c>
      <c r="B7562" t="s">
        <v>38</v>
      </c>
      <c r="C7562" t="s">
        <v>39</v>
      </c>
      <c r="D7562">
        <v>95</v>
      </c>
    </row>
    <row r="7563" spans="1:4" ht="15.75" customHeight="1">
      <c r="A7563" t="s">
        <v>462</v>
      </c>
      <c r="B7563" t="s">
        <v>38</v>
      </c>
      <c r="C7563" t="s">
        <v>39</v>
      </c>
      <c r="D7563">
        <v>94</v>
      </c>
    </row>
    <row r="7564" spans="1:4" ht="15.75" customHeight="1">
      <c r="A7564" t="s">
        <v>2795</v>
      </c>
      <c r="B7564" t="s">
        <v>38</v>
      </c>
      <c r="C7564" t="s">
        <v>39</v>
      </c>
      <c r="D7564">
        <v>93</v>
      </c>
    </row>
    <row r="7565" spans="1:4" ht="15.75" customHeight="1">
      <c r="A7565" t="s">
        <v>4406</v>
      </c>
      <c r="B7565" t="s">
        <v>38</v>
      </c>
      <c r="C7565" t="s">
        <v>39</v>
      </c>
      <c r="D7565">
        <v>93</v>
      </c>
    </row>
    <row r="7566" spans="1:4" ht="15.75" customHeight="1">
      <c r="A7566" t="s">
        <v>1250</v>
      </c>
      <c r="B7566" t="s">
        <v>38</v>
      </c>
      <c r="C7566" t="s">
        <v>39</v>
      </c>
      <c r="D7566">
        <v>92</v>
      </c>
    </row>
    <row r="7567" spans="1:4" ht="15.75" customHeight="1">
      <c r="A7567" t="s">
        <v>536</v>
      </c>
      <c r="B7567" t="s">
        <v>38</v>
      </c>
      <c r="C7567" t="s">
        <v>39</v>
      </c>
      <c r="D7567">
        <v>92</v>
      </c>
    </row>
    <row r="7568" spans="1:4" ht="15.75" customHeight="1">
      <c r="A7568" t="s">
        <v>1363</v>
      </c>
      <c r="B7568" t="s">
        <v>38</v>
      </c>
      <c r="C7568" t="s">
        <v>39</v>
      </c>
      <c r="D7568">
        <v>92</v>
      </c>
    </row>
    <row r="7569" spans="1:4" ht="15.75" customHeight="1">
      <c r="A7569" t="s">
        <v>1439</v>
      </c>
      <c r="B7569" t="s">
        <v>38</v>
      </c>
      <c r="C7569" t="s">
        <v>39</v>
      </c>
      <c r="D7569">
        <v>89</v>
      </c>
    </row>
    <row r="7570" spans="1:4" ht="15.75" customHeight="1">
      <c r="A7570" t="s">
        <v>2781</v>
      </c>
      <c r="B7570" t="s">
        <v>38</v>
      </c>
      <c r="C7570" t="s">
        <v>39</v>
      </c>
      <c r="D7570">
        <v>89</v>
      </c>
    </row>
    <row r="7571" spans="1:4" ht="15.75" customHeight="1">
      <c r="A7571" t="s">
        <v>3649</v>
      </c>
      <c r="B7571" t="s">
        <v>38</v>
      </c>
      <c r="C7571" t="s">
        <v>39</v>
      </c>
      <c r="D7571">
        <v>88</v>
      </c>
    </row>
    <row r="7572" spans="1:4" ht="15.75" customHeight="1">
      <c r="A7572" t="s">
        <v>485</v>
      </c>
      <c r="B7572" t="s">
        <v>38</v>
      </c>
      <c r="C7572" t="s">
        <v>39</v>
      </c>
      <c r="D7572">
        <v>87</v>
      </c>
    </row>
    <row r="7573" spans="1:4" ht="15.75" customHeight="1">
      <c r="A7573" t="s">
        <v>3293</v>
      </c>
      <c r="B7573" t="s">
        <v>38</v>
      </c>
      <c r="C7573" t="s">
        <v>39</v>
      </c>
      <c r="D7573">
        <v>87</v>
      </c>
    </row>
    <row r="7574" spans="1:4" ht="15.75" customHeight="1">
      <c r="A7574" t="s">
        <v>2208</v>
      </c>
      <c r="B7574" t="s">
        <v>38</v>
      </c>
      <c r="C7574" t="s">
        <v>39</v>
      </c>
      <c r="D7574">
        <v>87</v>
      </c>
    </row>
    <row r="7575" spans="1:4" ht="15.75" customHeight="1">
      <c r="A7575" t="s">
        <v>597</v>
      </c>
      <c r="B7575" t="s">
        <v>38</v>
      </c>
      <c r="C7575" t="s">
        <v>39</v>
      </c>
      <c r="D7575">
        <v>86</v>
      </c>
    </row>
    <row r="7576" spans="1:4" ht="15.75" customHeight="1">
      <c r="A7576" t="s">
        <v>2654</v>
      </c>
      <c r="B7576" t="s">
        <v>38</v>
      </c>
      <c r="C7576" t="s">
        <v>39</v>
      </c>
      <c r="D7576">
        <v>84</v>
      </c>
    </row>
    <row r="7577" spans="1:4" ht="15.75" customHeight="1">
      <c r="A7577" t="s">
        <v>4742</v>
      </c>
      <c r="B7577" t="s">
        <v>38</v>
      </c>
      <c r="C7577" t="s">
        <v>39</v>
      </c>
      <c r="D7577">
        <v>84</v>
      </c>
    </row>
    <row r="7578" spans="1:4" ht="15.75" customHeight="1">
      <c r="A7578" t="s">
        <v>4059</v>
      </c>
      <c r="B7578" t="s">
        <v>38</v>
      </c>
      <c r="C7578" t="s">
        <v>39</v>
      </c>
      <c r="D7578">
        <v>84</v>
      </c>
    </row>
    <row r="7579" spans="1:4" ht="15.75" customHeight="1">
      <c r="A7579" t="s">
        <v>4376</v>
      </c>
      <c r="B7579" t="s">
        <v>38</v>
      </c>
      <c r="C7579" t="s">
        <v>39</v>
      </c>
      <c r="D7579">
        <v>83</v>
      </c>
    </row>
    <row r="7580" spans="1:4" ht="15.75" customHeight="1">
      <c r="A7580" t="s">
        <v>2753</v>
      </c>
      <c r="B7580" t="s">
        <v>38</v>
      </c>
      <c r="C7580" t="s">
        <v>39</v>
      </c>
      <c r="D7580">
        <v>82</v>
      </c>
    </row>
    <row r="7581" spans="1:4" ht="15.75" customHeight="1">
      <c r="A7581" t="s">
        <v>3238</v>
      </c>
      <c r="B7581" t="s">
        <v>38</v>
      </c>
      <c r="C7581" t="s">
        <v>39</v>
      </c>
      <c r="D7581">
        <v>82</v>
      </c>
    </row>
    <row r="7582" spans="1:4" ht="15.75" customHeight="1">
      <c r="A7582" t="s">
        <v>2671</v>
      </c>
      <c r="B7582" t="s">
        <v>38</v>
      </c>
      <c r="C7582" t="s">
        <v>39</v>
      </c>
      <c r="D7582">
        <v>81</v>
      </c>
    </row>
    <row r="7583" spans="1:4" ht="15.75" customHeight="1">
      <c r="A7583" t="s">
        <v>502</v>
      </c>
      <c r="B7583" t="s">
        <v>38</v>
      </c>
      <c r="C7583" t="s">
        <v>39</v>
      </c>
      <c r="D7583">
        <v>80</v>
      </c>
    </row>
    <row r="7584" spans="1:4" ht="15.75" customHeight="1">
      <c r="A7584" t="s">
        <v>1391</v>
      </c>
      <c r="B7584" t="s">
        <v>38</v>
      </c>
      <c r="C7584" t="s">
        <v>39</v>
      </c>
      <c r="D7584">
        <v>80</v>
      </c>
    </row>
    <row r="7585" spans="1:4" ht="15.75" customHeight="1">
      <c r="A7585" t="s">
        <v>3705</v>
      </c>
      <c r="B7585" t="s">
        <v>38</v>
      </c>
      <c r="C7585" t="s">
        <v>39</v>
      </c>
      <c r="D7585">
        <v>79</v>
      </c>
    </row>
    <row r="7586" spans="1:4" ht="15.75" customHeight="1">
      <c r="A7586" t="s">
        <v>4827</v>
      </c>
      <c r="B7586" t="s">
        <v>38</v>
      </c>
      <c r="C7586" t="s">
        <v>39</v>
      </c>
      <c r="D7586">
        <v>79</v>
      </c>
    </row>
    <row r="7587" spans="1:4" ht="15.75" customHeight="1">
      <c r="A7587" t="s">
        <v>3589</v>
      </c>
      <c r="B7587" t="s">
        <v>38</v>
      </c>
      <c r="C7587" t="s">
        <v>39</v>
      </c>
      <c r="D7587">
        <v>79</v>
      </c>
    </row>
    <row r="7588" spans="1:4" ht="15.75" customHeight="1">
      <c r="A7588" t="s">
        <v>3132</v>
      </c>
      <c r="B7588" t="s">
        <v>38</v>
      </c>
      <c r="C7588" t="s">
        <v>39</v>
      </c>
      <c r="D7588">
        <v>78</v>
      </c>
    </row>
    <row r="7589" spans="1:4" ht="15.75" customHeight="1">
      <c r="A7589" t="s">
        <v>2721</v>
      </c>
      <c r="B7589" t="s">
        <v>38</v>
      </c>
      <c r="C7589" t="s">
        <v>39</v>
      </c>
      <c r="D7589">
        <v>77</v>
      </c>
    </row>
    <row r="7590" spans="1:4" ht="15.75" customHeight="1">
      <c r="A7590" t="s">
        <v>2778</v>
      </c>
      <c r="B7590" t="s">
        <v>38</v>
      </c>
      <c r="C7590" t="s">
        <v>39</v>
      </c>
      <c r="D7590">
        <v>75</v>
      </c>
    </row>
    <row r="7591" spans="1:4" ht="15.75" customHeight="1">
      <c r="A7591" t="s">
        <v>2099</v>
      </c>
      <c r="B7591" t="s">
        <v>38</v>
      </c>
      <c r="C7591" t="s">
        <v>39</v>
      </c>
      <c r="D7591">
        <v>75</v>
      </c>
    </row>
    <row r="7592" spans="1:4" ht="15.75" customHeight="1">
      <c r="A7592" t="s">
        <v>2759</v>
      </c>
      <c r="B7592" t="s">
        <v>38</v>
      </c>
      <c r="C7592" t="s">
        <v>39</v>
      </c>
      <c r="D7592">
        <v>73</v>
      </c>
    </row>
    <row r="7593" spans="1:4" ht="15.75" customHeight="1">
      <c r="A7593" t="s">
        <v>2793</v>
      </c>
      <c r="B7593" t="s">
        <v>38</v>
      </c>
      <c r="C7593" t="s">
        <v>39</v>
      </c>
      <c r="D7593">
        <v>72</v>
      </c>
    </row>
    <row r="7594" spans="1:4" ht="15.75" customHeight="1">
      <c r="A7594" t="s">
        <v>2206</v>
      </c>
      <c r="B7594" t="s">
        <v>38</v>
      </c>
      <c r="C7594" t="s">
        <v>39</v>
      </c>
      <c r="D7594">
        <v>72</v>
      </c>
    </row>
    <row r="7595" spans="1:4" ht="15.75" customHeight="1">
      <c r="A7595" t="s">
        <v>4105</v>
      </c>
      <c r="B7595" t="s">
        <v>38</v>
      </c>
      <c r="C7595" t="s">
        <v>39</v>
      </c>
      <c r="D7595">
        <v>71</v>
      </c>
    </row>
    <row r="7596" spans="1:4" ht="15.75" customHeight="1">
      <c r="A7596" t="s">
        <v>509</v>
      </c>
      <c r="B7596" t="s">
        <v>38</v>
      </c>
      <c r="C7596" t="s">
        <v>39</v>
      </c>
      <c r="D7596">
        <v>71</v>
      </c>
    </row>
    <row r="7597" spans="1:4" ht="15.75" customHeight="1">
      <c r="A7597" t="s">
        <v>1714</v>
      </c>
      <c r="B7597" t="s">
        <v>38</v>
      </c>
      <c r="C7597" t="s">
        <v>39</v>
      </c>
      <c r="D7597">
        <v>70</v>
      </c>
    </row>
    <row r="7598" spans="1:4" ht="15.75" customHeight="1">
      <c r="A7598" t="s">
        <v>3229</v>
      </c>
      <c r="B7598" t="s">
        <v>38</v>
      </c>
      <c r="C7598" t="s">
        <v>39</v>
      </c>
      <c r="D7598">
        <v>70</v>
      </c>
    </row>
    <row r="7599" spans="1:4" ht="15.75" customHeight="1">
      <c r="A7599" t="s">
        <v>3211</v>
      </c>
      <c r="B7599" t="s">
        <v>38</v>
      </c>
      <c r="C7599" t="s">
        <v>39</v>
      </c>
      <c r="D7599">
        <v>70</v>
      </c>
    </row>
    <row r="7600" spans="1:4" ht="15.75" customHeight="1">
      <c r="A7600" t="s">
        <v>2229</v>
      </c>
      <c r="B7600" t="s">
        <v>38</v>
      </c>
      <c r="C7600" t="s">
        <v>39</v>
      </c>
      <c r="D7600">
        <v>69</v>
      </c>
    </row>
    <row r="7601" spans="1:4" ht="15.75" customHeight="1">
      <c r="A7601" t="s">
        <v>477</v>
      </c>
      <c r="B7601" t="s">
        <v>38</v>
      </c>
      <c r="C7601" t="s">
        <v>39</v>
      </c>
      <c r="D7601">
        <v>67</v>
      </c>
    </row>
    <row r="7602" spans="1:4" ht="15.75" customHeight="1">
      <c r="A7602" t="s">
        <v>1693</v>
      </c>
      <c r="B7602" t="s">
        <v>38</v>
      </c>
      <c r="C7602" t="s">
        <v>39</v>
      </c>
      <c r="D7602">
        <v>67</v>
      </c>
    </row>
    <row r="7603" spans="1:4" ht="15.75" customHeight="1">
      <c r="A7603" t="s">
        <v>1718</v>
      </c>
      <c r="B7603" t="s">
        <v>38</v>
      </c>
      <c r="C7603" t="s">
        <v>39</v>
      </c>
      <c r="D7603">
        <v>66</v>
      </c>
    </row>
    <row r="7604" spans="1:4" ht="15.75" customHeight="1">
      <c r="A7604" t="s">
        <v>3244</v>
      </c>
      <c r="B7604" t="s">
        <v>38</v>
      </c>
      <c r="C7604" t="s">
        <v>39</v>
      </c>
      <c r="D7604">
        <v>66</v>
      </c>
    </row>
    <row r="7605" spans="1:4" ht="15.75" customHeight="1">
      <c r="A7605" t="s">
        <v>533</v>
      </c>
      <c r="B7605" t="s">
        <v>38</v>
      </c>
      <c r="C7605" t="s">
        <v>39</v>
      </c>
      <c r="D7605">
        <v>66</v>
      </c>
    </row>
    <row r="7606" spans="1:4" ht="15.75" customHeight="1">
      <c r="A7606" t="s">
        <v>3261</v>
      </c>
      <c r="B7606" t="s">
        <v>38</v>
      </c>
      <c r="C7606" t="s">
        <v>39</v>
      </c>
      <c r="D7606">
        <v>66</v>
      </c>
    </row>
    <row r="7607" spans="1:4" ht="15.75" customHeight="1">
      <c r="A7607" t="s">
        <v>2675</v>
      </c>
      <c r="B7607" t="s">
        <v>38</v>
      </c>
      <c r="C7607" t="s">
        <v>39</v>
      </c>
      <c r="D7607">
        <v>65</v>
      </c>
    </row>
    <row r="7608" spans="1:4" ht="15.75" customHeight="1">
      <c r="A7608" t="s">
        <v>1393</v>
      </c>
      <c r="B7608" t="s">
        <v>38</v>
      </c>
      <c r="C7608" t="s">
        <v>39</v>
      </c>
      <c r="D7608">
        <v>65</v>
      </c>
    </row>
    <row r="7609" spans="1:4" ht="15.75" customHeight="1">
      <c r="A7609" t="s">
        <v>2790</v>
      </c>
      <c r="B7609" t="s">
        <v>38</v>
      </c>
      <c r="C7609" t="s">
        <v>39</v>
      </c>
      <c r="D7609">
        <v>64</v>
      </c>
    </row>
    <row r="7610" spans="1:4" ht="15.75" customHeight="1">
      <c r="A7610" t="s">
        <v>2769</v>
      </c>
      <c r="B7610" t="s">
        <v>38</v>
      </c>
      <c r="C7610" t="s">
        <v>39</v>
      </c>
      <c r="D7610">
        <v>64</v>
      </c>
    </row>
    <row r="7611" spans="1:4" ht="15.75" customHeight="1">
      <c r="A7611" t="s">
        <v>4124</v>
      </c>
      <c r="B7611" t="s">
        <v>38</v>
      </c>
      <c r="C7611" t="s">
        <v>39</v>
      </c>
      <c r="D7611">
        <v>64</v>
      </c>
    </row>
    <row r="7612" spans="1:4" ht="15.75" customHeight="1">
      <c r="A7612" t="s">
        <v>1772</v>
      </c>
      <c r="B7612" t="s">
        <v>38</v>
      </c>
      <c r="C7612" t="s">
        <v>39</v>
      </c>
      <c r="D7612">
        <v>64</v>
      </c>
    </row>
    <row r="7613" spans="1:4" ht="15.75" customHeight="1">
      <c r="A7613" t="s">
        <v>2756</v>
      </c>
      <c r="B7613" t="s">
        <v>38</v>
      </c>
      <c r="C7613" t="s">
        <v>39</v>
      </c>
      <c r="D7613">
        <v>63</v>
      </c>
    </row>
    <row r="7614" spans="1:4" ht="15.75" customHeight="1">
      <c r="A7614" t="s">
        <v>4051</v>
      </c>
      <c r="B7614" t="s">
        <v>38</v>
      </c>
      <c r="C7614" t="s">
        <v>39</v>
      </c>
      <c r="D7614">
        <v>62</v>
      </c>
    </row>
    <row r="7615" spans="1:4" ht="15.75" customHeight="1">
      <c r="A7615" t="s">
        <v>3720</v>
      </c>
      <c r="B7615" t="s">
        <v>38</v>
      </c>
      <c r="C7615" t="s">
        <v>39</v>
      </c>
      <c r="D7615">
        <v>62</v>
      </c>
    </row>
    <row r="7616" spans="1:4" ht="15.75" customHeight="1">
      <c r="A7616" t="s">
        <v>2681</v>
      </c>
      <c r="B7616" t="s">
        <v>38</v>
      </c>
      <c r="C7616" t="s">
        <v>39</v>
      </c>
      <c r="D7616">
        <v>62</v>
      </c>
    </row>
    <row r="7617" spans="1:4" ht="15.75" customHeight="1">
      <c r="A7617" t="s">
        <v>488</v>
      </c>
      <c r="B7617" t="s">
        <v>38</v>
      </c>
      <c r="C7617" t="s">
        <v>39</v>
      </c>
      <c r="D7617">
        <v>61</v>
      </c>
    </row>
    <row r="7618" spans="1:4" ht="15.75" customHeight="1">
      <c r="A7618" t="s">
        <v>3213</v>
      </c>
      <c r="B7618" t="s">
        <v>38</v>
      </c>
      <c r="C7618" t="s">
        <v>39</v>
      </c>
      <c r="D7618">
        <v>60</v>
      </c>
    </row>
    <row r="7619" spans="1:4" ht="15.75" customHeight="1">
      <c r="A7619" t="s">
        <v>1754</v>
      </c>
      <c r="B7619" t="s">
        <v>38</v>
      </c>
      <c r="C7619" t="s">
        <v>39</v>
      </c>
      <c r="D7619">
        <v>59</v>
      </c>
    </row>
    <row r="7620" spans="1:4" ht="15.75" customHeight="1">
      <c r="A7620" t="s">
        <v>3629</v>
      </c>
      <c r="B7620" t="s">
        <v>38</v>
      </c>
      <c r="C7620" t="s">
        <v>39</v>
      </c>
      <c r="D7620">
        <v>58</v>
      </c>
    </row>
    <row r="7621" spans="1:4" ht="15.75" customHeight="1">
      <c r="A7621" t="s">
        <v>1341</v>
      </c>
      <c r="B7621" t="s">
        <v>38</v>
      </c>
      <c r="C7621" t="s">
        <v>39</v>
      </c>
      <c r="D7621">
        <v>57</v>
      </c>
    </row>
    <row r="7622" spans="1:4" ht="15.75" customHeight="1">
      <c r="A7622" t="s">
        <v>1395</v>
      </c>
      <c r="B7622" t="s">
        <v>38</v>
      </c>
      <c r="C7622" t="s">
        <v>39</v>
      </c>
      <c r="D7622">
        <v>57</v>
      </c>
    </row>
    <row r="7623" spans="1:4" ht="15.75" customHeight="1">
      <c r="A7623" t="s">
        <v>4740</v>
      </c>
      <c r="B7623" t="s">
        <v>38</v>
      </c>
      <c r="C7623" t="s">
        <v>39</v>
      </c>
      <c r="D7623">
        <v>57</v>
      </c>
    </row>
    <row r="7624" spans="1:4" ht="15.75" customHeight="1">
      <c r="A7624" t="s">
        <v>4837</v>
      </c>
      <c r="B7624" t="s">
        <v>38</v>
      </c>
      <c r="C7624" t="s">
        <v>39</v>
      </c>
      <c r="D7624">
        <v>57</v>
      </c>
    </row>
    <row r="7625" spans="1:4" ht="15.75" customHeight="1">
      <c r="A7625" t="s">
        <v>3726</v>
      </c>
      <c r="B7625" t="s">
        <v>38</v>
      </c>
      <c r="C7625" t="s">
        <v>39</v>
      </c>
      <c r="D7625">
        <v>55</v>
      </c>
    </row>
    <row r="7626" spans="1:4" ht="15.75" customHeight="1">
      <c r="A7626" t="s">
        <v>3692</v>
      </c>
      <c r="B7626" t="s">
        <v>38</v>
      </c>
      <c r="C7626" t="s">
        <v>39</v>
      </c>
      <c r="D7626">
        <v>55</v>
      </c>
    </row>
    <row r="7627" spans="1:4" ht="15.75" customHeight="1">
      <c r="A7627" t="s">
        <v>2233</v>
      </c>
      <c r="B7627" t="s">
        <v>38</v>
      </c>
      <c r="C7627" t="s">
        <v>39</v>
      </c>
      <c r="D7627">
        <v>55</v>
      </c>
    </row>
    <row r="7628" spans="1:4" ht="15.75" customHeight="1">
      <c r="A7628" t="s">
        <v>1700</v>
      </c>
      <c r="B7628" t="s">
        <v>38</v>
      </c>
      <c r="C7628" t="s">
        <v>39</v>
      </c>
      <c r="D7628">
        <v>54</v>
      </c>
    </row>
    <row r="7629" spans="1:4" ht="15.75" customHeight="1">
      <c r="A7629" t="s">
        <v>599</v>
      </c>
      <c r="B7629" t="s">
        <v>38</v>
      </c>
      <c r="C7629" t="s">
        <v>39</v>
      </c>
      <c r="D7629">
        <v>54</v>
      </c>
    </row>
    <row r="7630" spans="1:4" ht="15.75" customHeight="1">
      <c r="A7630" t="s">
        <v>2748</v>
      </c>
      <c r="B7630" t="s">
        <v>38</v>
      </c>
      <c r="C7630" t="s">
        <v>39</v>
      </c>
      <c r="D7630">
        <v>54</v>
      </c>
    </row>
    <row r="7631" spans="1:4" ht="15.75" customHeight="1">
      <c r="A7631" t="s">
        <v>4744</v>
      </c>
      <c r="B7631" t="s">
        <v>38</v>
      </c>
      <c r="C7631" t="s">
        <v>39</v>
      </c>
      <c r="D7631">
        <v>54</v>
      </c>
    </row>
    <row r="7632" spans="1:4" ht="15.75" customHeight="1">
      <c r="A7632" t="s">
        <v>611</v>
      </c>
      <c r="B7632" t="s">
        <v>38</v>
      </c>
      <c r="C7632" t="s">
        <v>39</v>
      </c>
      <c r="D7632">
        <v>53</v>
      </c>
    </row>
    <row r="7633" spans="1:4" ht="15.75" customHeight="1">
      <c r="A7633" t="s">
        <v>3207</v>
      </c>
      <c r="B7633" t="s">
        <v>38</v>
      </c>
      <c r="C7633" t="s">
        <v>39</v>
      </c>
      <c r="D7633">
        <v>52</v>
      </c>
    </row>
    <row r="7634" spans="1:4" ht="15.75" customHeight="1">
      <c r="A7634" t="s">
        <v>3660</v>
      </c>
      <c r="B7634" t="s">
        <v>38</v>
      </c>
      <c r="C7634" t="s">
        <v>39</v>
      </c>
      <c r="D7634">
        <v>52</v>
      </c>
    </row>
    <row r="7635" spans="1:4" ht="15.75" customHeight="1">
      <c r="A7635" t="s">
        <v>4722</v>
      </c>
      <c r="B7635" t="s">
        <v>38</v>
      </c>
      <c r="C7635" t="s">
        <v>39</v>
      </c>
      <c r="D7635">
        <v>49</v>
      </c>
    </row>
    <row r="7636" spans="1:4" ht="15.75" customHeight="1">
      <c r="A7636" t="s">
        <v>2204</v>
      </c>
      <c r="B7636" t="s">
        <v>38</v>
      </c>
      <c r="C7636" t="s">
        <v>39</v>
      </c>
      <c r="D7636">
        <v>49</v>
      </c>
    </row>
    <row r="7637" spans="1:4" ht="15.75" customHeight="1">
      <c r="A7637" t="s">
        <v>1345</v>
      </c>
      <c r="B7637" t="s">
        <v>38</v>
      </c>
      <c r="C7637" t="s">
        <v>39</v>
      </c>
      <c r="D7637">
        <v>48</v>
      </c>
    </row>
    <row r="7638" spans="1:4" ht="15.75" customHeight="1">
      <c r="A7638" t="s">
        <v>1770</v>
      </c>
      <c r="B7638" t="s">
        <v>38</v>
      </c>
      <c r="C7638" t="s">
        <v>39</v>
      </c>
      <c r="D7638">
        <v>48</v>
      </c>
    </row>
    <row r="7639" spans="1:4" ht="15.75" customHeight="1">
      <c r="A7639" t="s">
        <v>3269</v>
      </c>
      <c r="B7639" t="s">
        <v>38</v>
      </c>
      <c r="C7639" t="s">
        <v>39</v>
      </c>
      <c r="D7639">
        <v>48</v>
      </c>
    </row>
    <row r="7640" spans="1:4" ht="15.75" customHeight="1">
      <c r="A7640" t="s">
        <v>1285</v>
      </c>
      <c r="B7640" t="s">
        <v>38</v>
      </c>
      <c r="C7640" t="s">
        <v>39</v>
      </c>
      <c r="D7640">
        <v>47</v>
      </c>
    </row>
    <row r="7641" spans="1:4" ht="15.75" customHeight="1">
      <c r="A7641" t="s">
        <v>3710</v>
      </c>
      <c r="B7641" t="s">
        <v>38</v>
      </c>
      <c r="C7641" t="s">
        <v>39</v>
      </c>
      <c r="D7641">
        <v>47</v>
      </c>
    </row>
    <row r="7642" spans="1:4" ht="15.75" customHeight="1">
      <c r="A7642" t="s">
        <v>1738</v>
      </c>
      <c r="B7642" t="s">
        <v>38</v>
      </c>
      <c r="C7642" t="s">
        <v>39</v>
      </c>
      <c r="D7642">
        <v>46</v>
      </c>
    </row>
    <row r="7643" spans="1:4" ht="15.75" customHeight="1">
      <c r="A7643" t="s">
        <v>4420</v>
      </c>
      <c r="B7643" t="s">
        <v>38</v>
      </c>
      <c r="C7643" t="s">
        <v>39</v>
      </c>
      <c r="D7643">
        <v>45</v>
      </c>
    </row>
    <row r="7644" spans="1:4" ht="15.75" customHeight="1">
      <c r="A7644" t="s">
        <v>3647</v>
      </c>
      <c r="B7644" t="s">
        <v>38</v>
      </c>
      <c r="C7644" t="s">
        <v>39</v>
      </c>
      <c r="D7644">
        <v>45</v>
      </c>
    </row>
    <row r="7645" spans="1:4" ht="15.75" customHeight="1">
      <c r="A7645" t="s">
        <v>3272</v>
      </c>
      <c r="B7645" t="s">
        <v>38</v>
      </c>
      <c r="C7645" t="s">
        <v>39</v>
      </c>
      <c r="D7645">
        <v>43</v>
      </c>
    </row>
    <row r="7646" spans="1:4" ht="15.75" customHeight="1">
      <c r="A7646" t="s">
        <v>1402</v>
      </c>
      <c r="B7646" t="s">
        <v>38</v>
      </c>
      <c r="C7646" t="s">
        <v>39</v>
      </c>
      <c r="D7646">
        <v>43</v>
      </c>
    </row>
    <row r="7647" spans="1:4" ht="15.75" customHeight="1">
      <c r="A7647" t="s">
        <v>3219</v>
      </c>
      <c r="B7647" t="s">
        <v>38</v>
      </c>
      <c r="C7647" t="s">
        <v>39</v>
      </c>
      <c r="D7647">
        <v>42</v>
      </c>
    </row>
    <row r="7648" spans="1:4" ht="15.75" customHeight="1">
      <c r="A7648" t="s">
        <v>2840</v>
      </c>
      <c r="B7648" t="s">
        <v>38</v>
      </c>
      <c r="C7648" t="s">
        <v>39</v>
      </c>
      <c r="D7648">
        <v>41</v>
      </c>
    </row>
    <row r="7649" spans="1:4" ht="15.75" customHeight="1">
      <c r="A7649" t="s">
        <v>4016</v>
      </c>
      <c r="B7649" t="s">
        <v>38</v>
      </c>
      <c r="C7649" t="s">
        <v>39</v>
      </c>
      <c r="D7649">
        <v>41</v>
      </c>
    </row>
    <row r="7650" spans="1:4" ht="15.75" customHeight="1">
      <c r="A7650" t="s">
        <v>1774</v>
      </c>
      <c r="B7650" t="s">
        <v>38</v>
      </c>
      <c r="C7650" t="s">
        <v>39</v>
      </c>
      <c r="D7650">
        <v>39</v>
      </c>
    </row>
    <row r="7651" spans="1:4" ht="15.75" customHeight="1">
      <c r="A7651" t="s">
        <v>4416</v>
      </c>
      <c r="B7651" t="s">
        <v>38</v>
      </c>
      <c r="C7651" t="s">
        <v>39</v>
      </c>
      <c r="D7651">
        <v>39</v>
      </c>
    </row>
    <row r="7652" spans="1:4" ht="15.75" customHeight="1">
      <c r="A7652" t="s">
        <v>4422</v>
      </c>
      <c r="B7652" t="s">
        <v>38</v>
      </c>
      <c r="C7652" t="s">
        <v>39</v>
      </c>
      <c r="D7652">
        <v>38</v>
      </c>
    </row>
    <row r="7653" spans="1:4" ht="15.75" customHeight="1">
      <c r="A7653" t="s">
        <v>2797</v>
      </c>
      <c r="B7653" t="s">
        <v>38</v>
      </c>
      <c r="C7653" t="s">
        <v>39</v>
      </c>
      <c r="D7653">
        <v>38</v>
      </c>
    </row>
    <row r="7654" spans="1:4" ht="15.75" customHeight="1">
      <c r="A7654" t="s">
        <v>448</v>
      </c>
      <c r="B7654" t="s">
        <v>38</v>
      </c>
      <c r="C7654" t="s">
        <v>39</v>
      </c>
      <c r="D7654">
        <v>38</v>
      </c>
    </row>
    <row r="7655" spans="1:4" ht="15.75" customHeight="1">
      <c r="A7655" t="s">
        <v>1776</v>
      </c>
      <c r="B7655" t="s">
        <v>38</v>
      </c>
      <c r="C7655" t="s">
        <v>39</v>
      </c>
      <c r="D7655">
        <v>38</v>
      </c>
    </row>
    <row r="7656" spans="1:4" ht="15.75" customHeight="1">
      <c r="A7656" t="s">
        <v>483</v>
      </c>
      <c r="B7656" t="s">
        <v>38</v>
      </c>
      <c r="C7656" t="s">
        <v>39</v>
      </c>
      <c r="D7656">
        <v>37</v>
      </c>
    </row>
    <row r="7657" spans="1:4" ht="15.75" customHeight="1">
      <c r="A7657" t="s">
        <v>2219</v>
      </c>
      <c r="B7657" t="s">
        <v>38</v>
      </c>
      <c r="C7657" t="s">
        <v>39</v>
      </c>
      <c r="D7657">
        <v>37</v>
      </c>
    </row>
    <row r="7658" spans="1:4" ht="15.75" customHeight="1">
      <c r="A7658" t="s">
        <v>2678</v>
      </c>
      <c r="B7658" t="s">
        <v>38</v>
      </c>
      <c r="C7658" t="s">
        <v>39</v>
      </c>
      <c r="D7658">
        <v>37</v>
      </c>
    </row>
    <row r="7659" spans="1:4" ht="15.75" customHeight="1">
      <c r="A7659" t="s">
        <v>4817</v>
      </c>
      <c r="B7659" t="s">
        <v>38</v>
      </c>
      <c r="C7659" t="s">
        <v>39</v>
      </c>
      <c r="D7659">
        <v>36</v>
      </c>
    </row>
    <row r="7660" spans="1:4" ht="15.75" customHeight="1">
      <c r="A7660" t="s">
        <v>1758</v>
      </c>
      <c r="B7660" t="s">
        <v>38</v>
      </c>
      <c r="C7660" t="s">
        <v>39</v>
      </c>
      <c r="D7660">
        <v>36</v>
      </c>
    </row>
    <row r="7661" spans="1:4" ht="15.75" customHeight="1">
      <c r="A7661" t="s">
        <v>3686</v>
      </c>
      <c r="B7661" t="s">
        <v>38</v>
      </c>
      <c r="C7661" t="s">
        <v>39</v>
      </c>
      <c r="D7661">
        <v>35</v>
      </c>
    </row>
    <row r="7662" spans="1:4" ht="15.75" customHeight="1">
      <c r="A7662" t="s">
        <v>546</v>
      </c>
      <c r="B7662" t="s">
        <v>38</v>
      </c>
      <c r="C7662" t="s">
        <v>39</v>
      </c>
      <c r="D7662">
        <v>35</v>
      </c>
    </row>
    <row r="7663" spans="1:4" ht="15.75" customHeight="1">
      <c r="A7663" t="s">
        <v>2231</v>
      </c>
      <c r="B7663" t="s">
        <v>38</v>
      </c>
      <c r="C7663" t="s">
        <v>39</v>
      </c>
      <c r="D7663">
        <v>35</v>
      </c>
    </row>
    <row r="7664" spans="1:4" ht="15.75" customHeight="1">
      <c r="A7664" t="s">
        <v>601</v>
      </c>
      <c r="B7664" t="s">
        <v>38</v>
      </c>
      <c r="C7664" t="s">
        <v>39</v>
      </c>
      <c r="D7664">
        <v>34</v>
      </c>
    </row>
    <row r="7665" spans="1:4" ht="15.75" customHeight="1">
      <c r="A7665" t="s">
        <v>3209</v>
      </c>
      <c r="B7665" t="s">
        <v>38</v>
      </c>
      <c r="C7665" t="s">
        <v>39</v>
      </c>
      <c r="D7665">
        <v>33</v>
      </c>
    </row>
    <row r="7666" spans="1:4" ht="15.75" customHeight="1">
      <c r="A7666" t="s">
        <v>2106</v>
      </c>
      <c r="B7666" t="s">
        <v>38</v>
      </c>
      <c r="C7666" t="s">
        <v>39</v>
      </c>
      <c r="D7666">
        <v>33</v>
      </c>
    </row>
    <row r="7667" spans="1:4" ht="15.75" customHeight="1">
      <c r="A7667" t="s">
        <v>3201</v>
      </c>
      <c r="B7667" t="s">
        <v>38</v>
      </c>
      <c r="C7667" t="s">
        <v>39</v>
      </c>
      <c r="D7667">
        <v>32</v>
      </c>
    </row>
    <row r="7668" spans="1:4" ht="15.75" customHeight="1">
      <c r="A7668" t="s">
        <v>4101</v>
      </c>
      <c r="B7668" t="s">
        <v>38</v>
      </c>
      <c r="C7668" t="s">
        <v>39</v>
      </c>
      <c r="D7668">
        <v>32</v>
      </c>
    </row>
    <row r="7669" spans="1:4" ht="15.75" customHeight="1">
      <c r="A7669" t="s">
        <v>539</v>
      </c>
      <c r="B7669" t="s">
        <v>38</v>
      </c>
      <c r="C7669" t="s">
        <v>39</v>
      </c>
      <c r="D7669">
        <v>32</v>
      </c>
    </row>
    <row r="7670" spans="1:4" ht="15.75" customHeight="1">
      <c r="A7670" t="s">
        <v>4773</v>
      </c>
      <c r="B7670" t="s">
        <v>38</v>
      </c>
      <c r="C7670" t="s">
        <v>39</v>
      </c>
      <c r="D7670">
        <v>30</v>
      </c>
    </row>
    <row r="7671" spans="1:4" ht="15.75" customHeight="1">
      <c r="A7671" t="s">
        <v>3291</v>
      </c>
      <c r="B7671" t="s">
        <v>38</v>
      </c>
      <c r="C7671" t="s">
        <v>39</v>
      </c>
      <c r="D7671">
        <v>30</v>
      </c>
    </row>
    <row r="7672" spans="1:4" ht="15.75" customHeight="1">
      <c r="A7672" t="s">
        <v>4428</v>
      </c>
      <c r="B7672" t="s">
        <v>38</v>
      </c>
      <c r="C7672" t="s">
        <v>39</v>
      </c>
      <c r="D7672">
        <v>30</v>
      </c>
    </row>
    <row r="7673" spans="1:4" ht="15.75" customHeight="1">
      <c r="A7673" t="s">
        <v>3690</v>
      </c>
      <c r="B7673" t="s">
        <v>38</v>
      </c>
      <c r="C7673" t="s">
        <v>39</v>
      </c>
      <c r="D7673">
        <v>30</v>
      </c>
    </row>
    <row r="7674" spans="1:4" ht="15.75" customHeight="1">
      <c r="A7674" t="s">
        <v>2832</v>
      </c>
      <c r="B7674" t="s">
        <v>38</v>
      </c>
      <c r="C7674" t="s">
        <v>39</v>
      </c>
      <c r="D7674">
        <v>30</v>
      </c>
    </row>
    <row r="7675" spans="1:4" ht="15.75" customHeight="1">
      <c r="A7675" t="s">
        <v>2166</v>
      </c>
      <c r="B7675" t="s">
        <v>38</v>
      </c>
      <c r="C7675" t="s">
        <v>39</v>
      </c>
      <c r="D7675">
        <v>29</v>
      </c>
    </row>
    <row r="7676" spans="1:4" ht="15.75" customHeight="1">
      <c r="A7676" t="s">
        <v>3196</v>
      </c>
      <c r="B7676" t="s">
        <v>38</v>
      </c>
      <c r="C7676" t="s">
        <v>39</v>
      </c>
      <c r="D7676">
        <v>29</v>
      </c>
    </row>
    <row r="7677" spans="1:4" ht="15.75" customHeight="1">
      <c r="A7677" t="s">
        <v>1223</v>
      </c>
      <c r="B7677" t="s">
        <v>38</v>
      </c>
      <c r="C7677" t="s">
        <v>39</v>
      </c>
      <c r="D7677">
        <v>28</v>
      </c>
    </row>
    <row r="7678" spans="1:4" ht="15.75" customHeight="1">
      <c r="A7678" t="s">
        <v>496</v>
      </c>
      <c r="B7678" t="s">
        <v>38</v>
      </c>
      <c r="C7678" t="s">
        <v>39</v>
      </c>
      <c r="D7678">
        <v>28</v>
      </c>
    </row>
    <row r="7679" spans="1:4" ht="15.75" customHeight="1">
      <c r="A7679" t="s">
        <v>1241</v>
      </c>
      <c r="B7679" t="s">
        <v>38</v>
      </c>
      <c r="C7679" t="s">
        <v>39</v>
      </c>
      <c r="D7679">
        <v>27</v>
      </c>
    </row>
    <row r="7680" spans="1:4" ht="15.75" customHeight="1">
      <c r="A7680" t="s">
        <v>3165</v>
      </c>
      <c r="B7680" t="s">
        <v>38</v>
      </c>
      <c r="C7680" t="s">
        <v>39</v>
      </c>
      <c r="D7680">
        <v>27</v>
      </c>
    </row>
    <row r="7681" spans="1:4" ht="15.75" customHeight="1">
      <c r="A7681" t="s">
        <v>4362</v>
      </c>
      <c r="B7681" t="s">
        <v>38</v>
      </c>
      <c r="C7681" t="s">
        <v>39</v>
      </c>
      <c r="D7681">
        <v>27</v>
      </c>
    </row>
    <row r="7682" spans="1:4" ht="15.75" customHeight="1">
      <c r="A7682" t="s">
        <v>3724</v>
      </c>
      <c r="B7682" t="s">
        <v>38</v>
      </c>
      <c r="C7682" t="s">
        <v>39</v>
      </c>
      <c r="D7682">
        <v>27</v>
      </c>
    </row>
    <row r="7683" spans="1:4" ht="15.75" customHeight="1">
      <c r="A7683" t="s">
        <v>4823</v>
      </c>
      <c r="B7683" t="s">
        <v>38</v>
      </c>
      <c r="C7683" t="s">
        <v>39</v>
      </c>
      <c r="D7683">
        <v>27</v>
      </c>
    </row>
    <row r="7684" spans="1:4" ht="15.75" customHeight="1">
      <c r="A7684" t="s">
        <v>4025</v>
      </c>
      <c r="B7684" t="s">
        <v>38</v>
      </c>
      <c r="C7684" t="s">
        <v>39</v>
      </c>
      <c r="D7684">
        <v>26</v>
      </c>
    </row>
    <row r="7685" spans="1:4" ht="15.75" customHeight="1">
      <c r="A7685" t="s">
        <v>3714</v>
      </c>
      <c r="B7685" t="s">
        <v>38</v>
      </c>
      <c r="C7685" t="s">
        <v>39</v>
      </c>
      <c r="D7685">
        <v>25</v>
      </c>
    </row>
    <row r="7686" spans="1:4" ht="15.75" customHeight="1">
      <c r="A7686" t="s">
        <v>3205</v>
      </c>
      <c r="B7686" t="s">
        <v>38</v>
      </c>
      <c r="C7686" t="s">
        <v>39</v>
      </c>
      <c r="D7686">
        <v>24</v>
      </c>
    </row>
    <row r="7687" spans="1:4" ht="15.75" customHeight="1">
      <c r="A7687" t="s">
        <v>1762</v>
      </c>
      <c r="B7687" t="s">
        <v>38</v>
      </c>
      <c r="C7687" t="s">
        <v>39</v>
      </c>
      <c r="D7687">
        <v>24</v>
      </c>
    </row>
    <row r="7688" spans="1:4" ht="15.75" customHeight="1">
      <c r="A7688" t="s">
        <v>2694</v>
      </c>
      <c r="B7688" t="s">
        <v>38</v>
      </c>
      <c r="C7688" t="s">
        <v>39</v>
      </c>
      <c r="D7688">
        <v>24</v>
      </c>
    </row>
    <row r="7689" spans="1:4" ht="15.75" customHeight="1">
      <c r="A7689" t="s">
        <v>2164</v>
      </c>
      <c r="B7689" t="s">
        <v>38</v>
      </c>
      <c r="C7689" t="s">
        <v>39</v>
      </c>
      <c r="D7689">
        <v>24</v>
      </c>
    </row>
    <row r="7690" spans="1:4" ht="15.75" customHeight="1">
      <c r="A7690" t="s">
        <v>2829</v>
      </c>
      <c r="B7690" t="s">
        <v>38</v>
      </c>
      <c r="C7690" t="s">
        <v>39</v>
      </c>
      <c r="D7690">
        <v>23</v>
      </c>
    </row>
    <row r="7691" spans="1:4" ht="15.75" customHeight="1">
      <c r="A7691" t="s">
        <v>4797</v>
      </c>
      <c r="B7691" t="s">
        <v>38</v>
      </c>
      <c r="C7691" t="s">
        <v>39</v>
      </c>
      <c r="D7691">
        <v>22</v>
      </c>
    </row>
    <row r="7692" spans="1:4" ht="15.75" customHeight="1">
      <c r="A7692" t="s">
        <v>2153</v>
      </c>
      <c r="B7692" t="s">
        <v>38</v>
      </c>
      <c r="C7692" t="s">
        <v>39</v>
      </c>
      <c r="D7692">
        <v>22</v>
      </c>
    </row>
    <row r="7693" spans="1:4" ht="15.75" customHeight="1">
      <c r="A7693" t="s">
        <v>4401</v>
      </c>
      <c r="B7693" t="s">
        <v>38</v>
      </c>
      <c r="C7693" t="s">
        <v>39</v>
      </c>
      <c r="D7693">
        <v>22</v>
      </c>
    </row>
    <row r="7694" spans="1:4" ht="15.75" customHeight="1">
      <c r="A7694" t="s">
        <v>4424</v>
      </c>
      <c r="B7694" t="s">
        <v>38</v>
      </c>
      <c r="C7694" t="s">
        <v>39</v>
      </c>
      <c r="D7694">
        <v>22</v>
      </c>
    </row>
    <row r="7695" spans="1:4" ht="15.75" customHeight="1">
      <c r="A7695" t="s">
        <v>2128</v>
      </c>
      <c r="B7695" t="s">
        <v>38</v>
      </c>
      <c r="C7695" t="s">
        <v>39</v>
      </c>
      <c r="D7695">
        <v>22</v>
      </c>
    </row>
    <row r="7696" spans="1:4" ht="15.75" customHeight="1">
      <c r="A7696" t="s">
        <v>2223</v>
      </c>
      <c r="B7696" t="s">
        <v>38</v>
      </c>
      <c r="C7696" t="s">
        <v>39</v>
      </c>
      <c r="D7696">
        <v>22</v>
      </c>
    </row>
    <row r="7697" spans="1:4" ht="15.75" customHeight="1">
      <c r="A7697" t="s">
        <v>2276</v>
      </c>
      <c r="B7697" t="s">
        <v>38</v>
      </c>
      <c r="C7697" t="s">
        <v>39</v>
      </c>
      <c r="D7697">
        <v>21</v>
      </c>
    </row>
    <row r="7698" spans="1:4" ht="15.75" customHeight="1">
      <c r="A7698" t="s">
        <v>4753</v>
      </c>
      <c r="B7698" t="s">
        <v>38</v>
      </c>
      <c r="C7698" t="s">
        <v>39</v>
      </c>
      <c r="D7698">
        <v>21</v>
      </c>
    </row>
    <row r="7699" spans="1:4" ht="15.75" customHeight="1">
      <c r="A7699" t="s">
        <v>2225</v>
      </c>
      <c r="B7699" t="s">
        <v>38</v>
      </c>
      <c r="C7699" t="s">
        <v>39</v>
      </c>
      <c r="D7699">
        <v>21</v>
      </c>
    </row>
    <row r="7700" spans="1:4" ht="15.75" customHeight="1">
      <c r="A7700" t="s">
        <v>4726</v>
      </c>
      <c r="B7700" t="s">
        <v>38</v>
      </c>
      <c r="C7700" t="s">
        <v>39</v>
      </c>
      <c r="D7700">
        <v>21</v>
      </c>
    </row>
    <row r="7701" spans="1:4" ht="15.75" customHeight="1">
      <c r="A7701" t="s">
        <v>3728</v>
      </c>
      <c r="B7701" t="s">
        <v>38</v>
      </c>
      <c r="C7701" t="s">
        <v>39</v>
      </c>
      <c r="D7701">
        <v>20</v>
      </c>
    </row>
    <row r="7702" spans="1:4" ht="15.75" customHeight="1">
      <c r="A7702" t="s">
        <v>2684</v>
      </c>
      <c r="B7702" t="s">
        <v>38</v>
      </c>
      <c r="C7702" t="s">
        <v>39</v>
      </c>
      <c r="D7702">
        <v>19</v>
      </c>
    </row>
    <row r="7703" spans="1:4" ht="15.75" customHeight="1">
      <c r="A7703" t="s">
        <v>524</v>
      </c>
      <c r="B7703" t="s">
        <v>38</v>
      </c>
      <c r="C7703" t="s">
        <v>39</v>
      </c>
      <c r="D7703">
        <v>19</v>
      </c>
    </row>
    <row r="7704" spans="1:4" ht="15.75" customHeight="1">
      <c r="A7704" t="s">
        <v>2181</v>
      </c>
      <c r="B7704" t="s">
        <v>38</v>
      </c>
      <c r="C7704" t="s">
        <v>39</v>
      </c>
      <c r="D7704">
        <v>18</v>
      </c>
    </row>
    <row r="7705" spans="1:4" ht="15.75" customHeight="1">
      <c r="A7705" t="s">
        <v>4117</v>
      </c>
      <c r="B7705" t="s">
        <v>38</v>
      </c>
      <c r="C7705" t="s">
        <v>39</v>
      </c>
      <c r="D7705">
        <v>18</v>
      </c>
    </row>
    <row r="7706" spans="1:4" ht="15.75" customHeight="1">
      <c r="A7706" t="s">
        <v>594</v>
      </c>
      <c r="B7706" t="s">
        <v>38</v>
      </c>
      <c r="C7706" t="s">
        <v>39</v>
      </c>
      <c r="D7706">
        <v>18</v>
      </c>
    </row>
    <row r="7707" spans="1:4" ht="15.75" customHeight="1">
      <c r="A7707" t="s">
        <v>1789</v>
      </c>
      <c r="B7707" t="s">
        <v>38</v>
      </c>
      <c r="C7707" t="s">
        <v>39</v>
      </c>
      <c r="D7707">
        <v>18</v>
      </c>
    </row>
    <row r="7708" spans="1:4" ht="15.75" customHeight="1">
      <c r="A7708" t="s">
        <v>4843</v>
      </c>
      <c r="B7708" t="s">
        <v>38</v>
      </c>
      <c r="C7708" t="s">
        <v>39</v>
      </c>
      <c r="D7708">
        <v>18</v>
      </c>
    </row>
    <row r="7709" spans="1:4" ht="15.75" customHeight="1">
      <c r="A7709" t="s">
        <v>1270</v>
      </c>
      <c r="B7709" t="s">
        <v>38</v>
      </c>
      <c r="C7709" t="s">
        <v>39</v>
      </c>
      <c r="D7709">
        <v>18</v>
      </c>
    </row>
    <row r="7710" spans="1:4" ht="15.75" customHeight="1">
      <c r="A7710" t="s">
        <v>3232</v>
      </c>
      <c r="B7710" t="s">
        <v>38</v>
      </c>
      <c r="C7710" t="s">
        <v>39</v>
      </c>
      <c r="D7710">
        <v>17</v>
      </c>
    </row>
    <row r="7711" spans="1:4" ht="15.75" customHeight="1">
      <c r="A7711" t="s">
        <v>3642</v>
      </c>
      <c r="B7711" t="s">
        <v>38</v>
      </c>
      <c r="C7711" t="s">
        <v>39</v>
      </c>
      <c r="D7711">
        <v>17</v>
      </c>
    </row>
    <row r="7712" spans="1:4" ht="15.75" customHeight="1">
      <c r="A7712" t="s">
        <v>3279</v>
      </c>
      <c r="B7712" t="s">
        <v>38</v>
      </c>
      <c r="C7712" t="s">
        <v>39</v>
      </c>
      <c r="D7712">
        <v>16</v>
      </c>
    </row>
    <row r="7713" spans="1:4" ht="15.75" customHeight="1">
      <c r="A7713" t="s">
        <v>551</v>
      </c>
      <c r="B7713" t="s">
        <v>38</v>
      </c>
      <c r="C7713" t="s">
        <v>39</v>
      </c>
      <c r="D7713">
        <v>16</v>
      </c>
    </row>
    <row r="7714" spans="1:4" ht="15.75" customHeight="1">
      <c r="A7714" t="s">
        <v>1278</v>
      </c>
      <c r="B7714" t="s">
        <v>38</v>
      </c>
      <c r="C7714" t="s">
        <v>39</v>
      </c>
      <c r="D7714">
        <v>16</v>
      </c>
    </row>
    <row r="7715" spans="1:4" ht="15.75" customHeight="1">
      <c r="A7715" t="s">
        <v>1398</v>
      </c>
      <c r="B7715" t="s">
        <v>38</v>
      </c>
      <c r="C7715" t="s">
        <v>39</v>
      </c>
      <c r="D7715">
        <v>15</v>
      </c>
    </row>
    <row r="7716" spans="1:4" ht="15.75" customHeight="1">
      <c r="A7716" t="s">
        <v>3718</v>
      </c>
      <c r="B7716" t="s">
        <v>38</v>
      </c>
      <c r="C7716" t="s">
        <v>39</v>
      </c>
      <c r="D7716">
        <v>15</v>
      </c>
    </row>
    <row r="7717" spans="1:4" ht="15.75" customHeight="1">
      <c r="A7717" t="s">
        <v>4736</v>
      </c>
      <c r="B7717" t="s">
        <v>38</v>
      </c>
      <c r="C7717" t="s">
        <v>39</v>
      </c>
      <c r="D7717">
        <v>15</v>
      </c>
    </row>
    <row r="7718" spans="1:4" ht="15.75" customHeight="1">
      <c r="A7718" t="s">
        <v>2278</v>
      </c>
      <c r="B7718" t="s">
        <v>38</v>
      </c>
      <c r="C7718" t="s">
        <v>39</v>
      </c>
      <c r="D7718">
        <v>15</v>
      </c>
    </row>
    <row r="7719" spans="1:4" ht="15.75" customHeight="1">
      <c r="A7719" t="s">
        <v>549</v>
      </c>
      <c r="B7719" t="s">
        <v>38</v>
      </c>
      <c r="C7719" t="s">
        <v>39</v>
      </c>
      <c r="D7719">
        <v>15</v>
      </c>
    </row>
    <row r="7720" spans="1:4" ht="15.75" customHeight="1">
      <c r="A7720" t="s">
        <v>4804</v>
      </c>
      <c r="B7720" t="s">
        <v>38</v>
      </c>
      <c r="C7720" t="s">
        <v>39</v>
      </c>
      <c r="D7720">
        <v>14</v>
      </c>
    </row>
    <row r="7721" spans="1:4" ht="15.75" customHeight="1">
      <c r="A7721" t="s">
        <v>3194</v>
      </c>
      <c r="B7721" t="s">
        <v>38</v>
      </c>
      <c r="C7721" t="s">
        <v>39</v>
      </c>
      <c r="D7721">
        <v>14</v>
      </c>
    </row>
    <row r="7722" spans="1:4" ht="15.75" customHeight="1">
      <c r="A7722" t="s">
        <v>3300</v>
      </c>
      <c r="B7722" t="s">
        <v>38</v>
      </c>
      <c r="C7722" t="s">
        <v>39</v>
      </c>
      <c r="D7722">
        <v>14</v>
      </c>
    </row>
    <row r="7723" spans="1:4" ht="15.75" customHeight="1">
      <c r="A7723" t="s">
        <v>4765</v>
      </c>
      <c r="B7723" t="s">
        <v>38</v>
      </c>
      <c r="C7723" t="s">
        <v>39</v>
      </c>
      <c r="D7723">
        <v>14</v>
      </c>
    </row>
    <row r="7724" spans="1:4" ht="15.75" customHeight="1">
      <c r="A7724" t="s">
        <v>563</v>
      </c>
      <c r="B7724" t="s">
        <v>38</v>
      </c>
      <c r="C7724" t="s">
        <v>39</v>
      </c>
      <c r="D7724">
        <v>14</v>
      </c>
    </row>
    <row r="7725" spans="1:4" ht="15.75" customHeight="1">
      <c r="A7725" t="s">
        <v>565</v>
      </c>
      <c r="B7725" t="s">
        <v>38</v>
      </c>
      <c r="C7725" t="s">
        <v>39</v>
      </c>
      <c r="D7725">
        <v>14</v>
      </c>
    </row>
    <row r="7726" spans="1:4" ht="15.75" customHeight="1">
      <c r="A7726" t="s">
        <v>3174</v>
      </c>
      <c r="B7726" t="s">
        <v>38</v>
      </c>
      <c r="C7726" t="s">
        <v>39</v>
      </c>
      <c r="D7726">
        <v>13</v>
      </c>
    </row>
    <row r="7727" spans="1:4" ht="15.75" customHeight="1">
      <c r="A7727" t="s">
        <v>511</v>
      </c>
      <c r="B7727" t="s">
        <v>38</v>
      </c>
      <c r="C7727" t="s">
        <v>39</v>
      </c>
      <c r="D7727">
        <v>13</v>
      </c>
    </row>
    <row r="7728" spans="1:4" ht="15.75" customHeight="1">
      <c r="A7728" t="s">
        <v>4738</v>
      </c>
      <c r="B7728" t="s">
        <v>38</v>
      </c>
      <c r="C7728" t="s">
        <v>39</v>
      </c>
      <c r="D7728">
        <v>13</v>
      </c>
    </row>
    <row r="7729" spans="1:4" ht="15.75" customHeight="1">
      <c r="A7729" t="s">
        <v>1347</v>
      </c>
      <c r="B7729" t="s">
        <v>38</v>
      </c>
      <c r="C7729" t="s">
        <v>39</v>
      </c>
      <c r="D7729">
        <v>13</v>
      </c>
    </row>
    <row r="7730" spans="1:4" ht="15.75" customHeight="1">
      <c r="A7730" t="s">
        <v>2136</v>
      </c>
      <c r="B7730" t="s">
        <v>38</v>
      </c>
      <c r="C7730" t="s">
        <v>39</v>
      </c>
      <c r="D7730">
        <v>12</v>
      </c>
    </row>
    <row r="7731" spans="1:4" ht="15.75" customHeight="1">
      <c r="A7731" t="s">
        <v>609</v>
      </c>
      <c r="B7731" t="s">
        <v>38</v>
      </c>
      <c r="C7731" t="s">
        <v>39</v>
      </c>
      <c r="D7731">
        <v>12</v>
      </c>
    </row>
    <row r="7732" spans="1:4" ht="15.75" customHeight="1">
      <c r="A7732" t="s">
        <v>451</v>
      </c>
      <c r="B7732" t="s">
        <v>38</v>
      </c>
      <c r="C7732" t="s">
        <v>39</v>
      </c>
      <c r="D7732">
        <v>12</v>
      </c>
    </row>
    <row r="7733" spans="1:4" ht="15.75" customHeight="1">
      <c r="A7733" t="s">
        <v>3203</v>
      </c>
      <c r="B7733" t="s">
        <v>38</v>
      </c>
      <c r="C7733" t="s">
        <v>39</v>
      </c>
      <c r="D7733">
        <v>12</v>
      </c>
    </row>
    <row r="7734" spans="1:4" ht="15.75" customHeight="1">
      <c r="A7734" t="s">
        <v>544</v>
      </c>
      <c r="B7734" t="s">
        <v>38</v>
      </c>
      <c r="C7734" t="s">
        <v>39</v>
      </c>
      <c r="D7734">
        <v>12</v>
      </c>
    </row>
    <row r="7735" spans="1:4" ht="15.75" customHeight="1">
      <c r="A7735" t="s">
        <v>2149</v>
      </c>
      <c r="B7735" t="s">
        <v>38</v>
      </c>
      <c r="C7735" t="s">
        <v>39</v>
      </c>
      <c r="D7735">
        <v>11</v>
      </c>
    </row>
    <row r="7736" spans="1:4" ht="15.75" customHeight="1">
      <c r="A7736" t="s">
        <v>3156</v>
      </c>
      <c r="B7736" t="s">
        <v>38</v>
      </c>
      <c r="C7736" t="s">
        <v>39</v>
      </c>
      <c r="D7736">
        <v>11</v>
      </c>
    </row>
    <row r="7737" spans="1:4" ht="15.75" customHeight="1">
      <c r="A7737" t="s">
        <v>2102</v>
      </c>
      <c r="B7737" t="s">
        <v>38</v>
      </c>
      <c r="C7737" t="s">
        <v>39</v>
      </c>
      <c r="D7737">
        <v>11</v>
      </c>
    </row>
    <row r="7738" spans="1:4" ht="15.75" customHeight="1">
      <c r="A7738" t="s">
        <v>559</v>
      </c>
      <c r="B7738" t="s">
        <v>38</v>
      </c>
      <c r="C7738" t="s">
        <v>39</v>
      </c>
      <c r="D7738">
        <v>11</v>
      </c>
    </row>
    <row r="7739" spans="1:4" ht="15.75" customHeight="1">
      <c r="A7739" t="s">
        <v>1264</v>
      </c>
      <c r="B7739" t="s">
        <v>38</v>
      </c>
      <c r="C7739" t="s">
        <v>39</v>
      </c>
      <c r="D7739">
        <v>11</v>
      </c>
    </row>
    <row r="7740" spans="1:4" ht="15.75" customHeight="1">
      <c r="A7740" t="s">
        <v>1337</v>
      </c>
      <c r="B7740" t="s">
        <v>38</v>
      </c>
      <c r="C7740" t="s">
        <v>39</v>
      </c>
      <c r="D7740">
        <v>10</v>
      </c>
    </row>
    <row r="7741" spans="1:4" ht="15.75" customHeight="1">
      <c r="A7741" t="s">
        <v>3192</v>
      </c>
      <c r="B7741" t="s">
        <v>38</v>
      </c>
      <c r="C7741" t="s">
        <v>39</v>
      </c>
      <c r="D7741">
        <v>10</v>
      </c>
    </row>
    <row r="7742" spans="1:4" ht="15.75" customHeight="1">
      <c r="A7742" t="s">
        <v>2799</v>
      </c>
      <c r="B7742" t="s">
        <v>38</v>
      </c>
      <c r="C7742" t="s">
        <v>39</v>
      </c>
      <c r="D7742">
        <v>10</v>
      </c>
    </row>
    <row r="7743" spans="1:4" ht="15.75" customHeight="1">
      <c r="A7743" t="s">
        <v>4136</v>
      </c>
      <c r="B7743" t="s">
        <v>38</v>
      </c>
      <c r="C7743" t="s">
        <v>39</v>
      </c>
      <c r="D7743">
        <v>10</v>
      </c>
    </row>
    <row r="7744" spans="1:4" ht="15.75" customHeight="1">
      <c r="A7744" t="s">
        <v>4733</v>
      </c>
      <c r="B7744" t="s">
        <v>38</v>
      </c>
      <c r="C7744" t="s">
        <v>39</v>
      </c>
      <c r="D7744">
        <v>10</v>
      </c>
    </row>
    <row r="7745" spans="1:4" ht="15.75" customHeight="1">
      <c r="A7745" t="s">
        <v>2196</v>
      </c>
      <c r="B7745" t="s">
        <v>38</v>
      </c>
      <c r="C7745" t="s">
        <v>39</v>
      </c>
      <c r="D7745">
        <v>9</v>
      </c>
    </row>
    <row r="7746" spans="1:4" ht="15.75" customHeight="1">
      <c r="A7746" t="s">
        <v>4049</v>
      </c>
      <c r="B7746" t="s">
        <v>38</v>
      </c>
      <c r="C7746" t="s">
        <v>39</v>
      </c>
      <c r="D7746">
        <v>9</v>
      </c>
    </row>
    <row r="7747" spans="1:4" ht="15.75" customHeight="1">
      <c r="A7747" t="s">
        <v>2221</v>
      </c>
      <c r="B7747" t="s">
        <v>38</v>
      </c>
      <c r="C7747" t="s">
        <v>39</v>
      </c>
      <c r="D7747">
        <v>9</v>
      </c>
    </row>
    <row r="7748" spans="1:4" ht="15.75" customHeight="1">
      <c r="A7748" t="s">
        <v>4108</v>
      </c>
      <c r="B7748" t="s">
        <v>38</v>
      </c>
      <c r="C7748" t="s">
        <v>39</v>
      </c>
      <c r="D7748">
        <v>9</v>
      </c>
    </row>
    <row r="7749" spans="1:4" ht="15.75" customHeight="1">
      <c r="A7749" t="s">
        <v>4839</v>
      </c>
      <c r="B7749" t="s">
        <v>38</v>
      </c>
      <c r="C7749" t="s">
        <v>39</v>
      </c>
      <c r="D7749">
        <v>9</v>
      </c>
    </row>
    <row r="7750" spans="1:4" ht="15.75" customHeight="1">
      <c r="A7750" t="s">
        <v>3221</v>
      </c>
      <c r="B7750" t="s">
        <v>38</v>
      </c>
      <c r="C7750" t="s">
        <v>39</v>
      </c>
      <c r="D7750">
        <v>8</v>
      </c>
    </row>
    <row r="7751" spans="1:4" ht="15.75" customHeight="1">
      <c r="A7751" t="s">
        <v>2718</v>
      </c>
      <c r="B7751" t="s">
        <v>38</v>
      </c>
      <c r="C7751" t="s">
        <v>39</v>
      </c>
      <c r="D7751">
        <v>8</v>
      </c>
    </row>
    <row r="7752" spans="1:4" ht="15.75" customHeight="1">
      <c r="A7752" t="s">
        <v>1793</v>
      </c>
      <c r="B7752" t="s">
        <v>38</v>
      </c>
      <c r="C7752" t="s">
        <v>39</v>
      </c>
      <c r="D7752">
        <v>8</v>
      </c>
    </row>
    <row r="7753" spans="1:4" ht="15.75" customHeight="1">
      <c r="A7753" t="s">
        <v>3215</v>
      </c>
      <c r="B7753" t="s">
        <v>38</v>
      </c>
      <c r="C7753" t="s">
        <v>39</v>
      </c>
      <c r="D7753">
        <v>8</v>
      </c>
    </row>
    <row r="7754" spans="1:4" ht="15.75" customHeight="1">
      <c r="A7754" t="s">
        <v>1291</v>
      </c>
      <c r="B7754" t="s">
        <v>38</v>
      </c>
      <c r="C7754" t="s">
        <v>39</v>
      </c>
      <c r="D7754">
        <v>7</v>
      </c>
    </row>
    <row r="7755" spans="1:4" ht="15.75" customHeight="1">
      <c r="A7755" t="s">
        <v>2834</v>
      </c>
      <c r="B7755" t="s">
        <v>38</v>
      </c>
      <c r="C7755" t="s">
        <v>39</v>
      </c>
      <c r="D7755">
        <v>7</v>
      </c>
    </row>
    <row r="7756" spans="1:4" ht="15.75" customHeight="1">
      <c r="A7756" t="s">
        <v>504</v>
      </c>
      <c r="B7756" t="s">
        <v>38</v>
      </c>
      <c r="C7756" t="s">
        <v>39</v>
      </c>
      <c r="D7756">
        <v>6</v>
      </c>
    </row>
    <row r="7757" spans="1:4" ht="15.75" customHeight="1">
      <c r="A7757" t="s">
        <v>4719</v>
      </c>
      <c r="B7757" t="s">
        <v>38</v>
      </c>
      <c r="C7757" t="s">
        <v>39</v>
      </c>
      <c r="D7757">
        <v>6</v>
      </c>
    </row>
    <row r="7758" spans="1:4" ht="15.75" customHeight="1">
      <c r="A7758" t="s">
        <v>4775</v>
      </c>
      <c r="B7758" t="s">
        <v>38</v>
      </c>
      <c r="C7758" t="s">
        <v>39</v>
      </c>
      <c r="D7758">
        <v>6</v>
      </c>
    </row>
    <row r="7759" spans="1:4" ht="15.75" customHeight="1">
      <c r="A7759" t="s">
        <v>3662</v>
      </c>
      <c r="B7759" t="s">
        <v>38</v>
      </c>
      <c r="C7759" t="s">
        <v>39</v>
      </c>
      <c r="D7759">
        <v>6</v>
      </c>
    </row>
    <row r="7760" spans="1:4" ht="15.75" customHeight="1">
      <c r="A7760" t="s">
        <v>4767</v>
      </c>
      <c r="B7760" t="s">
        <v>38</v>
      </c>
      <c r="C7760" t="s">
        <v>39</v>
      </c>
      <c r="D7760">
        <v>6</v>
      </c>
    </row>
    <row r="7761" spans="1:4" ht="15.75" customHeight="1">
      <c r="A7761" t="s">
        <v>3152</v>
      </c>
      <c r="B7761" t="s">
        <v>38</v>
      </c>
      <c r="C7761" t="s">
        <v>39</v>
      </c>
      <c r="D7761">
        <v>6</v>
      </c>
    </row>
    <row r="7762" spans="1:4" ht="15.75" customHeight="1">
      <c r="A7762" t="s">
        <v>3621</v>
      </c>
      <c r="B7762" t="s">
        <v>38</v>
      </c>
      <c r="C7762" t="s">
        <v>39</v>
      </c>
      <c r="D7762">
        <v>5</v>
      </c>
    </row>
    <row r="7763" spans="1:4" ht="15.75" customHeight="1">
      <c r="A7763" t="s">
        <v>2108</v>
      </c>
      <c r="B7763" t="s">
        <v>38</v>
      </c>
      <c r="C7763" t="s">
        <v>39</v>
      </c>
      <c r="D7763">
        <v>5</v>
      </c>
    </row>
    <row r="7764" spans="1:4" ht="15.75" customHeight="1">
      <c r="A7764" t="s">
        <v>3306</v>
      </c>
      <c r="B7764" t="s">
        <v>38</v>
      </c>
      <c r="C7764" t="s">
        <v>39</v>
      </c>
      <c r="D7764">
        <v>5</v>
      </c>
    </row>
    <row r="7765" spans="1:4" ht="15.75" customHeight="1">
      <c r="A7765" t="s">
        <v>3168</v>
      </c>
      <c r="B7765" t="s">
        <v>38</v>
      </c>
      <c r="C7765" t="s">
        <v>39</v>
      </c>
      <c r="D7765">
        <v>4</v>
      </c>
    </row>
    <row r="7766" spans="1:4" ht="15.75" customHeight="1">
      <c r="A7766" t="s">
        <v>2817</v>
      </c>
      <c r="B7766" t="s">
        <v>38</v>
      </c>
      <c r="C7766" t="s">
        <v>39</v>
      </c>
      <c r="D7766">
        <v>4</v>
      </c>
    </row>
    <row r="7767" spans="1:4" ht="15.75" customHeight="1">
      <c r="A7767" t="s">
        <v>2227</v>
      </c>
      <c r="B7767" t="s">
        <v>38</v>
      </c>
      <c r="C7767" t="s">
        <v>39</v>
      </c>
      <c r="D7767">
        <v>4</v>
      </c>
    </row>
    <row r="7768" spans="1:4" ht="15.75" customHeight="1">
      <c r="A7768" t="s">
        <v>3217</v>
      </c>
      <c r="B7768" t="s">
        <v>38</v>
      </c>
      <c r="C7768" t="s">
        <v>39</v>
      </c>
      <c r="D7768">
        <v>4</v>
      </c>
    </row>
    <row r="7769" spans="1:4" ht="15.75" customHeight="1">
      <c r="A7769" t="s">
        <v>4829</v>
      </c>
      <c r="B7769" t="s">
        <v>38</v>
      </c>
      <c r="C7769" t="s">
        <v>39</v>
      </c>
      <c r="D7769">
        <v>4</v>
      </c>
    </row>
    <row r="7770" spans="1:4" ht="15.75" customHeight="1">
      <c r="A7770" t="s">
        <v>557</v>
      </c>
      <c r="B7770" t="s">
        <v>38</v>
      </c>
      <c r="C7770" t="s">
        <v>39</v>
      </c>
      <c r="D7770">
        <v>3</v>
      </c>
    </row>
    <row r="7771" spans="1:4" ht="15.75" customHeight="1">
      <c r="A7771" t="s">
        <v>2819</v>
      </c>
      <c r="B7771" t="s">
        <v>38</v>
      </c>
      <c r="C7771" t="s">
        <v>39</v>
      </c>
      <c r="D7771">
        <v>3</v>
      </c>
    </row>
    <row r="7772" spans="1:4" ht="15.75" customHeight="1">
      <c r="A7772" t="s">
        <v>1289</v>
      </c>
      <c r="B7772" t="s">
        <v>38</v>
      </c>
      <c r="C7772" t="s">
        <v>39</v>
      </c>
      <c r="D7772">
        <v>3</v>
      </c>
    </row>
    <row r="7773" spans="1:4" ht="15.75" customHeight="1">
      <c r="A7773" t="s">
        <v>3595</v>
      </c>
      <c r="B7773" t="s">
        <v>38</v>
      </c>
      <c r="C7773" t="s">
        <v>39</v>
      </c>
      <c r="D7773">
        <v>3</v>
      </c>
    </row>
    <row r="7774" spans="1:4" ht="15.75" customHeight="1">
      <c r="A7774" t="s">
        <v>3304</v>
      </c>
      <c r="B7774" t="s">
        <v>38</v>
      </c>
      <c r="C7774" t="s">
        <v>39</v>
      </c>
      <c r="D7774">
        <v>3</v>
      </c>
    </row>
    <row r="7775" spans="1:4" ht="15.75" customHeight="1">
      <c r="A7775" t="s">
        <v>1281</v>
      </c>
      <c r="B7775" t="s">
        <v>38</v>
      </c>
      <c r="C7775" t="s">
        <v>39</v>
      </c>
      <c r="D7775">
        <v>2</v>
      </c>
    </row>
    <row r="7776" spans="1:4" ht="15.75" customHeight="1">
      <c r="A7776" t="s">
        <v>491</v>
      </c>
      <c r="B7776" t="s">
        <v>38</v>
      </c>
      <c r="C7776" t="s">
        <v>39</v>
      </c>
      <c r="D7776">
        <v>2</v>
      </c>
    </row>
    <row r="7777" spans="1:4" ht="15.75" customHeight="1">
      <c r="A7777" t="s">
        <v>2783</v>
      </c>
      <c r="B7777" t="s">
        <v>38</v>
      </c>
      <c r="C7777" t="s">
        <v>39</v>
      </c>
      <c r="D7777">
        <v>2</v>
      </c>
    </row>
    <row r="7778" spans="1:4" ht="15.75" customHeight="1">
      <c r="A7778" t="s">
        <v>4731</v>
      </c>
      <c r="B7778" t="s">
        <v>38</v>
      </c>
      <c r="C7778" t="s">
        <v>39</v>
      </c>
      <c r="D7778">
        <v>2</v>
      </c>
    </row>
    <row r="7779" spans="1:4" ht="15.75" customHeight="1">
      <c r="A7779" t="s">
        <v>1295</v>
      </c>
      <c r="B7779" t="s">
        <v>38</v>
      </c>
      <c r="C7779" t="s">
        <v>39</v>
      </c>
      <c r="D7779">
        <v>2</v>
      </c>
    </row>
    <row r="7780" spans="1:4" ht="15.75" customHeight="1">
      <c r="A7780" t="s">
        <v>4369</v>
      </c>
      <c r="B7780" t="s">
        <v>38</v>
      </c>
      <c r="C7780" t="s">
        <v>39</v>
      </c>
      <c r="D7780">
        <v>2</v>
      </c>
    </row>
    <row r="7781" spans="1:4" ht="15.75" customHeight="1">
      <c r="A7781" t="s">
        <v>3141</v>
      </c>
      <c r="B7781" t="s">
        <v>38</v>
      </c>
      <c r="C7781" t="s">
        <v>39</v>
      </c>
      <c r="D7781">
        <v>1</v>
      </c>
    </row>
    <row r="7782" spans="1:4" ht="15.75" customHeight="1">
      <c r="A7782" t="s">
        <v>3287</v>
      </c>
      <c r="B7782" t="s">
        <v>38</v>
      </c>
      <c r="C7782" t="s">
        <v>39</v>
      </c>
      <c r="D7782">
        <v>1</v>
      </c>
    </row>
    <row r="7783" spans="1:4" ht="15.75" customHeight="1">
      <c r="A7783" t="s">
        <v>2270</v>
      </c>
      <c r="B7783" t="s">
        <v>38</v>
      </c>
      <c r="C7783" t="s">
        <v>39</v>
      </c>
      <c r="D7783">
        <v>1</v>
      </c>
    </row>
    <row r="7784" spans="1:4" ht="15.75" customHeight="1">
      <c r="A7784" t="s">
        <v>2157</v>
      </c>
      <c r="B7784" t="s">
        <v>38</v>
      </c>
      <c r="C7784" t="s">
        <v>39</v>
      </c>
      <c r="D7784">
        <v>1</v>
      </c>
    </row>
    <row r="7785" spans="1:4" ht="15.75" customHeight="1">
      <c r="A7785" t="s">
        <v>2139</v>
      </c>
      <c r="B7785" t="s">
        <v>38</v>
      </c>
      <c r="C7785" t="s">
        <v>39</v>
      </c>
      <c r="D7785">
        <v>1</v>
      </c>
    </row>
    <row r="7786" spans="1:4" ht="15.75" customHeight="1">
      <c r="A7786" t="s">
        <v>2141</v>
      </c>
      <c r="B7786" t="s">
        <v>38</v>
      </c>
      <c r="C7786" t="s">
        <v>39</v>
      </c>
      <c r="D7786">
        <v>1</v>
      </c>
    </row>
    <row r="7787" spans="1:4" ht="15.75" customHeight="1">
      <c r="A7787" t="s">
        <v>1287</v>
      </c>
      <c r="B7787" t="s">
        <v>38</v>
      </c>
      <c r="C7787" t="s">
        <v>39</v>
      </c>
      <c r="D7787">
        <v>1</v>
      </c>
    </row>
    <row r="7788" spans="1:4" ht="15.75" customHeight="1">
      <c r="A7788" t="s">
        <v>613</v>
      </c>
      <c r="B7788" t="s">
        <v>38</v>
      </c>
      <c r="C7788" t="s">
        <v>39</v>
      </c>
      <c r="D7788">
        <v>1</v>
      </c>
    </row>
    <row r="7789" spans="1:4" ht="15.75" customHeight="1">
      <c r="A7789" t="s">
        <v>4799</v>
      </c>
      <c r="B7789" t="s">
        <v>38</v>
      </c>
      <c r="C7789" t="s">
        <v>39</v>
      </c>
      <c r="D7789">
        <v>1</v>
      </c>
    </row>
    <row r="7790" spans="1:4" ht="15.75" customHeight="1">
      <c r="A7790" t="s">
        <v>615</v>
      </c>
      <c r="B7790" t="s">
        <v>38</v>
      </c>
      <c r="C7790" t="s">
        <v>36</v>
      </c>
      <c r="D7790">
        <v>774</v>
      </c>
    </row>
    <row r="7791" spans="1:4" ht="15.75" customHeight="1">
      <c r="A7791" t="s">
        <v>618</v>
      </c>
      <c r="B7791" t="s">
        <v>38</v>
      </c>
      <c r="C7791" t="s">
        <v>36</v>
      </c>
      <c r="D7791">
        <v>767</v>
      </c>
    </row>
    <row r="7792" spans="1:4" ht="15.75" customHeight="1">
      <c r="A7792" t="s">
        <v>644</v>
      </c>
      <c r="B7792" t="s">
        <v>38</v>
      </c>
      <c r="C7792" t="s">
        <v>36</v>
      </c>
      <c r="D7792">
        <v>743</v>
      </c>
    </row>
    <row r="7793" spans="1:4" ht="15.75" customHeight="1">
      <c r="A7793" t="s">
        <v>518</v>
      </c>
      <c r="B7793" t="s">
        <v>38</v>
      </c>
      <c r="C7793" t="s">
        <v>36</v>
      </c>
      <c r="D7793">
        <v>716</v>
      </c>
    </row>
    <row r="7794" spans="1:4" ht="15.75" customHeight="1">
      <c r="A7794" t="s">
        <v>641</v>
      </c>
      <c r="B7794" t="s">
        <v>38</v>
      </c>
      <c r="C7794" t="s">
        <v>36</v>
      </c>
      <c r="D7794">
        <v>681</v>
      </c>
    </row>
    <row r="7795" spans="1:4" ht="15.75" customHeight="1">
      <c r="A7795" t="s">
        <v>1373</v>
      </c>
      <c r="B7795" t="s">
        <v>38</v>
      </c>
      <c r="C7795" t="s">
        <v>36</v>
      </c>
      <c r="D7795">
        <v>679</v>
      </c>
    </row>
    <row r="7796" spans="1:4" ht="15.75" customHeight="1">
      <c r="A7796" t="s">
        <v>1377</v>
      </c>
      <c r="B7796" t="s">
        <v>38</v>
      </c>
      <c r="C7796" t="s">
        <v>36</v>
      </c>
      <c r="D7796">
        <v>663</v>
      </c>
    </row>
    <row r="7797" spans="1:4" ht="15.75" customHeight="1">
      <c r="A7797" t="s">
        <v>471</v>
      </c>
      <c r="B7797" t="s">
        <v>38</v>
      </c>
      <c r="C7797" t="s">
        <v>36</v>
      </c>
      <c r="D7797">
        <v>651</v>
      </c>
    </row>
    <row r="7798" spans="1:4" ht="15.75" customHeight="1">
      <c r="A7798" t="s">
        <v>1432</v>
      </c>
      <c r="B7798" t="s">
        <v>38</v>
      </c>
      <c r="C7798" t="s">
        <v>36</v>
      </c>
      <c r="D7798">
        <v>636</v>
      </c>
    </row>
    <row r="7799" spans="1:4" ht="15.75" customHeight="1">
      <c r="A7799" t="s">
        <v>658</v>
      </c>
      <c r="B7799" t="s">
        <v>38</v>
      </c>
      <c r="C7799" t="s">
        <v>36</v>
      </c>
      <c r="D7799">
        <v>635</v>
      </c>
    </row>
    <row r="7800" spans="1:4" ht="15.75" customHeight="1">
      <c r="A7800" t="s">
        <v>1416</v>
      </c>
      <c r="B7800" t="s">
        <v>38</v>
      </c>
      <c r="C7800" t="s">
        <v>36</v>
      </c>
      <c r="D7800">
        <v>633</v>
      </c>
    </row>
    <row r="7801" spans="1:4" ht="15.75" customHeight="1">
      <c r="A7801" t="s">
        <v>1748</v>
      </c>
      <c r="B7801" t="s">
        <v>38</v>
      </c>
      <c r="C7801" t="s">
        <v>36</v>
      </c>
      <c r="D7801">
        <v>618</v>
      </c>
    </row>
    <row r="7802" spans="1:4" ht="15.75" customHeight="1">
      <c r="A7802" t="s">
        <v>638</v>
      </c>
      <c r="B7802" t="s">
        <v>38</v>
      </c>
      <c r="C7802" t="s">
        <v>36</v>
      </c>
      <c r="D7802">
        <v>616</v>
      </c>
    </row>
    <row r="7803" spans="1:4" ht="15.75" customHeight="1">
      <c r="A7803" t="s">
        <v>567</v>
      </c>
      <c r="B7803" t="s">
        <v>38</v>
      </c>
      <c r="C7803" t="s">
        <v>36</v>
      </c>
      <c r="D7803">
        <v>615</v>
      </c>
    </row>
    <row r="7804" spans="1:4" ht="15.75" customHeight="1">
      <c r="A7804" t="s">
        <v>465</v>
      </c>
      <c r="B7804" t="s">
        <v>38</v>
      </c>
      <c r="C7804" t="s">
        <v>36</v>
      </c>
      <c r="D7804">
        <v>609</v>
      </c>
    </row>
    <row r="7805" spans="1:4" ht="15.75" customHeight="1">
      <c r="A7805" t="s">
        <v>4081</v>
      </c>
      <c r="B7805" t="s">
        <v>38</v>
      </c>
      <c r="C7805" t="s">
        <v>36</v>
      </c>
      <c r="D7805">
        <v>604</v>
      </c>
    </row>
    <row r="7806" spans="1:4" ht="15.75" customHeight="1">
      <c r="A7806" t="s">
        <v>1732</v>
      </c>
      <c r="B7806" t="s">
        <v>38</v>
      </c>
      <c r="C7806" t="s">
        <v>36</v>
      </c>
      <c r="D7806">
        <v>597</v>
      </c>
    </row>
    <row r="7807" spans="1:4" ht="15.75" customHeight="1">
      <c r="A7807" t="s">
        <v>1409</v>
      </c>
      <c r="B7807" t="s">
        <v>38</v>
      </c>
      <c r="C7807" t="s">
        <v>36</v>
      </c>
      <c r="D7807">
        <v>587</v>
      </c>
    </row>
    <row r="7808" spans="1:4" ht="15.75" customHeight="1">
      <c r="A7808" t="s">
        <v>695</v>
      </c>
      <c r="B7808" t="s">
        <v>38</v>
      </c>
      <c r="C7808" t="s">
        <v>36</v>
      </c>
      <c r="D7808">
        <v>585</v>
      </c>
    </row>
    <row r="7809" spans="1:4" ht="15.75" customHeight="1">
      <c r="A7809" t="s">
        <v>3668</v>
      </c>
      <c r="B7809" t="s">
        <v>38</v>
      </c>
      <c r="C7809" t="s">
        <v>36</v>
      </c>
      <c r="D7809">
        <v>583</v>
      </c>
    </row>
    <row r="7810" spans="1:4" ht="15.75" customHeight="1">
      <c r="A7810" t="s">
        <v>655</v>
      </c>
      <c r="B7810" t="s">
        <v>38</v>
      </c>
      <c r="C7810" t="s">
        <v>36</v>
      </c>
      <c r="D7810">
        <v>582</v>
      </c>
    </row>
    <row r="7811" spans="1:4" ht="15.75" customHeight="1">
      <c r="A7811" t="s">
        <v>2710</v>
      </c>
      <c r="B7811" t="s">
        <v>38</v>
      </c>
      <c r="C7811" t="s">
        <v>36</v>
      </c>
      <c r="D7811">
        <v>582</v>
      </c>
    </row>
    <row r="7812" spans="1:4" ht="15.75" customHeight="1">
      <c r="A7812" t="s">
        <v>678</v>
      </c>
      <c r="B7812" t="s">
        <v>38</v>
      </c>
      <c r="C7812" t="s">
        <v>36</v>
      </c>
      <c r="D7812">
        <v>571</v>
      </c>
    </row>
    <row r="7813" spans="1:4" ht="15.75" customHeight="1">
      <c r="A7813" t="s">
        <v>1434</v>
      </c>
      <c r="B7813" t="s">
        <v>38</v>
      </c>
      <c r="C7813" t="s">
        <v>36</v>
      </c>
      <c r="D7813">
        <v>568</v>
      </c>
    </row>
    <row r="7814" spans="1:4" ht="15.75" customHeight="1">
      <c r="A7814" t="s">
        <v>1708</v>
      </c>
      <c r="B7814" t="s">
        <v>38</v>
      </c>
      <c r="C7814" t="s">
        <v>36</v>
      </c>
      <c r="D7814">
        <v>561</v>
      </c>
    </row>
    <row r="7815" spans="1:4" ht="15.75" customHeight="1">
      <c r="A7815" t="s">
        <v>4077</v>
      </c>
      <c r="B7815" t="s">
        <v>38</v>
      </c>
      <c r="C7815" t="s">
        <v>36</v>
      </c>
      <c r="D7815">
        <v>560</v>
      </c>
    </row>
    <row r="7816" spans="1:4" ht="15.75" customHeight="1">
      <c r="A7816" t="s">
        <v>1360</v>
      </c>
      <c r="B7816" t="s">
        <v>38</v>
      </c>
      <c r="C7816" t="s">
        <v>36</v>
      </c>
      <c r="D7816">
        <v>558</v>
      </c>
    </row>
    <row r="7817" spans="1:4" ht="15.75" customHeight="1">
      <c r="A7817" t="s">
        <v>648</v>
      </c>
      <c r="B7817" t="s">
        <v>38</v>
      </c>
      <c r="C7817" t="s">
        <v>36</v>
      </c>
      <c r="D7817">
        <v>558</v>
      </c>
    </row>
    <row r="7818" spans="1:4" ht="15.75" customHeight="1">
      <c r="A7818" t="s">
        <v>515</v>
      </c>
      <c r="B7818" t="s">
        <v>38</v>
      </c>
      <c r="C7818" t="s">
        <v>36</v>
      </c>
      <c r="D7818">
        <v>556</v>
      </c>
    </row>
    <row r="7819" spans="1:4" ht="15.75" customHeight="1">
      <c r="A7819" t="s">
        <v>4128</v>
      </c>
      <c r="B7819" t="s">
        <v>38</v>
      </c>
      <c r="C7819" t="s">
        <v>36</v>
      </c>
      <c r="D7819">
        <v>554</v>
      </c>
    </row>
    <row r="7820" spans="1:4" ht="15.75" customHeight="1">
      <c r="A7820" t="s">
        <v>621</v>
      </c>
      <c r="B7820" t="s">
        <v>38</v>
      </c>
      <c r="C7820" t="s">
        <v>36</v>
      </c>
      <c r="D7820">
        <v>552</v>
      </c>
    </row>
    <row r="7821" spans="1:4" ht="15.75" customHeight="1">
      <c r="A7821" t="s">
        <v>629</v>
      </c>
      <c r="B7821" t="s">
        <v>38</v>
      </c>
      <c r="C7821" t="s">
        <v>36</v>
      </c>
      <c r="D7821">
        <v>548</v>
      </c>
    </row>
    <row r="7822" spans="1:4" ht="15.75" customHeight="1">
      <c r="A7822" t="s">
        <v>1752</v>
      </c>
      <c r="B7822" t="s">
        <v>38</v>
      </c>
      <c r="C7822" t="s">
        <v>36</v>
      </c>
      <c r="D7822">
        <v>548</v>
      </c>
    </row>
    <row r="7823" spans="1:4" ht="15.75" customHeight="1">
      <c r="A7823" t="s">
        <v>1380</v>
      </c>
      <c r="B7823" t="s">
        <v>38</v>
      </c>
      <c r="C7823" t="s">
        <v>36</v>
      </c>
      <c r="D7823">
        <v>545</v>
      </c>
    </row>
    <row r="7824" spans="1:4" ht="15.75" customHeight="1">
      <c r="A7824" t="s">
        <v>661</v>
      </c>
      <c r="B7824" t="s">
        <v>38</v>
      </c>
      <c r="C7824" t="s">
        <v>36</v>
      </c>
      <c r="D7824">
        <v>545</v>
      </c>
    </row>
    <row r="7825" spans="1:4" ht="15.75" customHeight="1">
      <c r="A7825" t="s">
        <v>688</v>
      </c>
      <c r="B7825" t="s">
        <v>38</v>
      </c>
      <c r="C7825" t="s">
        <v>36</v>
      </c>
      <c r="D7825">
        <v>541</v>
      </c>
    </row>
    <row r="7826" spans="1:4" ht="15.75" customHeight="1">
      <c r="A7826" t="s">
        <v>4408</v>
      </c>
      <c r="B7826" t="s">
        <v>38</v>
      </c>
      <c r="C7826" t="s">
        <v>36</v>
      </c>
      <c r="D7826">
        <v>538</v>
      </c>
    </row>
    <row r="7827" spans="1:4" ht="15.75" customHeight="1">
      <c r="A7827" t="s">
        <v>4430</v>
      </c>
      <c r="B7827" t="s">
        <v>38</v>
      </c>
      <c r="C7827" t="s">
        <v>36</v>
      </c>
      <c r="D7827">
        <v>533</v>
      </c>
    </row>
    <row r="7828" spans="1:4" ht="15.75" customHeight="1">
      <c r="A7828" t="s">
        <v>4065</v>
      </c>
      <c r="B7828" t="s">
        <v>38</v>
      </c>
      <c r="C7828" t="s">
        <v>36</v>
      </c>
      <c r="D7828">
        <v>532</v>
      </c>
    </row>
    <row r="7829" spans="1:4" ht="15.75" customHeight="1">
      <c r="A7829" t="s">
        <v>684</v>
      </c>
      <c r="B7829" t="s">
        <v>38</v>
      </c>
      <c r="C7829" t="s">
        <v>36</v>
      </c>
      <c r="D7829">
        <v>531</v>
      </c>
    </row>
    <row r="7830" spans="1:4" ht="15.75" customHeight="1">
      <c r="A7830" t="s">
        <v>653</v>
      </c>
      <c r="B7830" t="s">
        <v>38</v>
      </c>
      <c r="C7830" t="s">
        <v>36</v>
      </c>
      <c r="D7830">
        <v>531</v>
      </c>
    </row>
    <row r="7831" spans="1:4" ht="15.75" customHeight="1">
      <c r="A7831" t="s">
        <v>632</v>
      </c>
      <c r="B7831" t="s">
        <v>38</v>
      </c>
      <c r="C7831" t="s">
        <v>36</v>
      </c>
      <c r="D7831">
        <v>526</v>
      </c>
    </row>
    <row r="7832" spans="1:4" ht="15.75" customHeight="1">
      <c r="A7832" t="s">
        <v>697</v>
      </c>
      <c r="B7832" t="s">
        <v>38</v>
      </c>
      <c r="C7832" t="s">
        <v>36</v>
      </c>
      <c r="D7832">
        <v>526</v>
      </c>
    </row>
    <row r="7833" spans="1:4" ht="15.75" customHeight="1">
      <c r="A7833" t="s">
        <v>3701</v>
      </c>
      <c r="B7833" t="s">
        <v>38</v>
      </c>
      <c r="C7833" t="s">
        <v>36</v>
      </c>
      <c r="D7833">
        <v>525</v>
      </c>
    </row>
    <row r="7834" spans="1:4" ht="15.75" customHeight="1">
      <c r="A7834" t="s">
        <v>690</v>
      </c>
      <c r="B7834" t="s">
        <v>38</v>
      </c>
      <c r="C7834" t="s">
        <v>36</v>
      </c>
      <c r="D7834">
        <v>520</v>
      </c>
    </row>
    <row r="7835" spans="1:4" ht="15.75" customHeight="1">
      <c r="A7835" t="s">
        <v>635</v>
      </c>
      <c r="B7835" t="s">
        <v>38</v>
      </c>
      <c r="C7835" t="s">
        <v>36</v>
      </c>
      <c r="D7835">
        <v>519</v>
      </c>
    </row>
    <row r="7836" spans="1:4" ht="15.75" customHeight="1">
      <c r="A7836" t="s">
        <v>4103</v>
      </c>
      <c r="B7836" t="s">
        <v>38</v>
      </c>
      <c r="C7836" t="s">
        <v>36</v>
      </c>
      <c r="D7836">
        <v>513</v>
      </c>
    </row>
    <row r="7837" spans="1:4" ht="15.75" customHeight="1">
      <c r="A7837" t="s">
        <v>4063</v>
      </c>
      <c r="B7837" t="s">
        <v>38</v>
      </c>
      <c r="C7837" t="s">
        <v>36</v>
      </c>
      <c r="D7837">
        <v>510</v>
      </c>
    </row>
    <row r="7838" spans="1:4" ht="15.75" customHeight="1">
      <c r="A7838" t="s">
        <v>693</v>
      </c>
      <c r="B7838" t="s">
        <v>38</v>
      </c>
      <c r="C7838" t="s">
        <v>36</v>
      </c>
      <c r="D7838">
        <v>508</v>
      </c>
    </row>
    <row r="7839" spans="1:4" ht="15.75" customHeight="1">
      <c r="A7839" t="s">
        <v>666</v>
      </c>
      <c r="B7839" t="s">
        <v>38</v>
      </c>
      <c r="C7839" t="s">
        <v>36</v>
      </c>
      <c r="D7839">
        <v>508</v>
      </c>
    </row>
    <row r="7840" spans="1:4" ht="15.75" customHeight="1">
      <c r="A7840" t="s">
        <v>1414</v>
      </c>
      <c r="B7840" t="s">
        <v>38</v>
      </c>
      <c r="C7840" t="s">
        <v>36</v>
      </c>
      <c r="D7840">
        <v>501</v>
      </c>
    </row>
    <row r="7841" spans="1:4" ht="15.75" customHeight="1">
      <c r="A7841" t="s">
        <v>4093</v>
      </c>
      <c r="B7841" t="s">
        <v>38</v>
      </c>
      <c r="C7841" t="s">
        <v>36</v>
      </c>
      <c r="D7841">
        <v>501</v>
      </c>
    </row>
    <row r="7842" spans="1:4" ht="15.75" customHeight="1">
      <c r="A7842" t="s">
        <v>1730</v>
      </c>
      <c r="B7842" t="s">
        <v>38</v>
      </c>
      <c r="C7842" t="s">
        <v>36</v>
      </c>
      <c r="D7842">
        <v>500</v>
      </c>
    </row>
    <row r="7843" spans="1:4" ht="15.75" customHeight="1">
      <c r="A7843" t="s">
        <v>1261</v>
      </c>
      <c r="B7843" t="s">
        <v>38</v>
      </c>
      <c r="C7843" t="s">
        <v>36</v>
      </c>
      <c r="D7843">
        <v>493</v>
      </c>
    </row>
    <row r="7844" spans="1:4" ht="15.75" customHeight="1">
      <c r="A7844" t="s">
        <v>4813</v>
      </c>
      <c r="B7844" t="s">
        <v>38</v>
      </c>
      <c r="C7844" t="s">
        <v>36</v>
      </c>
      <c r="D7844">
        <v>492</v>
      </c>
    </row>
    <row r="7845" spans="1:4" ht="15.75" customHeight="1">
      <c r="A7845" t="s">
        <v>3312</v>
      </c>
      <c r="B7845" t="s">
        <v>38</v>
      </c>
      <c r="C7845" t="s">
        <v>36</v>
      </c>
      <c r="D7845">
        <v>487</v>
      </c>
    </row>
    <row r="7846" spans="1:4" ht="15.75" customHeight="1">
      <c r="A7846" t="s">
        <v>2191</v>
      </c>
      <c r="B7846" t="s">
        <v>38</v>
      </c>
      <c r="C7846" t="s">
        <v>36</v>
      </c>
      <c r="D7846">
        <v>485</v>
      </c>
    </row>
    <row r="7847" spans="1:4" ht="15.75" customHeight="1">
      <c r="A7847" t="s">
        <v>4095</v>
      </c>
      <c r="B7847" t="s">
        <v>38</v>
      </c>
      <c r="C7847" t="s">
        <v>36</v>
      </c>
      <c r="D7847">
        <v>484</v>
      </c>
    </row>
    <row r="7848" spans="1:4" ht="15.75" customHeight="1">
      <c r="A7848" t="s">
        <v>4807</v>
      </c>
      <c r="B7848" t="s">
        <v>38</v>
      </c>
      <c r="C7848" t="s">
        <v>36</v>
      </c>
      <c r="D7848">
        <v>479</v>
      </c>
    </row>
    <row r="7849" spans="1:4" ht="15.75" customHeight="1">
      <c r="A7849" t="s">
        <v>4833</v>
      </c>
      <c r="B7849" t="s">
        <v>38</v>
      </c>
      <c r="C7849" t="s">
        <v>36</v>
      </c>
      <c r="D7849">
        <v>478</v>
      </c>
    </row>
    <row r="7850" spans="1:4" ht="15.75" customHeight="1">
      <c r="A7850" t="s">
        <v>4386</v>
      </c>
      <c r="B7850" t="s">
        <v>38</v>
      </c>
      <c r="C7850" t="s">
        <v>36</v>
      </c>
      <c r="D7850">
        <v>477</v>
      </c>
    </row>
    <row r="7851" spans="1:4" ht="15.75" customHeight="1">
      <c r="A7851" t="s">
        <v>623</v>
      </c>
      <c r="B7851" t="s">
        <v>38</v>
      </c>
      <c r="C7851" t="s">
        <v>36</v>
      </c>
      <c r="D7851">
        <v>473</v>
      </c>
    </row>
    <row r="7852" spans="1:4" ht="15.75" customHeight="1">
      <c r="A7852" t="s">
        <v>2243</v>
      </c>
      <c r="B7852" t="s">
        <v>38</v>
      </c>
      <c r="C7852" t="s">
        <v>36</v>
      </c>
      <c r="D7852">
        <v>468</v>
      </c>
    </row>
    <row r="7853" spans="1:4" ht="15.75" customHeight="1">
      <c r="A7853" t="s">
        <v>4831</v>
      </c>
      <c r="B7853" t="s">
        <v>38</v>
      </c>
      <c r="C7853" t="s">
        <v>36</v>
      </c>
      <c r="D7853">
        <v>468</v>
      </c>
    </row>
    <row r="7854" spans="1:4" ht="15.75" customHeight="1">
      <c r="A7854" t="s">
        <v>2742</v>
      </c>
      <c r="B7854" t="s">
        <v>38</v>
      </c>
      <c r="C7854" t="s">
        <v>36</v>
      </c>
      <c r="D7854">
        <v>468</v>
      </c>
    </row>
    <row r="7855" spans="1:4" ht="15.75" customHeight="1">
      <c r="A7855" t="s">
        <v>2188</v>
      </c>
      <c r="B7855" t="s">
        <v>38</v>
      </c>
      <c r="C7855" t="s">
        <v>36</v>
      </c>
      <c r="D7855">
        <v>462</v>
      </c>
    </row>
    <row r="7856" spans="1:4" ht="15.75" customHeight="1">
      <c r="A7856" t="s">
        <v>4399</v>
      </c>
      <c r="B7856" t="s">
        <v>38</v>
      </c>
      <c r="C7856" t="s">
        <v>36</v>
      </c>
      <c r="D7856">
        <v>459</v>
      </c>
    </row>
    <row r="7857" spans="1:4" ht="15.75" customHeight="1">
      <c r="A7857" t="s">
        <v>702</v>
      </c>
      <c r="B7857" t="s">
        <v>38</v>
      </c>
      <c r="C7857" t="s">
        <v>36</v>
      </c>
      <c r="D7857">
        <v>457</v>
      </c>
    </row>
    <row r="7858" spans="1:4" ht="15.75" customHeight="1">
      <c r="A7858" t="s">
        <v>1425</v>
      </c>
      <c r="B7858" t="s">
        <v>38</v>
      </c>
      <c r="C7858" t="s">
        <v>36</v>
      </c>
      <c r="D7858">
        <v>457</v>
      </c>
    </row>
    <row r="7859" spans="1:4" ht="15.75" customHeight="1">
      <c r="A7859" t="s">
        <v>4132</v>
      </c>
      <c r="B7859" t="s">
        <v>38</v>
      </c>
      <c r="C7859" t="s">
        <v>36</v>
      </c>
      <c r="D7859">
        <v>456</v>
      </c>
    </row>
    <row r="7860" spans="1:4" ht="15.75" customHeight="1">
      <c r="A7860" t="s">
        <v>2860</v>
      </c>
      <c r="B7860" t="s">
        <v>38</v>
      </c>
      <c r="C7860" t="s">
        <v>36</v>
      </c>
      <c r="D7860">
        <v>454</v>
      </c>
    </row>
    <row r="7861" spans="1:4" ht="15.75" customHeight="1">
      <c r="A7861" t="s">
        <v>1320</v>
      </c>
      <c r="B7861" t="s">
        <v>38</v>
      </c>
      <c r="C7861" t="s">
        <v>36</v>
      </c>
      <c r="D7861">
        <v>453</v>
      </c>
    </row>
    <row r="7862" spans="1:4" ht="15.75" customHeight="1">
      <c r="A7862" t="s">
        <v>2750</v>
      </c>
      <c r="B7862" t="s">
        <v>38</v>
      </c>
      <c r="C7862" t="s">
        <v>36</v>
      </c>
      <c r="D7862">
        <v>451</v>
      </c>
    </row>
    <row r="7863" spans="1:4" ht="15.75" customHeight="1">
      <c r="A7863" t="s">
        <v>2737</v>
      </c>
      <c r="B7863" t="s">
        <v>38</v>
      </c>
      <c r="C7863" t="s">
        <v>36</v>
      </c>
      <c r="D7863">
        <v>451</v>
      </c>
    </row>
    <row r="7864" spans="1:4" ht="15.75" customHeight="1">
      <c r="A7864" t="s">
        <v>651</v>
      </c>
      <c r="B7864" t="s">
        <v>38</v>
      </c>
      <c r="C7864" t="s">
        <v>36</v>
      </c>
      <c r="D7864">
        <v>451</v>
      </c>
    </row>
    <row r="7865" spans="1:4" ht="15.75" customHeight="1">
      <c r="A7865" t="s">
        <v>1226</v>
      </c>
      <c r="B7865" t="s">
        <v>38</v>
      </c>
      <c r="C7865" t="s">
        <v>36</v>
      </c>
      <c r="D7865">
        <v>450</v>
      </c>
    </row>
    <row r="7866" spans="1:4" ht="15.75" customHeight="1">
      <c r="A7866" t="s">
        <v>3695</v>
      </c>
      <c r="B7866" t="s">
        <v>38</v>
      </c>
      <c r="C7866" t="s">
        <v>36</v>
      </c>
      <c r="D7866">
        <v>448</v>
      </c>
    </row>
    <row r="7867" spans="1:4" ht="15.75" customHeight="1">
      <c r="A7867" t="s">
        <v>672</v>
      </c>
      <c r="B7867" t="s">
        <v>38</v>
      </c>
      <c r="C7867" t="s">
        <v>36</v>
      </c>
      <c r="D7867">
        <v>447</v>
      </c>
    </row>
    <row r="7868" spans="1:4" ht="15.75" customHeight="1">
      <c r="A7868" t="s">
        <v>1444</v>
      </c>
      <c r="B7868" t="s">
        <v>38</v>
      </c>
      <c r="C7868" t="s">
        <v>36</v>
      </c>
      <c r="D7868">
        <v>445</v>
      </c>
    </row>
    <row r="7869" spans="1:4" ht="15.75" customHeight="1">
      <c r="A7869" t="s">
        <v>1725</v>
      </c>
      <c r="B7869" t="s">
        <v>38</v>
      </c>
      <c r="C7869" t="s">
        <v>36</v>
      </c>
      <c r="D7869">
        <v>442</v>
      </c>
    </row>
    <row r="7870" spans="1:4" ht="15.75" customHeight="1">
      <c r="A7870" t="s">
        <v>1453</v>
      </c>
      <c r="B7870" t="s">
        <v>38</v>
      </c>
      <c r="C7870" t="s">
        <v>36</v>
      </c>
      <c r="D7870">
        <v>441</v>
      </c>
    </row>
    <row r="7871" spans="1:4" ht="15.75" customHeight="1">
      <c r="A7871" t="s">
        <v>2857</v>
      </c>
      <c r="B7871" t="s">
        <v>38</v>
      </c>
      <c r="C7871" t="s">
        <v>36</v>
      </c>
      <c r="D7871">
        <v>440</v>
      </c>
    </row>
    <row r="7872" spans="1:4" ht="15.75" customHeight="1">
      <c r="A7872" t="s">
        <v>1316</v>
      </c>
      <c r="B7872" t="s">
        <v>38</v>
      </c>
      <c r="C7872" t="s">
        <v>36</v>
      </c>
      <c r="D7872">
        <v>435</v>
      </c>
    </row>
    <row r="7873" spans="1:4" ht="15.75" customHeight="1">
      <c r="A7873" t="s">
        <v>699</v>
      </c>
      <c r="B7873" t="s">
        <v>38</v>
      </c>
      <c r="C7873" t="s">
        <v>36</v>
      </c>
      <c r="D7873">
        <v>433</v>
      </c>
    </row>
    <row r="7874" spans="1:4" ht="15.75" customHeight="1">
      <c r="A7874" t="s">
        <v>4414</v>
      </c>
      <c r="B7874" t="s">
        <v>38</v>
      </c>
      <c r="C7874" t="s">
        <v>36</v>
      </c>
      <c r="D7874">
        <v>431</v>
      </c>
    </row>
    <row r="7875" spans="1:4" ht="15.75" customHeight="1">
      <c r="A7875" t="s">
        <v>1275</v>
      </c>
      <c r="B7875" t="s">
        <v>38</v>
      </c>
      <c r="C7875" t="s">
        <v>36</v>
      </c>
      <c r="D7875">
        <v>430</v>
      </c>
    </row>
    <row r="7876" spans="1:4" ht="15.75" customHeight="1">
      <c r="A7876" t="s">
        <v>4130</v>
      </c>
      <c r="B7876" t="s">
        <v>38</v>
      </c>
      <c r="C7876" t="s">
        <v>36</v>
      </c>
      <c r="D7876">
        <v>429</v>
      </c>
    </row>
    <row r="7877" spans="1:4" ht="15.75" customHeight="1">
      <c r="A7877" t="s">
        <v>3188</v>
      </c>
      <c r="B7877" t="s">
        <v>38</v>
      </c>
      <c r="C7877" t="s">
        <v>36</v>
      </c>
      <c r="D7877">
        <v>428</v>
      </c>
    </row>
    <row r="7878" spans="1:4" ht="15.75" customHeight="1">
      <c r="A7878" t="s">
        <v>1766</v>
      </c>
      <c r="B7878" t="s">
        <v>38</v>
      </c>
      <c r="C7878" t="s">
        <v>36</v>
      </c>
      <c r="D7878">
        <v>427</v>
      </c>
    </row>
    <row r="7879" spans="1:4" ht="15.75" customHeight="1">
      <c r="A7879" t="s">
        <v>2172</v>
      </c>
      <c r="B7879" t="s">
        <v>38</v>
      </c>
      <c r="C7879" t="s">
        <v>36</v>
      </c>
      <c r="D7879">
        <v>427</v>
      </c>
    </row>
    <row r="7880" spans="1:4" ht="15.75" customHeight="1">
      <c r="A7880" t="s">
        <v>1366</v>
      </c>
      <c r="B7880" t="s">
        <v>38</v>
      </c>
      <c r="C7880" t="s">
        <v>36</v>
      </c>
      <c r="D7880">
        <v>425</v>
      </c>
    </row>
    <row r="7881" spans="1:4" ht="15.75" customHeight="1">
      <c r="A7881" t="s">
        <v>1428</v>
      </c>
      <c r="B7881" t="s">
        <v>38</v>
      </c>
      <c r="C7881" t="s">
        <v>36</v>
      </c>
      <c r="D7881">
        <v>416</v>
      </c>
    </row>
    <row r="7882" spans="1:4" ht="15.75" customHeight="1">
      <c r="A7882" t="s">
        <v>2764</v>
      </c>
      <c r="B7882" t="s">
        <v>38</v>
      </c>
      <c r="C7882" t="s">
        <v>36</v>
      </c>
      <c r="D7882">
        <v>414</v>
      </c>
    </row>
    <row r="7883" spans="1:4" ht="15.75" customHeight="1">
      <c r="A7883" t="s">
        <v>1449</v>
      </c>
      <c r="B7883" t="s">
        <v>38</v>
      </c>
      <c r="C7883" t="s">
        <v>36</v>
      </c>
      <c r="D7883">
        <v>411</v>
      </c>
    </row>
    <row r="7884" spans="1:4" ht="15.75" customHeight="1">
      <c r="A7884" t="s">
        <v>1711</v>
      </c>
      <c r="B7884" t="s">
        <v>38</v>
      </c>
      <c r="C7884" t="s">
        <v>36</v>
      </c>
      <c r="D7884">
        <v>410</v>
      </c>
    </row>
    <row r="7885" spans="1:4" ht="15.75" customHeight="1">
      <c r="A7885" t="s">
        <v>1430</v>
      </c>
      <c r="B7885" t="s">
        <v>38</v>
      </c>
      <c r="C7885" t="s">
        <v>36</v>
      </c>
      <c r="D7885">
        <v>409</v>
      </c>
    </row>
    <row r="7886" spans="1:4" ht="15.75" customHeight="1">
      <c r="A7886" t="s">
        <v>3266</v>
      </c>
      <c r="B7886" t="s">
        <v>38</v>
      </c>
      <c r="C7886" t="s">
        <v>36</v>
      </c>
      <c r="D7886">
        <v>408</v>
      </c>
    </row>
    <row r="7887" spans="1:4" ht="15.75" customHeight="1">
      <c r="A7887" t="s">
        <v>4821</v>
      </c>
      <c r="B7887" t="s">
        <v>38</v>
      </c>
      <c r="C7887" t="s">
        <v>36</v>
      </c>
      <c r="D7887">
        <v>406</v>
      </c>
    </row>
    <row r="7888" spans="1:4" ht="15.75" customHeight="1">
      <c r="A7888" t="s">
        <v>669</v>
      </c>
      <c r="B7888" t="s">
        <v>38</v>
      </c>
      <c r="C7888" t="s">
        <v>36</v>
      </c>
      <c r="D7888">
        <v>404</v>
      </c>
    </row>
    <row r="7889" spans="1:4" ht="15.75" customHeight="1">
      <c r="A7889" t="s">
        <v>1369</v>
      </c>
      <c r="B7889" t="s">
        <v>38</v>
      </c>
      <c r="C7889" t="s">
        <v>36</v>
      </c>
      <c r="D7889">
        <v>400</v>
      </c>
    </row>
    <row r="7890" spans="1:4" ht="15.75" customHeight="1">
      <c r="A7890" t="s">
        <v>576</v>
      </c>
      <c r="B7890" t="s">
        <v>38</v>
      </c>
      <c r="C7890" t="s">
        <v>36</v>
      </c>
      <c r="D7890">
        <v>399</v>
      </c>
    </row>
    <row r="7891" spans="1:4" ht="15.75" customHeight="1">
      <c r="A7891" t="s">
        <v>1716</v>
      </c>
      <c r="B7891" t="s">
        <v>38</v>
      </c>
      <c r="C7891" t="s">
        <v>36</v>
      </c>
      <c r="D7891">
        <v>396</v>
      </c>
    </row>
    <row r="7892" spans="1:4" ht="15.75" customHeight="1">
      <c r="A7892" t="s">
        <v>1750</v>
      </c>
      <c r="B7892" t="s">
        <v>38</v>
      </c>
      <c r="C7892" t="s">
        <v>36</v>
      </c>
      <c r="D7892">
        <v>395</v>
      </c>
    </row>
    <row r="7893" spans="1:4" ht="15.75" customHeight="1">
      <c r="A7893" t="s">
        <v>3136</v>
      </c>
      <c r="B7893" t="s">
        <v>38</v>
      </c>
      <c r="C7893" t="s">
        <v>36</v>
      </c>
      <c r="D7893">
        <v>394</v>
      </c>
    </row>
    <row r="7894" spans="1:4" ht="15.75" customHeight="1">
      <c r="A7894" t="s">
        <v>4111</v>
      </c>
      <c r="B7894" t="s">
        <v>38</v>
      </c>
      <c r="C7894" t="s">
        <v>36</v>
      </c>
      <c r="D7894">
        <v>394</v>
      </c>
    </row>
    <row r="7895" spans="1:4" ht="15.75" customHeight="1">
      <c r="A7895" t="s">
        <v>3678</v>
      </c>
      <c r="B7895" t="s">
        <v>38</v>
      </c>
      <c r="C7895" t="s">
        <v>36</v>
      </c>
      <c r="D7895">
        <v>391</v>
      </c>
    </row>
    <row r="7896" spans="1:4" ht="15.75" customHeight="1">
      <c r="A7896" t="s">
        <v>4790</v>
      </c>
      <c r="B7896" t="s">
        <v>38</v>
      </c>
      <c r="C7896" t="s">
        <v>36</v>
      </c>
      <c r="D7896">
        <v>390</v>
      </c>
    </row>
    <row r="7897" spans="1:4" ht="15.75" customHeight="1">
      <c r="A7897" t="s">
        <v>2186</v>
      </c>
      <c r="B7897" t="s">
        <v>38</v>
      </c>
      <c r="C7897" t="s">
        <v>36</v>
      </c>
      <c r="D7897">
        <v>387</v>
      </c>
    </row>
    <row r="7898" spans="1:4" ht="15.75" customHeight="1">
      <c r="A7898" t="s">
        <v>1764</v>
      </c>
      <c r="B7898" t="s">
        <v>38</v>
      </c>
      <c r="C7898" t="s">
        <v>36</v>
      </c>
      <c r="D7898">
        <v>386</v>
      </c>
    </row>
    <row r="7899" spans="1:4" ht="15.75" customHeight="1">
      <c r="A7899" t="s">
        <v>2251</v>
      </c>
      <c r="B7899" t="s">
        <v>38</v>
      </c>
      <c r="C7899" t="s">
        <v>36</v>
      </c>
      <c r="D7899">
        <v>384</v>
      </c>
    </row>
    <row r="7900" spans="1:4" ht="15.75" customHeight="1">
      <c r="A7900" t="s">
        <v>1760</v>
      </c>
      <c r="B7900" t="s">
        <v>38</v>
      </c>
      <c r="C7900" t="s">
        <v>36</v>
      </c>
      <c r="D7900">
        <v>383</v>
      </c>
    </row>
    <row r="7901" spans="1:4" ht="15.75" customHeight="1">
      <c r="A7901" t="s">
        <v>4777</v>
      </c>
      <c r="B7901" t="s">
        <v>38</v>
      </c>
      <c r="C7901" t="s">
        <v>36</v>
      </c>
      <c r="D7901">
        <v>383</v>
      </c>
    </row>
    <row r="7902" spans="1:4" ht="15.75" customHeight="1">
      <c r="A7902" t="s">
        <v>4819</v>
      </c>
      <c r="B7902" t="s">
        <v>38</v>
      </c>
      <c r="C7902" t="s">
        <v>36</v>
      </c>
      <c r="D7902">
        <v>376</v>
      </c>
    </row>
    <row r="7903" spans="1:4" ht="15.75" customHeight="1">
      <c r="A7903" t="s">
        <v>2247</v>
      </c>
      <c r="B7903" t="s">
        <v>38</v>
      </c>
      <c r="C7903" t="s">
        <v>36</v>
      </c>
      <c r="D7903">
        <v>373</v>
      </c>
    </row>
    <row r="7904" spans="1:4" ht="15.75" customHeight="1">
      <c r="A7904" t="s">
        <v>2113</v>
      </c>
      <c r="B7904" t="s">
        <v>38</v>
      </c>
      <c r="C7904" t="s">
        <v>36</v>
      </c>
      <c r="D7904">
        <v>370</v>
      </c>
    </row>
    <row r="7905" spans="1:4" ht="15.75" customHeight="1">
      <c r="A7905" t="s">
        <v>4397</v>
      </c>
      <c r="B7905" t="s">
        <v>38</v>
      </c>
      <c r="C7905" t="s">
        <v>36</v>
      </c>
      <c r="D7905">
        <v>370</v>
      </c>
    </row>
    <row r="7906" spans="1:4" ht="15.75" customHeight="1">
      <c r="A7906" t="s">
        <v>442</v>
      </c>
      <c r="B7906" t="s">
        <v>38</v>
      </c>
      <c r="C7906" t="s">
        <v>36</v>
      </c>
      <c r="D7906">
        <v>368</v>
      </c>
    </row>
    <row r="7907" spans="1:4" ht="15.75" customHeight="1">
      <c r="A7907" t="s">
        <v>2707</v>
      </c>
      <c r="B7907" t="s">
        <v>38</v>
      </c>
      <c r="C7907" t="s">
        <v>36</v>
      </c>
      <c r="D7907">
        <v>365</v>
      </c>
    </row>
    <row r="7908" spans="1:4" ht="15.75" customHeight="1">
      <c r="A7908" t="s">
        <v>4811</v>
      </c>
      <c r="B7908" t="s">
        <v>38</v>
      </c>
      <c r="C7908" t="s">
        <v>36</v>
      </c>
      <c r="D7908">
        <v>361</v>
      </c>
    </row>
    <row r="7909" spans="1:4" ht="15.75" customHeight="1">
      <c r="A7909" t="s">
        <v>2853</v>
      </c>
      <c r="B7909" t="s">
        <v>38</v>
      </c>
      <c r="C7909" t="s">
        <v>36</v>
      </c>
      <c r="D7909">
        <v>361</v>
      </c>
    </row>
    <row r="7910" spans="1:4" ht="15.75" customHeight="1">
      <c r="A7910" t="s">
        <v>1423</v>
      </c>
      <c r="B7910" t="s">
        <v>38</v>
      </c>
      <c r="C7910" t="s">
        <v>36</v>
      </c>
      <c r="D7910">
        <v>360</v>
      </c>
    </row>
    <row r="7911" spans="1:4" ht="15.75" customHeight="1">
      <c r="A7911" t="s">
        <v>2117</v>
      </c>
      <c r="B7911" t="s">
        <v>38</v>
      </c>
      <c r="C7911" t="s">
        <v>36</v>
      </c>
      <c r="D7911">
        <v>359</v>
      </c>
    </row>
    <row r="7912" spans="1:4" ht="15.75" customHeight="1">
      <c r="A7912" t="s">
        <v>1791</v>
      </c>
      <c r="B7912" t="s">
        <v>38</v>
      </c>
      <c r="C7912" t="s">
        <v>36</v>
      </c>
      <c r="D7912">
        <v>359</v>
      </c>
    </row>
    <row r="7913" spans="1:4" ht="15.75" customHeight="1">
      <c r="A7913" t="s">
        <v>4389</v>
      </c>
      <c r="B7913" t="s">
        <v>38</v>
      </c>
      <c r="C7913" t="s">
        <v>36</v>
      </c>
      <c r="D7913">
        <v>354</v>
      </c>
    </row>
    <row r="7914" spans="1:4" ht="15.75" customHeight="1">
      <c r="A7914" t="s">
        <v>4758</v>
      </c>
      <c r="B7914" t="s">
        <v>38</v>
      </c>
      <c r="C7914" t="s">
        <v>36</v>
      </c>
      <c r="D7914">
        <v>354</v>
      </c>
    </row>
    <row r="7915" spans="1:4" ht="15.75" customHeight="1">
      <c r="A7915" t="s">
        <v>3252</v>
      </c>
      <c r="B7915" t="s">
        <v>38</v>
      </c>
      <c r="C7915" t="s">
        <v>36</v>
      </c>
      <c r="D7915">
        <v>353</v>
      </c>
    </row>
    <row r="7916" spans="1:4" ht="15.75" customHeight="1">
      <c r="A7916" t="s">
        <v>3310</v>
      </c>
      <c r="B7916" t="s">
        <v>38</v>
      </c>
      <c r="C7916" t="s">
        <v>36</v>
      </c>
      <c r="D7916">
        <v>347</v>
      </c>
    </row>
    <row r="7917" spans="1:4" ht="15.75" customHeight="1">
      <c r="A7917" t="s">
        <v>436</v>
      </c>
      <c r="B7917" t="s">
        <v>38</v>
      </c>
      <c r="C7917" t="s">
        <v>36</v>
      </c>
      <c r="D7917">
        <v>345</v>
      </c>
    </row>
    <row r="7918" spans="1:4" ht="15.75" customHeight="1">
      <c r="A7918" t="s">
        <v>2700</v>
      </c>
      <c r="B7918" t="s">
        <v>38</v>
      </c>
      <c r="C7918" t="s">
        <v>36</v>
      </c>
      <c r="D7918">
        <v>339</v>
      </c>
    </row>
    <row r="7919" spans="1:4" ht="15.75" customHeight="1">
      <c r="A7919" t="s">
        <v>1349</v>
      </c>
      <c r="B7919" t="s">
        <v>38</v>
      </c>
      <c r="C7919" t="s">
        <v>36</v>
      </c>
      <c r="D7919">
        <v>339</v>
      </c>
    </row>
    <row r="7920" spans="1:4" ht="15.75" customHeight="1">
      <c r="A7920" t="s">
        <v>4724</v>
      </c>
      <c r="B7920" t="s">
        <v>38</v>
      </c>
      <c r="C7920" t="s">
        <v>36</v>
      </c>
      <c r="D7920">
        <v>338</v>
      </c>
    </row>
    <row r="7921" spans="1:4" ht="15.75" customHeight="1">
      <c r="A7921" t="s">
        <v>4087</v>
      </c>
      <c r="B7921" t="s">
        <v>38</v>
      </c>
      <c r="C7921" t="s">
        <v>36</v>
      </c>
      <c r="D7921">
        <v>335</v>
      </c>
    </row>
    <row r="7922" spans="1:4" ht="15.75" customHeight="1">
      <c r="A7922" t="s">
        <v>1407</v>
      </c>
      <c r="B7922" t="s">
        <v>38</v>
      </c>
      <c r="C7922" t="s">
        <v>36</v>
      </c>
      <c r="D7922">
        <v>334</v>
      </c>
    </row>
    <row r="7923" spans="1:4" ht="15.75" customHeight="1">
      <c r="A7923" t="s">
        <v>3171</v>
      </c>
      <c r="B7923" t="s">
        <v>38</v>
      </c>
      <c r="C7923" t="s">
        <v>36</v>
      </c>
      <c r="D7923">
        <v>334</v>
      </c>
    </row>
    <row r="7924" spans="1:4" ht="15.75" customHeight="1">
      <c r="A7924" t="s">
        <v>1795</v>
      </c>
      <c r="B7924" t="s">
        <v>38</v>
      </c>
      <c r="C7924" t="s">
        <v>36</v>
      </c>
      <c r="D7924">
        <v>333</v>
      </c>
    </row>
    <row r="7925" spans="1:4" ht="15.75" customHeight="1">
      <c r="A7925" t="s">
        <v>2663</v>
      </c>
      <c r="B7925" t="s">
        <v>38</v>
      </c>
      <c r="C7925" t="s">
        <v>36</v>
      </c>
      <c r="D7925">
        <v>332</v>
      </c>
    </row>
    <row r="7926" spans="1:4" ht="15.75" customHeight="1">
      <c r="A7926" t="s">
        <v>494</v>
      </c>
      <c r="B7926" t="s">
        <v>38</v>
      </c>
      <c r="C7926" t="s">
        <v>36</v>
      </c>
      <c r="D7926">
        <v>328</v>
      </c>
    </row>
    <row r="7927" spans="1:4" ht="15.75" customHeight="1">
      <c r="A7927" t="s">
        <v>1404</v>
      </c>
      <c r="B7927" t="s">
        <v>38</v>
      </c>
      <c r="C7927" t="s">
        <v>36</v>
      </c>
      <c r="D7927">
        <v>327</v>
      </c>
    </row>
    <row r="7928" spans="1:4" ht="15.75" customHeight="1">
      <c r="A7928" t="s">
        <v>2730</v>
      </c>
      <c r="B7928" t="s">
        <v>38</v>
      </c>
      <c r="C7928" t="s">
        <v>36</v>
      </c>
      <c r="D7928">
        <v>327</v>
      </c>
    </row>
    <row r="7929" spans="1:4" ht="15.75" customHeight="1">
      <c r="A7929" t="s">
        <v>1768</v>
      </c>
      <c r="B7929" t="s">
        <v>38</v>
      </c>
      <c r="C7929" t="s">
        <v>36</v>
      </c>
      <c r="D7929">
        <v>321</v>
      </c>
    </row>
    <row r="7930" spans="1:4" ht="15.75" customHeight="1">
      <c r="A7930" t="s">
        <v>1728</v>
      </c>
      <c r="B7930" t="s">
        <v>38</v>
      </c>
      <c r="C7930" t="s">
        <v>36</v>
      </c>
      <c r="D7930">
        <v>320</v>
      </c>
    </row>
    <row r="7931" spans="1:4" ht="15.75" customHeight="1">
      <c r="A7931" t="s">
        <v>1351</v>
      </c>
      <c r="B7931" t="s">
        <v>38</v>
      </c>
      <c r="C7931" t="s">
        <v>36</v>
      </c>
      <c r="D7931">
        <v>315</v>
      </c>
    </row>
    <row r="7932" spans="1:4" ht="15.75" customHeight="1">
      <c r="A7932" t="s">
        <v>3703</v>
      </c>
      <c r="B7932" t="s">
        <v>38</v>
      </c>
      <c r="C7932" t="s">
        <v>36</v>
      </c>
      <c r="D7932">
        <v>313</v>
      </c>
    </row>
    <row r="7933" spans="1:4" ht="15.75" customHeight="1">
      <c r="A7933" t="s">
        <v>2095</v>
      </c>
      <c r="B7933" t="s">
        <v>38</v>
      </c>
      <c r="C7933" t="s">
        <v>36</v>
      </c>
      <c r="D7933">
        <v>313</v>
      </c>
    </row>
    <row r="7934" spans="1:4" ht="15.75" customHeight="1">
      <c r="A7934" t="s">
        <v>2732</v>
      </c>
      <c r="B7934" t="s">
        <v>38</v>
      </c>
      <c r="C7934" t="s">
        <v>36</v>
      </c>
      <c r="D7934">
        <v>312</v>
      </c>
    </row>
    <row r="7935" spans="1:4" ht="15.75" customHeight="1">
      <c r="A7935" t="s">
        <v>1734</v>
      </c>
      <c r="B7935" t="s">
        <v>38</v>
      </c>
      <c r="C7935" t="s">
        <v>36</v>
      </c>
      <c r="D7935">
        <v>310</v>
      </c>
    </row>
    <row r="7936" spans="1:4" ht="15.75" customHeight="1">
      <c r="A7936" t="s">
        <v>1267</v>
      </c>
      <c r="B7936" t="s">
        <v>38</v>
      </c>
      <c r="C7936" t="s">
        <v>36</v>
      </c>
      <c r="D7936">
        <v>309</v>
      </c>
    </row>
    <row r="7937" spans="1:4" ht="15.75" customHeight="1">
      <c r="A7937" t="s">
        <v>4085</v>
      </c>
      <c r="B7937" t="s">
        <v>38</v>
      </c>
      <c r="C7937" t="s">
        <v>36</v>
      </c>
      <c r="D7937">
        <v>308</v>
      </c>
    </row>
    <row r="7938" spans="1:4" ht="15.75" customHeight="1">
      <c r="A7938" t="s">
        <v>1304</v>
      </c>
      <c r="B7938" t="s">
        <v>38</v>
      </c>
      <c r="C7938" t="s">
        <v>36</v>
      </c>
      <c r="D7938">
        <v>307</v>
      </c>
    </row>
    <row r="7939" spans="1:4" ht="15.75" customHeight="1">
      <c r="A7939" t="s">
        <v>1436</v>
      </c>
      <c r="B7939" t="s">
        <v>38</v>
      </c>
      <c r="C7939" t="s">
        <v>36</v>
      </c>
      <c r="D7939">
        <v>307</v>
      </c>
    </row>
    <row r="7940" spans="1:4" ht="15.75" customHeight="1">
      <c r="A7940" t="s">
        <v>2267</v>
      </c>
      <c r="B7940" t="s">
        <v>38</v>
      </c>
      <c r="C7940" t="s">
        <v>36</v>
      </c>
      <c r="D7940">
        <v>303</v>
      </c>
    </row>
    <row r="7941" spans="1:4" ht="15.75" customHeight="1">
      <c r="A7941" t="s">
        <v>2261</v>
      </c>
      <c r="B7941" t="s">
        <v>38</v>
      </c>
      <c r="C7941" t="s">
        <v>36</v>
      </c>
      <c r="D7941">
        <v>303</v>
      </c>
    </row>
    <row r="7942" spans="1:4" ht="15.75" customHeight="1">
      <c r="A7942" t="s">
        <v>2240</v>
      </c>
      <c r="B7942" t="s">
        <v>38</v>
      </c>
      <c r="C7942" t="s">
        <v>36</v>
      </c>
      <c r="D7942">
        <v>301</v>
      </c>
    </row>
    <row r="7943" spans="1:4" ht="15.75" customHeight="1">
      <c r="A7943" t="s">
        <v>2256</v>
      </c>
      <c r="B7943" t="s">
        <v>38</v>
      </c>
      <c r="C7943" t="s">
        <v>36</v>
      </c>
      <c r="D7943">
        <v>301</v>
      </c>
    </row>
    <row r="7944" spans="1:4" ht="15.75" customHeight="1">
      <c r="A7944" t="s">
        <v>1421</v>
      </c>
      <c r="B7944" t="s">
        <v>38</v>
      </c>
      <c r="C7944" t="s">
        <v>36</v>
      </c>
      <c r="D7944">
        <v>301</v>
      </c>
    </row>
    <row r="7945" spans="1:4" ht="15.75" customHeight="1">
      <c r="A7945" t="s">
        <v>1419</v>
      </c>
      <c r="B7945" t="s">
        <v>38</v>
      </c>
      <c r="C7945" t="s">
        <v>36</v>
      </c>
      <c r="D7945">
        <v>298</v>
      </c>
    </row>
    <row r="7946" spans="1:4" ht="15.75" customHeight="1">
      <c r="A7946" t="s">
        <v>4120</v>
      </c>
      <c r="B7946" t="s">
        <v>38</v>
      </c>
      <c r="C7946" t="s">
        <v>36</v>
      </c>
      <c r="D7946">
        <v>297</v>
      </c>
    </row>
    <row r="7947" spans="1:4" ht="15.75" customHeight="1">
      <c r="A7947" t="s">
        <v>2110</v>
      </c>
      <c r="B7947" t="s">
        <v>38</v>
      </c>
      <c r="C7947" t="s">
        <v>36</v>
      </c>
      <c r="D7947">
        <v>294</v>
      </c>
    </row>
    <row r="7948" spans="1:4" ht="15.75" customHeight="1">
      <c r="A7948" t="s">
        <v>570</v>
      </c>
      <c r="B7948" t="s">
        <v>38</v>
      </c>
      <c r="C7948" t="s">
        <v>36</v>
      </c>
      <c r="D7948">
        <v>292</v>
      </c>
    </row>
    <row r="7949" spans="1:4" ht="15.75" customHeight="1">
      <c r="A7949" t="s">
        <v>1742</v>
      </c>
      <c r="B7949" t="s">
        <v>38</v>
      </c>
      <c r="C7949" t="s">
        <v>36</v>
      </c>
      <c r="D7949">
        <v>290</v>
      </c>
    </row>
    <row r="7950" spans="1:4" ht="15.75" customHeight="1">
      <c r="A7950" t="s">
        <v>4712</v>
      </c>
      <c r="B7950" t="s">
        <v>38</v>
      </c>
      <c r="C7950" t="s">
        <v>36</v>
      </c>
      <c r="D7950">
        <v>289</v>
      </c>
    </row>
    <row r="7951" spans="1:4" ht="15.75" customHeight="1">
      <c r="A7951" t="s">
        <v>4115</v>
      </c>
      <c r="B7951" t="s">
        <v>38</v>
      </c>
      <c r="C7951" t="s">
        <v>36</v>
      </c>
      <c r="D7951">
        <v>289</v>
      </c>
    </row>
    <row r="7952" spans="1:4" ht="15.75" customHeight="1">
      <c r="A7952" t="s">
        <v>588</v>
      </c>
      <c r="B7952" t="s">
        <v>38</v>
      </c>
      <c r="C7952" t="s">
        <v>36</v>
      </c>
      <c r="D7952">
        <v>287</v>
      </c>
    </row>
    <row r="7953" spans="1:4" ht="15.75" customHeight="1">
      <c r="A7953" t="s">
        <v>4099</v>
      </c>
      <c r="B7953" t="s">
        <v>38</v>
      </c>
      <c r="C7953" t="s">
        <v>36</v>
      </c>
      <c r="D7953">
        <v>285</v>
      </c>
    </row>
    <row r="7954" spans="1:4" ht="15.75" customHeight="1">
      <c r="A7954" t="s">
        <v>4122</v>
      </c>
      <c r="B7954" t="s">
        <v>38</v>
      </c>
      <c r="C7954" t="s">
        <v>36</v>
      </c>
      <c r="D7954">
        <v>284</v>
      </c>
    </row>
    <row r="7955" spans="1:4" ht="15.75" customHeight="1">
      <c r="A7955" t="s">
        <v>2773</v>
      </c>
      <c r="B7955" t="s">
        <v>38</v>
      </c>
      <c r="C7955" t="s">
        <v>36</v>
      </c>
      <c r="D7955">
        <v>283</v>
      </c>
    </row>
    <row r="7956" spans="1:4" ht="15.75" customHeight="1">
      <c r="A7956" t="s">
        <v>1721</v>
      </c>
      <c r="B7956" t="s">
        <v>38</v>
      </c>
      <c r="C7956" t="s">
        <v>36</v>
      </c>
      <c r="D7956">
        <v>279</v>
      </c>
    </row>
    <row r="7957" spans="1:4" ht="15.75" customHeight="1">
      <c r="A7957" t="s">
        <v>1325</v>
      </c>
      <c r="B7957" t="s">
        <v>38</v>
      </c>
      <c r="C7957" t="s">
        <v>36</v>
      </c>
      <c r="D7957">
        <v>278</v>
      </c>
    </row>
    <row r="7958" spans="1:4" ht="15.75" customHeight="1">
      <c r="A7958" t="s">
        <v>3722</v>
      </c>
      <c r="B7958" t="s">
        <v>38</v>
      </c>
      <c r="C7958" t="s">
        <v>36</v>
      </c>
      <c r="D7958">
        <v>278</v>
      </c>
    </row>
    <row r="7959" spans="1:4" ht="15.75" customHeight="1">
      <c r="A7959" t="s">
        <v>2866</v>
      </c>
      <c r="B7959" t="s">
        <v>38</v>
      </c>
      <c r="C7959" t="s">
        <v>36</v>
      </c>
      <c r="D7959">
        <v>278</v>
      </c>
    </row>
    <row r="7960" spans="1:4" ht="15.75" customHeight="1">
      <c r="A7960" t="s">
        <v>1787</v>
      </c>
      <c r="B7960" t="s">
        <v>38</v>
      </c>
      <c r="C7960" t="s">
        <v>36</v>
      </c>
      <c r="D7960">
        <v>271</v>
      </c>
    </row>
    <row r="7961" spans="1:4" ht="15.75" customHeight="1">
      <c r="A7961" t="s">
        <v>3615</v>
      </c>
      <c r="B7961" t="s">
        <v>38</v>
      </c>
      <c r="C7961" t="s">
        <v>36</v>
      </c>
      <c r="D7961">
        <v>271</v>
      </c>
    </row>
    <row r="7962" spans="1:4" ht="15.75" customHeight="1">
      <c r="A7962" t="s">
        <v>4392</v>
      </c>
      <c r="B7962" t="s">
        <v>38</v>
      </c>
      <c r="C7962" t="s">
        <v>36</v>
      </c>
      <c r="D7962">
        <v>268</v>
      </c>
    </row>
    <row r="7963" spans="1:4" ht="15.75" customHeight="1">
      <c r="A7963" t="s">
        <v>582</v>
      </c>
      <c r="B7963" t="s">
        <v>38</v>
      </c>
      <c r="C7963" t="s">
        <v>36</v>
      </c>
      <c r="D7963">
        <v>267</v>
      </c>
    </row>
    <row r="7964" spans="1:4" ht="15.75" customHeight="1">
      <c r="A7964" t="s">
        <v>445</v>
      </c>
      <c r="B7964" t="s">
        <v>38</v>
      </c>
      <c r="C7964" t="s">
        <v>36</v>
      </c>
      <c r="D7964">
        <v>265</v>
      </c>
    </row>
    <row r="7965" spans="1:4" ht="15.75" customHeight="1">
      <c r="A7965" t="s">
        <v>3263</v>
      </c>
      <c r="B7965" t="s">
        <v>38</v>
      </c>
      <c r="C7965" t="s">
        <v>36</v>
      </c>
      <c r="D7965">
        <v>265</v>
      </c>
    </row>
    <row r="7966" spans="1:4" ht="15.75" customHeight="1">
      <c r="A7966" t="s">
        <v>2253</v>
      </c>
      <c r="B7966" t="s">
        <v>38</v>
      </c>
      <c r="C7966" t="s">
        <v>36</v>
      </c>
      <c r="D7966">
        <v>263</v>
      </c>
    </row>
    <row r="7967" spans="1:4" ht="15.75" customHeight="1">
      <c r="A7967" t="s">
        <v>3181</v>
      </c>
      <c r="B7967" t="s">
        <v>38</v>
      </c>
      <c r="C7967" t="s">
        <v>36</v>
      </c>
      <c r="D7967">
        <v>263</v>
      </c>
    </row>
    <row r="7968" spans="1:4" ht="15.75" customHeight="1">
      <c r="A7968" t="s">
        <v>4381</v>
      </c>
      <c r="B7968" t="s">
        <v>38</v>
      </c>
      <c r="C7968" t="s">
        <v>36</v>
      </c>
      <c r="D7968">
        <v>262</v>
      </c>
    </row>
    <row r="7969" spans="1:4" ht="15.75" customHeight="1">
      <c r="A7969" t="s">
        <v>1446</v>
      </c>
      <c r="B7969" t="s">
        <v>38</v>
      </c>
      <c r="C7969" t="s">
        <v>36</v>
      </c>
      <c r="D7969">
        <v>260</v>
      </c>
    </row>
    <row r="7970" spans="1:4" ht="15.75" customHeight="1">
      <c r="A7970" t="s">
        <v>3234</v>
      </c>
      <c r="B7970" t="s">
        <v>38</v>
      </c>
      <c r="C7970" t="s">
        <v>36</v>
      </c>
      <c r="D7970">
        <v>260</v>
      </c>
    </row>
    <row r="7971" spans="1:4" ht="15.75" customHeight="1">
      <c r="A7971" t="s">
        <v>4089</v>
      </c>
      <c r="B7971" t="s">
        <v>38</v>
      </c>
      <c r="C7971" t="s">
        <v>36</v>
      </c>
      <c r="D7971">
        <v>260</v>
      </c>
    </row>
    <row r="7972" spans="1:4" ht="15.75" customHeight="1">
      <c r="A7972" t="s">
        <v>3611</v>
      </c>
      <c r="B7972" t="s">
        <v>38</v>
      </c>
      <c r="C7972" t="s">
        <v>36</v>
      </c>
      <c r="D7972">
        <v>258</v>
      </c>
    </row>
    <row r="7973" spans="1:4" ht="15.75" customHeight="1">
      <c r="A7973" t="s">
        <v>3675</v>
      </c>
      <c r="B7973" t="s">
        <v>38</v>
      </c>
      <c r="C7973" t="s">
        <v>36</v>
      </c>
      <c r="D7973">
        <v>252</v>
      </c>
    </row>
    <row r="7974" spans="1:4" ht="15.75" customHeight="1">
      <c r="A7974" t="s">
        <v>2201</v>
      </c>
      <c r="B7974" t="s">
        <v>38</v>
      </c>
      <c r="C7974" t="s">
        <v>36</v>
      </c>
      <c r="D7974">
        <v>250</v>
      </c>
    </row>
    <row r="7975" spans="1:4" ht="15.75" customHeight="1">
      <c r="A7975" t="s">
        <v>1328</v>
      </c>
      <c r="B7975" t="s">
        <v>38</v>
      </c>
      <c r="C7975" t="s">
        <v>36</v>
      </c>
      <c r="D7975">
        <v>249</v>
      </c>
    </row>
    <row r="7976" spans="1:4" ht="15.75" customHeight="1">
      <c r="A7976" t="s">
        <v>1310</v>
      </c>
      <c r="B7976" t="s">
        <v>38</v>
      </c>
      <c r="C7976" t="s">
        <v>36</v>
      </c>
      <c r="D7976">
        <v>248</v>
      </c>
    </row>
    <row r="7977" spans="1:4" ht="15.75" customHeight="1">
      <c r="A7977" t="s">
        <v>1354</v>
      </c>
      <c r="B7977" t="s">
        <v>38</v>
      </c>
      <c r="C7977" t="s">
        <v>36</v>
      </c>
      <c r="D7977">
        <v>247</v>
      </c>
    </row>
    <row r="7978" spans="1:4" ht="15.75" customHeight="1">
      <c r="A7978" t="s">
        <v>3255</v>
      </c>
      <c r="B7978" t="s">
        <v>38</v>
      </c>
      <c r="C7978" t="s">
        <v>36</v>
      </c>
      <c r="D7978">
        <v>246</v>
      </c>
    </row>
    <row r="7979" spans="1:4" ht="15.75" customHeight="1">
      <c r="A7979" t="s">
        <v>3148</v>
      </c>
      <c r="B7979" t="s">
        <v>38</v>
      </c>
      <c r="C7979" t="s">
        <v>36</v>
      </c>
      <c r="D7979">
        <v>244</v>
      </c>
    </row>
    <row r="7980" spans="1:4" ht="15.75" customHeight="1">
      <c r="A7980" t="s">
        <v>1334</v>
      </c>
      <c r="B7980" t="s">
        <v>38</v>
      </c>
      <c r="C7980" t="s">
        <v>36</v>
      </c>
      <c r="D7980">
        <v>238</v>
      </c>
    </row>
    <row r="7981" spans="1:4" ht="15.75" customHeight="1">
      <c r="A7981" t="s">
        <v>2843</v>
      </c>
      <c r="B7981" t="s">
        <v>38</v>
      </c>
      <c r="C7981" t="s">
        <v>36</v>
      </c>
      <c r="D7981">
        <v>237</v>
      </c>
    </row>
    <row r="7982" spans="1:4" ht="15.75" customHeight="1">
      <c r="A7982" t="s">
        <v>468</v>
      </c>
      <c r="B7982" t="s">
        <v>38</v>
      </c>
      <c r="C7982" t="s">
        <v>36</v>
      </c>
      <c r="D7982">
        <v>235</v>
      </c>
    </row>
    <row r="7983" spans="1:4" ht="15.75" customHeight="1">
      <c r="A7983" t="s">
        <v>3712</v>
      </c>
      <c r="B7983" t="s">
        <v>38</v>
      </c>
      <c r="C7983" t="s">
        <v>36</v>
      </c>
      <c r="D7983">
        <v>234</v>
      </c>
    </row>
    <row r="7984" spans="1:4" ht="15.75" customHeight="1">
      <c r="A7984" t="s">
        <v>4748</v>
      </c>
      <c r="B7984" t="s">
        <v>38</v>
      </c>
      <c r="C7984" t="s">
        <v>36</v>
      </c>
      <c r="D7984">
        <v>230</v>
      </c>
    </row>
    <row r="7985" spans="1:4" ht="15.75" customHeight="1">
      <c r="A7985" t="s">
        <v>4384</v>
      </c>
      <c r="B7985" t="s">
        <v>38</v>
      </c>
      <c r="C7985" t="s">
        <v>36</v>
      </c>
      <c r="D7985">
        <v>230</v>
      </c>
    </row>
    <row r="7986" spans="1:4" ht="15.75" customHeight="1">
      <c r="A7986" t="s">
        <v>4751</v>
      </c>
      <c r="B7986" t="s">
        <v>38</v>
      </c>
      <c r="C7986" t="s">
        <v>36</v>
      </c>
      <c r="D7986">
        <v>230</v>
      </c>
    </row>
    <row r="7987" spans="1:4" ht="15.75" customHeight="1">
      <c r="A7987" t="s">
        <v>3671</v>
      </c>
      <c r="B7987" t="s">
        <v>38</v>
      </c>
      <c r="C7987" t="s">
        <v>36</v>
      </c>
      <c r="D7987">
        <v>228</v>
      </c>
    </row>
    <row r="7988" spans="1:4" ht="15.75" customHeight="1">
      <c r="A7988" t="s">
        <v>1736</v>
      </c>
      <c r="B7988" t="s">
        <v>38</v>
      </c>
      <c r="C7988" t="s">
        <v>36</v>
      </c>
      <c r="D7988">
        <v>227</v>
      </c>
    </row>
    <row r="7989" spans="1:4" ht="15.75" customHeight="1">
      <c r="A7989" t="s">
        <v>1756</v>
      </c>
      <c r="B7989" t="s">
        <v>38</v>
      </c>
      <c r="C7989" t="s">
        <v>36</v>
      </c>
      <c r="D7989">
        <v>226</v>
      </c>
    </row>
    <row r="7990" spans="1:4" ht="15.75" customHeight="1">
      <c r="A7990" t="s">
        <v>2762</v>
      </c>
      <c r="B7990" t="s">
        <v>38</v>
      </c>
      <c r="C7990" t="s">
        <v>36</v>
      </c>
      <c r="D7990">
        <v>225</v>
      </c>
    </row>
    <row r="7991" spans="1:4" ht="15.75" customHeight="1">
      <c r="A7991" t="s">
        <v>1744</v>
      </c>
      <c r="B7991" t="s">
        <v>38</v>
      </c>
      <c r="C7991" t="s">
        <v>36</v>
      </c>
      <c r="D7991">
        <v>225</v>
      </c>
    </row>
    <row r="7992" spans="1:4" ht="15.75" customHeight="1">
      <c r="A7992" t="s">
        <v>1451</v>
      </c>
      <c r="B7992" t="s">
        <v>38</v>
      </c>
      <c r="C7992" t="s">
        <v>36</v>
      </c>
      <c r="D7992">
        <v>225</v>
      </c>
    </row>
    <row r="7993" spans="1:4" ht="15.75" customHeight="1">
      <c r="A7993" t="s">
        <v>4031</v>
      </c>
      <c r="B7993" t="s">
        <v>38</v>
      </c>
      <c r="C7993" t="s">
        <v>36</v>
      </c>
      <c r="D7993">
        <v>225</v>
      </c>
    </row>
    <row r="7994" spans="1:4" ht="15.75" customHeight="1">
      <c r="A7994" t="s">
        <v>3178</v>
      </c>
      <c r="B7994" t="s">
        <v>38</v>
      </c>
      <c r="C7994" t="s">
        <v>36</v>
      </c>
      <c r="D7994">
        <v>224</v>
      </c>
    </row>
    <row r="7995" spans="1:4" ht="15.75" customHeight="1">
      <c r="A7995" t="s">
        <v>1313</v>
      </c>
      <c r="B7995" t="s">
        <v>38</v>
      </c>
      <c r="C7995" t="s">
        <v>36</v>
      </c>
      <c r="D7995">
        <v>222</v>
      </c>
    </row>
    <row r="7996" spans="1:4" ht="15.75" customHeight="1">
      <c r="A7996" t="s">
        <v>4841</v>
      </c>
      <c r="B7996" t="s">
        <v>38</v>
      </c>
      <c r="C7996" t="s">
        <v>36</v>
      </c>
      <c r="D7996">
        <v>221</v>
      </c>
    </row>
    <row r="7997" spans="1:4" ht="15.75" customHeight="1">
      <c r="A7997" t="s">
        <v>4825</v>
      </c>
      <c r="B7997" t="s">
        <v>38</v>
      </c>
      <c r="C7997" t="s">
        <v>36</v>
      </c>
      <c r="D7997">
        <v>220</v>
      </c>
    </row>
    <row r="7998" spans="1:4" ht="15.75" customHeight="1">
      <c r="A7998" t="s">
        <v>4041</v>
      </c>
      <c r="B7998" t="s">
        <v>38</v>
      </c>
      <c r="C7998" t="s">
        <v>36</v>
      </c>
      <c r="D7998">
        <v>220</v>
      </c>
    </row>
    <row r="7999" spans="1:4" ht="15.75" customHeight="1">
      <c r="A7999" t="s">
        <v>626</v>
      </c>
      <c r="B7999" t="s">
        <v>38</v>
      </c>
      <c r="C7999" t="s">
        <v>36</v>
      </c>
      <c r="D7999">
        <v>216</v>
      </c>
    </row>
    <row r="8000" spans="1:4" ht="15.75" customHeight="1">
      <c r="A8000" t="s">
        <v>4403</v>
      </c>
      <c r="B8000" t="s">
        <v>38</v>
      </c>
      <c r="C8000" t="s">
        <v>36</v>
      </c>
      <c r="D8000">
        <v>216</v>
      </c>
    </row>
    <row r="8001" spans="1:4" ht="15.75" customHeight="1">
      <c r="A8001" t="s">
        <v>1740</v>
      </c>
      <c r="B8001" t="s">
        <v>38</v>
      </c>
      <c r="C8001" t="s">
        <v>36</v>
      </c>
      <c r="D8001">
        <v>215</v>
      </c>
    </row>
    <row r="8002" spans="1:4" ht="15.75" customHeight="1">
      <c r="A8002" t="s">
        <v>1339</v>
      </c>
      <c r="B8002" t="s">
        <v>38</v>
      </c>
      <c r="C8002" t="s">
        <v>36</v>
      </c>
      <c r="D8002">
        <v>213</v>
      </c>
    </row>
    <row r="8003" spans="1:4" ht="15.75" customHeight="1">
      <c r="A8003" t="s">
        <v>521</v>
      </c>
      <c r="B8003" t="s">
        <v>38</v>
      </c>
      <c r="C8003" t="s">
        <v>36</v>
      </c>
      <c r="D8003">
        <v>213</v>
      </c>
    </row>
    <row r="8004" spans="1:4" ht="15.75" customHeight="1">
      <c r="A8004" t="s">
        <v>3697</v>
      </c>
      <c r="B8004" t="s">
        <v>38</v>
      </c>
      <c r="C8004" t="s">
        <v>36</v>
      </c>
      <c r="D8004">
        <v>212</v>
      </c>
    </row>
    <row r="8005" spans="1:4" ht="15.75" customHeight="1">
      <c r="A8005" t="s">
        <v>1258</v>
      </c>
      <c r="B8005" t="s">
        <v>38</v>
      </c>
      <c r="C8005" t="s">
        <v>36</v>
      </c>
      <c r="D8005">
        <v>210</v>
      </c>
    </row>
    <row r="8006" spans="1:4" ht="15.75" customHeight="1">
      <c r="A8006" t="s">
        <v>1307</v>
      </c>
      <c r="B8006" t="s">
        <v>38</v>
      </c>
      <c r="C8006" t="s">
        <v>36</v>
      </c>
      <c r="D8006">
        <v>208</v>
      </c>
    </row>
    <row r="8007" spans="1:4" ht="15.75" customHeight="1">
      <c r="A8007" t="s">
        <v>1332</v>
      </c>
      <c r="B8007" t="s">
        <v>38</v>
      </c>
      <c r="C8007" t="s">
        <v>36</v>
      </c>
      <c r="D8007">
        <v>208</v>
      </c>
    </row>
    <row r="8008" spans="1:4" ht="15.75" customHeight="1">
      <c r="A8008" t="s">
        <v>4072</v>
      </c>
      <c r="B8008" t="s">
        <v>38</v>
      </c>
      <c r="C8008" t="s">
        <v>36</v>
      </c>
      <c r="D8008">
        <v>205</v>
      </c>
    </row>
    <row r="8009" spans="1:4" ht="15.75" customHeight="1">
      <c r="A8009" t="s">
        <v>1383</v>
      </c>
      <c r="B8009" t="s">
        <v>38</v>
      </c>
      <c r="C8009" t="s">
        <v>36</v>
      </c>
      <c r="D8009">
        <v>205</v>
      </c>
    </row>
    <row r="8010" spans="1:4" ht="15.75" customHeight="1">
      <c r="A8010" t="s">
        <v>3644</v>
      </c>
      <c r="B8010" t="s">
        <v>38</v>
      </c>
      <c r="C8010" t="s">
        <v>36</v>
      </c>
      <c r="D8010">
        <v>204</v>
      </c>
    </row>
    <row r="8011" spans="1:4" ht="15.75" customHeight="1">
      <c r="A8011" t="s">
        <v>4126</v>
      </c>
      <c r="B8011" t="s">
        <v>38</v>
      </c>
      <c r="C8011" t="s">
        <v>36</v>
      </c>
      <c r="D8011">
        <v>204</v>
      </c>
    </row>
    <row r="8012" spans="1:4" ht="15.75" customHeight="1">
      <c r="A8012" t="s">
        <v>2272</v>
      </c>
      <c r="B8012" t="s">
        <v>38</v>
      </c>
      <c r="C8012" t="s">
        <v>36</v>
      </c>
      <c r="D8012">
        <v>202</v>
      </c>
    </row>
    <row r="8013" spans="1:4" ht="15.75" customHeight="1">
      <c r="A8013" t="s">
        <v>1357</v>
      </c>
      <c r="B8013" t="s">
        <v>38</v>
      </c>
      <c r="C8013" t="s">
        <v>36</v>
      </c>
      <c r="D8013">
        <v>201</v>
      </c>
    </row>
    <row r="8014" spans="1:4" ht="15.75" customHeight="1">
      <c r="A8014" t="s">
        <v>1250</v>
      </c>
      <c r="B8014" t="s">
        <v>38</v>
      </c>
      <c r="C8014" t="s">
        <v>36</v>
      </c>
      <c r="D8014">
        <v>200</v>
      </c>
    </row>
    <row r="8015" spans="1:4" ht="15.75" customHeight="1">
      <c r="A8015" t="s">
        <v>663</v>
      </c>
      <c r="B8015" t="s">
        <v>38</v>
      </c>
      <c r="C8015" t="s">
        <v>36</v>
      </c>
      <c r="D8015">
        <v>200</v>
      </c>
    </row>
    <row r="8016" spans="1:4" ht="15.75" customHeight="1">
      <c r="A8016" t="s">
        <v>1442</v>
      </c>
      <c r="B8016" t="s">
        <v>38</v>
      </c>
      <c r="C8016" t="s">
        <v>36</v>
      </c>
      <c r="D8016">
        <v>197</v>
      </c>
    </row>
    <row r="8017" spans="1:4" ht="15.75" customHeight="1">
      <c r="A8017" t="s">
        <v>573</v>
      </c>
      <c r="B8017" t="s">
        <v>38</v>
      </c>
      <c r="C8017" t="s">
        <v>36</v>
      </c>
      <c r="D8017">
        <v>194</v>
      </c>
    </row>
    <row r="8018" spans="1:4" ht="15.75" customHeight="1">
      <c r="A8018" t="s">
        <v>3162</v>
      </c>
      <c r="B8018" t="s">
        <v>38</v>
      </c>
      <c r="C8018" t="s">
        <v>36</v>
      </c>
      <c r="D8018">
        <v>193</v>
      </c>
    </row>
    <row r="8019" spans="1:4" ht="15.75" customHeight="1">
      <c r="A8019" t="s">
        <v>1298</v>
      </c>
      <c r="B8019" t="s">
        <v>38</v>
      </c>
      <c r="C8019" t="s">
        <v>36</v>
      </c>
      <c r="D8019">
        <v>192</v>
      </c>
    </row>
    <row r="8020" spans="1:4" ht="15.75" customHeight="1">
      <c r="A8020" t="s">
        <v>579</v>
      </c>
      <c r="B8020" t="s">
        <v>38</v>
      </c>
      <c r="C8020" t="s">
        <v>36</v>
      </c>
      <c r="D8020">
        <v>191</v>
      </c>
    </row>
    <row r="8021" spans="1:4" ht="15.75" customHeight="1">
      <c r="A8021" t="s">
        <v>3236</v>
      </c>
      <c r="B8021" t="s">
        <v>38</v>
      </c>
      <c r="C8021" t="s">
        <v>36</v>
      </c>
      <c r="D8021">
        <v>191</v>
      </c>
    </row>
    <row r="8022" spans="1:4" ht="15.75" customHeight="1">
      <c r="A8022" t="s">
        <v>4394</v>
      </c>
      <c r="B8022" t="s">
        <v>38</v>
      </c>
      <c r="C8022" t="s">
        <v>36</v>
      </c>
      <c r="D8022">
        <v>188</v>
      </c>
    </row>
    <row r="8023" spans="1:4" ht="15.75" customHeight="1">
      <c r="A8023" t="s">
        <v>4760</v>
      </c>
      <c r="B8023" t="s">
        <v>38</v>
      </c>
      <c r="C8023" t="s">
        <v>36</v>
      </c>
      <c r="D8023">
        <v>188</v>
      </c>
    </row>
    <row r="8024" spans="1:4" ht="15.75" customHeight="1">
      <c r="A8024" t="s">
        <v>1363</v>
      </c>
      <c r="B8024" t="s">
        <v>38</v>
      </c>
      <c r="C8024" t="s">
        <v>36</v>
      </c>
      <c r="D8024">
        <v>188</v>
      </c>
    </row>
    <row r="8025" spans="1:4" ht="15.75" customHeight="1">
      <c r="A8025" t="s">
        <v>4835</v>
      </c>
      <c r="B8025" t="s">
        <v>38</v>
      </c>
      <c r="C8025" t="s">
        <v>36</v>
      </c>
      <c r="D8025">
        <v>188</v>
      </c>
    </row>
    <row r="8026" spans="1:4" ht="15.75" customHeight="1">
      <c r="A8026" t="s">
        <v>3298</v>
      </c>
      <c r="B8026" t="s">
        <v>38</v>
      </c>
      <c r="C8026" t="s">
        <v>36</v>
      </c>
      <c r="D8026">
        <v>187</v>
      </c>
    </row>
    <row r="8027" spans="1:4" ht="15.75" customHeight="1">
      <c r="A8027" t="s">
        <v>480</v>
      </c>
      <c r="B8027" t="s">
        <v>38</v>
      </c>
      <c r="C8027" t="s">
        <v>36</v>
      </c>
      <c r="D8027">
        <v>185</v>
      </c>
    </row>
    <row r="8028" spans="1:4" ht="15.75" customHeight="1">
      <c r="A8028" t="s">
        <v>2133</v>
      </c>
      <c r="B8028" t="s">
        <v>38</v>
      </c>
      <c r="C8028" t="s">
        <v>36</v>
      </c>
      <c r="D8028">
        <v>185</v>
      </c>
    </row>
    <row r="8029" spans="1:4" ht="15.75" customHeight="1">
      <c r="A8029" t="s">
        <v>4097</v>
      </c>
      <c r="B8029" t="s">
        <v>38</v>
      </c>
      <c r="C8029" t="s">
        <v>36</v>
      </c>
      <c r="D8029">
        <v>182</v>
      </c>
    </row>
    <row r="8030" spans="1:4" ht="15.75" customHeight="1">
      <c r="A8030" t="s">
        <v>2785</v>
      </c>
      <c r="B8030" t="s">
        <v>38</v>
      </c>
      <c r="C8030" t="s">
        <v>36</v>
      </c>
      <c r="D8030">
        <v>180</v>
      </c>
    </row>
    <row r="8031" spans="1:4" ht="15.75" customHeight="1">
      <c r="A8031" t="s">
        <v>4012</v>
      </c>
      <c r="B8031" t="s">
        <v>38</v>
      </c>
      <c r="C8031" t="s">
        <v>36</v>
      </c>
      <c r="D8031">
        <v>176</v>
      </c>
    </row>
    <row r="8032" spans="1:4" ht="15.75" customHeight="1">
      <c r="A8032" t="s">
        <v>3132</v>
      </c>
      <c r="B8032" t="s">
        <v>38</v>
      </c>
      <c r="C8032" t="s">
        <v>36</v>
      </c>
      <c r="D8032">
        <v>176</v>
      </c>
    </row>
    <row r="8033" spans="1:4" ht="15.75" customHeight="1">
      <c r="A8033" t="s">
        <v>1253</v>
      </c>
      <c r="B8033" t="s">
        <v>38</v>
      </c>
      <c r="C8033" t="s">
        <v>36</v>
      </c>
      <c r="D8033">
        <v>173</v>
      </c>
    </row>
    <row r="8034" spans="1:4" ht="15.75" customHeight="1">
      <c r="A8034" t="s">
        <v>4728</v>
      </c>
      <c r="B8034" t="s">
        <v>38</v>
      </c>
      <c r="C8034" t="s">
        <v>36</v>
      </c>
      <c r="D8034">
        <v>173</v>
      </c>
    </row>
    <row r="8035" spans="1:4" ht="15.75" customHeight="1">
      <c r="A8035" t="s">
        <v>3707</v>
      </c>
      <c r="B8035" t="s">
        <v>38</v>
      </c>
      <c r="C8035" t="s">
        <v>36</v>
      </c>
      <c r="D8035">
        <v>172</v>
      </c>
    </row>
    <row r="8036" spans="1:4" ht="15.75" customHeight="1">
      <c r="A8036" t="s">
        <v>4412</v>
      </c>
      <c r="B8036" t="s">
        <v>38</v>
      </c>
      <c r="C8036" t="s">
        <v>36</v>
      </c>
      <c r="D8036">
        <v>172</v>
      </c>
    </row>
    <row r="8037" spans="1:4" ht="15.75" customHeight="1">
      <c r="A8037" t="s">
        <v>2850</v>
      </c>
      <c r="B8037" t="s">
        <v>38</v>
      </c>
      <c r="C8037" t="s">
        <v>36</v>
      </c>
      <c r="D8037">
        <v>170</v>
      </c>
    </row>
    <row r="8038" spans="1:4" ht="15.75" customHeight="1">
      <c r="A8038" t="s">
        <v>3635</v>
      </c>
      <c r="B8038" t="s">
        <v>38</v>
      </c>
      <c r="C8038" t="s">
        <v>36</v>
      </c>
      <c r="D8038">
        <v>169</v>
      </c>
    </row>
    <row r="8039" spans="1:4" ht="15.75" customHeight="1">
      <c r="A8039" t="s">
        <v>3249</v>
      </c>
      <c r="B8039" t="s">
        <v>38</v>
      </c>
      <c r="C8039" t="s">
        <v>36</v>
      </c>
      <c r="D8039">
        <v>169</v>
      </c>
    </row>
    <row r="8040" spans="1:4" ht="15.75" customHeight="1">
      <c r="A8040" t="s">
        <v>1386</v>
      </c>
      <c r="B8040" t="s">
        <v>38</v>
      </c>
      <c r="C8040" t="s">
        <v>36</v>
      </c>
      <c r="D8040">
        <v>167</v>
      </c>
    </row>
    <row r="8041" spans="1:4" ht="15.75" customHeight="1">
      <c r="A8041" t="s">
        <v>3716</v>
      </c>
      <c r="B8041" t="s">
        <v>38</v>
      </c>
      <c r="C8041" t="s">
        <v>36</v>
      </c>
      <c r="D8041">
        <v>167</v>
      </c>
    </row>
    <row r="8042" spans="1:4" ht="15.75" customHeight="1">
      <c r="A8042" t="s">
        <v>2863</v>
      </c>
      <c r="B8042" t="s">
        <v>38</v>
      </c>
      <c r="C8042" t="s">
        <v>36</v>
      </c>
      <c r="D8042">
        <v>167</v>
      </c>
    </row>
    <row r="8043" spans="1:4" ht="15.75" customHeight="1">
      <c r="A8043" t="s">
        <v>1389</v>
      </c>
      <c r="B8043" t="s">
        <v>38</v>
      </c>
      <c r="C8043" t="s">
        <v>36</v>
      </c>
      <c r="D8043">
        <v>164</v>
      </c>
    </row>
    <row r="8044" spans="1:4" ht="15.75" customHeight="1">
      <c r="A8044" t="s">
        <v>2193</v>
      </c>
      <c r="B8044" t="s">
        <v>38</v>
      </c>
      <c r="C8044" t="s">
        <v>36</v>
      </c>
      <c r="D8044">
        <v>164</v>
      </c>
    </row>
    <row r="8045" spans="1:4" ht="15.75" customHeight="1">
      <c r="A8045" t="s">
        <v>1778</v>
      </c>
      <c r="B8045" t="s">
        <v>38</v>
      </c>
      <c r="C8045" t="s">
        <v>36</v>
      </c>
      <c r="D8045">
        <v>164</v>
      </c>
    </row>
    <row r="8046" spans="1:4" ht="15.75" customHeight="1">
      <c r="A8046" t="s">
        <v>4792</v>
      </c>
      <c r="B8046" t="s">
        <v>38</v>
      </c>
      <c r="C8046" t="s">
        <v>36</v>
      </c>
      <c r="D8046">
        <v>164</v>
      </c>
    </row>
    <row r="8047" spans="1:4" ht="15.75" customHeight="1">
      <c r="A8047" t="s">
        <v>2211</v>
      </c>
      <c r="B8047" t="s">
        <v>38</v>
      </c>
      <c r="C8047" t="s">
        <v>36</v>
      </c>
      <c r="D8047">
        <v>163</v>
      </c>
    </row>
    <row r="8048" spans="1:4" ht="15.75" customHeight="1">
      <c r="A8048" t="s">
        <v>1718</v>
      </c>
      <c r="B8048" t="s">
        <v>38</v>
      </c>
      <c r="C8048" t="s">
        <v>36</v>
      </c>
      <c r="D8048">
        <v>157</v>
      </c>
    </row>
    <row r="8049" spans="1:4" ht="15.75" customHeight="1">
      <c r="A8049" t="s">
        <v>2801</v>
      </c>
      <c r="B8049" t="s">
        <v>38</v>
      </c>
      <c r="C8049" t="s">
        <v>36</v>
      </c>
      <c r="D8049">
        <v>156</v>
      </c>
    </row>
    <row r="8050" spans="1:4" ht="15.75" customHeight="1">
      <c r="A8050" t="s">
        <v>4038</v>
      </c>
      <c r="B8050" t="s">
        <v>38</v>
      </c>
      <c r="C8050" t="s">
        <v>36</v>
      </c>
      <c r="D8050">
        <v>155</v>
      </c>
    </row>
    <row r="8051" spans="1:4" ht="15.75" customHeight="1">
      <c r="A8051" t="s">
        <v>439</v>
      </c>
      <c r="B8051" t="s">
        <v>38</v>
      </c>
      <c r="C8051" t="s">
        <v>36</v>
      </c>
      <c r="D8051">
        <v>155</v>
      </c>
    </row>
    <row r="8052" spans="1:4" ht="15.75" customHeight="1">
      <c r="A8052" t="s">
        <v>4742</v>
      </c>
      <c r="B8052" t="s">
        <v>38</v>
      </c>
      <c r="C8052" t="s">
        <v>36</v>
      </c>
      <c r="D8052">
        <v>153</v>
      </c>
    </row>
    <row r="8053" spans="1:4" ht="15.75" customHeight="1">
      <c r="A8053" t="s">
        <v>4028</v>
      </c>
      <c r="B8053" t="s">
        <v>38</v>
      </c>
      <c r="C8053" t="s">
        <v>36</v>
      </c>
      <c r="D8053">
        <v>152</v>
      </c>
    </row>
    <row r="8054" spans="1:4" ht="15.75" customHeight="1">
      <c r="A8054" t="s">
        <v>433</v>
      </c>
      <c r="B8054" t="s">
        <v>38</v>
      </c>
      <c r="C8054" t="s">
        <v>36</v>
      </c>
      <c r="D8054">
        <v>151</v>
      </c>
    </row>
    <row r="8055" spans="1:4" ht="15.75" customHeight="1">
      <c r="A8055" t="s">
        <v>4113</v>
      </c>
      <c r="B8055" t="s">
        <v>38</v>
      </c>
      <c r="C8055" t="s">
        <v>36</v>
      </c>
      <c r="D8055">
        <v>151</v>
      </c>
    </row>
    <row r="8056" spans="1:4" ht="15.75" customHeight="1">
      <c r="A8056" t="s">
        <v>4784</v>
      </c>
      <c r="B8056" t="s">
        <v>38</v>
      </c>
      <c r="C8056" t="s">
        <v>36</v>
      </c>
      <c r="D8056">
        <v>150</v>
      </c>
    </row>
    <row r="8057" spans="1:4" ht="15.75" customHeight="1">
      <c r="A8057" t="s">
        <v>4083</v>
      </c>
      <c r="B8057" t="s">
        <v>38</v>
      </c>
      <c r="C8057" t="s">
        <v>36</v>
      </c>
      <c r="D8057">
        <v>150</v>
      </c>
    </row>
    <row r="8058" spans="1:4" ht="15.75" customHeight="1">
      <c r="A8058" t="s">
        <v>3684</v>
      </c>
      <c r="B8058" t="s">
        <v>38</v>
      </c>
      <c r="C8058" t="s">
        <v>36</v>
      </c>
      <c r="D8058">
        <v>149</v>
      </c>
    </row>
    <row r="8059" spans="1:4" ht="15.75" customHeight="1">
      <c r="A8059" t="s">
        <v>4827</v>
      </c>
      <c r="B8059" t="s">
        <v>38</v>
      </c>
      <c r="C8059" t="s">
        <v>36</v>
      </c>
      <c r="D8059">
        <v>148</v>
      </c>
    </row>
    <row r="8060" spans="1:4" ht="15.75" customHeight="1">
      <c r="A8060" t="s">
        <v>509</v>
      </c>
      <c r="B8060" t="s">
        <v>38</v>
      </c>
      <c r="C8060" t="s">
        <v>36</v>
      </c>
      <c r="D8060">
        <v>148</v>
      </c>
    </row>
    <row r="8061" spans="1:4" ht="15.75" customHeight="1">
      <c r="A8061" t="s">
        <v>591</v>
      </c>
      <c r="B8061" t="s">
        <v>38</v>
      </c>
      <c r="C8061" t="s">
        <v>36</v>
      </c>
      <c r="D8061">
        <v>148</v>
      </c>
    </row>
    <row r="8062" spans="1:4" ht="15.75" customHeight="1">
      <c r="A8062" t="s">
        <v>1780</v>
      </c>
      <c r="B8062" t="s">
        <v>38</v>
      </c>
      <c r="C8062" t="s">
        <v>36</v>
      </c>
      <c r="D8062">
        <v>147</v>
      </c>
    </row>
    <row r="8063" spans="1:4" ht="15.75" customHeight="1">
      <c r="A8063" t="s">
        <v>1301</v>
      </c>
      <c r="B8063" t="s">
        <v>38</v>
      </c>
      <c r="C8063" t="s">
        <v>36</v>
      </c>
      <c r="D8063">
        <v>147</v>
      </c>
    </row>
    <row r="8064" spans="1:4" ht="15.75" customHeight="1">
      <c r="A8064" t="s">
        <v>3618</v>
      </c>
      <c r="B8064" t="s">
        <v>38</v>
      </c>
      <c r="C8064" t="s">
        <v>36</v>
      </c>
      <c r="D8064">
        <v>147</v>
      </c>
    </row>
    <row r="8065" spans="1:4" ht="15.75" customHeight="1">
      <c r="A8065" t="s">
        <v>1723</v>
      </c>
      <c r="B8065" t="s">
        <v>38</v>
      </c>
      <c r="C8065" t="s">
        <v>36</v>
      </c>
      <c r="D8065">
        <v>146</v>
      </c>
    </row>
    <row r="8066" spans="1:4" ht="15.75" customHeight="1">
      <c r="A8066" t="s">
        <v>2788</v>
      </c>
      <c r="B8066" t="s">
        <v>38</v>
      </c>
      <c r="C8066" t="s">
        <v>36</v>
      </c>
      <c r="D8066">
        <v>146</v>
      </c>
    </row>
    <row r="8067" spans="1:4" ht="15.75" customHeight="1">
      <c r="A8067" t="s">
        <v>2837</v>
      </c>
      <c r="B8067" t="s">
        <v>38</v>
      </c>
      <c r="C8067" t="s">
        <v>36</v>
      </c>
      <c r="D8067">
        <v>146</v>
      </c>
    </row>
    <row r="8068" spans="1:4" ht="15.75" customHeight="1">
      <c r="A8068" t="s">
        <v>3289</v>
      </c>
      <c r="B8068" t="s">
        <v>38</v>
      </c>
      <c r="C8068" t="s">
        <v>36</v>
      </c>
      <c r="D8068">
        <v>145</v>
      </c>
    </row>
    <row r="8069" spans="1:4" ht="15.75" customHeight="1">
      <c r="A8069" t="s">
        <v>4379</v>
      </c>
      <c r="B8069" t="s">
        <v>38</v>
      </c>
      <c r="C8069" t="s">
        <v>36</v>
      </c>
      <c r="D8069">
        <v>145</v>
      </c>
    </row>
    <row r="8070" spans="1:4" ht="15.75" customHeight="1">
      <c r="A8070" t="s">
        <v>530</v>
      </c>
      <c r="B8070" t="s">
        <v>38</v>
      </c>
      <c r="C8070" t="s">
        <v>36</v>
      </c>
      <c r="D8070">
        <v>143</v>
      </c>
    </row>
    <row r="8071" spans="1:4" ht="15.75" customHeight="1">
      <c r="A8071" t="s">
        <v>4141</v>
      </c>
      <c r="B8071" t="s">
        <v>38</v>
      </c>
      <c r="C8071" t="s">
        <v>36</v>
      </c>
      <c r="D8071">
        <v>143</v>
      </c>
    </row>
    <row r="8072" spans="1:4" ht="15.75" customHeight="1">
      <c r="A8072" t="s">
        <v>2805</v>
      </c>
      <c r="B8072" t="s">
        <v>38</v>
      </c>
      <c r="C8072" t="s">
        <v>36</v>
      </c>
      <c r="D8072">
        <v>142</v>
      </c>
    </row>
    <row r="8073" spans="1:4" ht="15.75" customHeight="1">
      <c r="A8073" t="s">
        <v>2697</v>
      </c>
      <c r="B8073" t="s">
        <v>38</v>
      </c>
      <c r="C8073" t="s">
        <v>36</v>
      </c>
      <c r="D8073">
        <v>142</v>
      </c>
    </row>
    <row r="8074" spans="1:4" ht="15.75" customHeight="1">
      <c r="A8074" t="s">
        <v>3720</v>
      </c>
      <c r="B8074" t="s">
        <v>38</v>
      </c>
      <c r="C8074" t="s">
        <v>36</v>
      </c>
      <c r="D8074">
        <v>142</v>
      </c>
    </row>
    <row r="8075" spans="1:4" ht="15.75" customHeight="1">
      <c r="A8075" t="s">
        <v>474</v>
      </c>
      <c r="B8075" t="s">
        <v>38</v>
      </c>
      <c r="C8075" t="s">
        <v>36</v>
      </c>
      <c r="D8075">
        <v>141</v>
      </c>
    </row>
    <row r="8076" spans="1:4" ht="15.75" customHeight="1">
      <c r="A8076" t="s">
        <v>462</v>
      </c>
      <c r="B8076" t="s">
        <v>38</v>
      </c>
      <c r="C8076" t="s">
        <v>36</v>
      </c>
      <c r="D8076">
        <v>140</v>
      </c>
    </row>
    <row r="8077" spans="1:4" ht="15.75" customHeight="1">
      <c r="A8077" t="s">
        <v>3664</v>
      </c>
      <c r="B8077" t="s">
        <v>38</v>
      </c>
      <c r="C8077" t="s">
        <v>36</v>
      </c>
      <c r="D8077">
        <v>137</v>
      </c>
    </row>
    <row r="8078" spans="1:4" ht="15.75" customHeight="1">
      <c r="A8078" t="s">
        <v>3603</v>
      </c>
      <c r="B8078" t="s">
        <v>38</v>
      </c>
      <c r="C8078" t="s">
        <v>36</v>
      </c>
      <c r="D8078">
        <v>136</v>
      </c>
    </row>
    <row r="8079" spans="1:4" ht="15.75" customHeight="1">
      <c r="A8079" t="s">
        <v>4794</v>
      </c>
      <c r="B8079" t="s">
        <v>38</v>
      </c>
      <c r="C8079" t="s">
        <v>36</v>
      </c>
      <c r="D8079">
        <v>135</v>
      </c>
    </row>
    <row r="8080" spans="1:4" ht="15.75" customHeight="1">
      <c r="A8080" t="s">
        <v>1411</v>
      </c>
      <c r="B8080" t="s">
        <v>38</v>
      </c>
      <c r="C8080" t="s">
        <v>36</v>
      </c>
      <c r="D8080">
        <v>135</v>
      </c>
    </row>
    <row r="8081" spans="1:4" ht="15.75" customHeight="1">
      <c r="A8081" t="s">
        <v>2781</v>
      </c>
      <c r="B8081" t="s">
        <v>38</v>
      </c>
      <c r="C8081" t="s">
        <v>36</v>
      </c>
      <c r="D8081">
        <v>135</v>
      </c>
    </row>
    <row r="8082" spans="1:4" ht="15.75" customHeight="1">
      <c r="A8082" t="s">
        <v>1391</v>
      </c>
      <c r="B8082" t="s">
        <v>38</v>
      </c>
      <c r="C8082" t="s">
        <v>36</v>
      </c>
      <c r="D8082">
        <v>135</v>
      </c>
    </row>
    <row r="8083" spans="1:4" ht="15.75" customHeight="1">
      <c r="A8083" t="s">
        <v>3244</v>
      </c>
      <c r="B8083" t="s">
        <v>38</v>
      </c>
      <c r="C8083" t="s">
        <v>36</v>
      </c>
      <c r="D8083">
        <v>133</v>
      </c>
    </row>
    <row r="8084" spans="1:4" ht="15.75" customHeight="1">
      <c r="A8084" t="s">
        <v>1693</v>
      </c>
      <c r="B8084" t="s">
        <v>38</v>
      </c>
      <c r="C8084" t="s">
        <v>36</v>
      </c>
      <c r="D8084">
        <v>132</v>
      </c>
    </row>
    <row r="8085" spans="1:4" ht="15.75" customHeight="1">
      <c r="A8085" t="s">
        <v>2725</v>
      </c>
      <c r="B8085" t="s">
        <v>38</v>
      </c>
      <c r="C8085" t="s">
        <v>36</v>
      </c>
      <c r="D8085">
        <v>132</v>
      </c>
    </row>
    <row r="8086" spans="1:4" ht="15.75" customHeight="1">
      <c r="A8086" t="s">
        <v>3240</v>
      </c>
      <c r="B8086" t="s">
        <v>38</v>
      </c>
      <c r="C8086" t="s">
        <v>36</v>
      </c>
      <c r="D8086">
        <v>131</v>
      </c>
    </row>
    <row r="8087" spans="1:4" ht="15.75" customHeight="1">
      <c r="A8087" t="s">
        <v>585</v>
      </c>
      <c r="B8087" t="s">
        <v>38</v>
      </c>
      <c r="C8087" t="s">
        <v>36</v>
      </c>
      <c r="D8087">
        <v>129</v>
      </c>
    </row>
    <row r="8088" spans="1:4" ht="15.75" customHeight="1">
      <c r="A8088" t="s">
        <v>3726</v>
      </c>
      <c r="B8088" t="s">
        <v>38</v>
      </c>
      <c r="C8088" t="s">
        <v>36</v>
      </c>
      <c r="D8088">
        <v>126</v>
      </c>
    </row>
    <row r="8089" spans="1:4" ht="15.75" customHeight="1">
      <c r="A8089" t="s">
        <v>3275</v>
      </c>
      <c r="B8089" t="s">
        <v>38</v>
      </c>
      <c r="C8089" t="s">
        <v>36</v>
      </c>
      <c r="D8089">
        <v>125</v>
      </c>
    </row>
    <row r="8090" spans="1:4" ht="15.75" customHeight="1">
      <c r="A8090" t="s">
        <v>2776</v>
      </c>
      <c r="B8090" t="s">
        <v>38</v>
      </c>
      <c r="C8090" t="s">
        <v>36</v>
      </c>
      <c r="D8090">
        <v>125</v>
      </c>
    </row>
    <row r="8091" spans="1:4" ht="15.75" customHeight="1">
      <c r="A8091" t="s">
        <v>4756</v>
      </c>
      <c r="B8091" t="s">
        <v>38</v>
      </c>
      <c r="C8091" t="s">
        <v>36</v>
      </c>
      <c r="D8091">
        <v>125</v>
      </c>
    </row>
    <row r="8092" spans="1:4" ht="15.75" customHeight="1">
      <c r="A8092" t="s">
        <v>3699</v>
      </c>
      <c r="B8092" t="s">
        <v>38</v>
      </c>
      <c r="C8092" t="s">
        <v>36</v>
      </c>
      <c r="D8092">
        <v>124</v>
      </c>
    </row>
    <row r="8093" spans="1:4" ht="15.75" customHeight="1">
      <c r="A8093" t="s">
        <v>2767</v>
      </c>
      <c r="B8093" t="s">
        <v>38</v>
      </c>
      <c r="C8093" t="s">
        <v>36</v>
      </c>
      <c r="D8093">
        <v>124</v>
      </c>
    </row>
    <row r="8094" spans="1:4" ht="15.75" customHeight="1">
      <c r="A8094" t="s">
        <v>4763</v>
      </c>
      <c r="B8094" t="s">
        <v>38</v>
      </c>
      <c r="C8094" t="s">
        <v>36</v>
      </c>
      <c r="D8094">
        <v>123</v>
      </c>
    </row>
    <row r="8095" spans="1:4" ht="15.75" customHeight="1">
      <c r="A8095" t="s">
        <v>4426</v>
      </c>
      <c r="B8095" t="s">
        <v>38</v>
      </c>
      <c r="C8095" t="s">
        <v>36</v>
      </c>
      <c r="D8095">
        <v>122</v>
      </c>
    </row>
    <row r="8096" spans="1:4" ht="15.75" customHeight="1">
      <c r="A8096" t="s">
        <v>4138</v>
      </c>
      <c r="B8096" t="s">
        <v>38</v>
      </c>
      <c r="C8096" t="s">
        <v>36</v>
      </c>
      <c r="D8096">
        <v>122</v>
      </c>
    </row>
    <row r="8097" spans="1:4" ht="15.75" customHeight="1">
      <c r="A8097" t="s">
        <v>2740</v>
      </c>
      <c r="B8097" t="s">
        <v>38</v>
      </c>
      <c r="C8097" t="s">
        <v>36</v>
      </c>
      <c r="D8097">
        <v>120</v>
      </c>
    </row>
    <row r="8098" spans="1:4" ht="15.75" customHeight="1">
      <c r="A8098" t="s">
        <v>2795</v>
      </c>
      <c r="B8098" t="s">
        <v>38</v>
      </c>
      <c r="C8098" t="s">
        <v>36</v>
      </c>
      <c r="D8098">
        <v>119</v>
      </c>
    </row>
    <row r="8099" spans="1:4" ht="15.75" customHeight="1">
      <c r="A8099" t="s">
        <v>541</v>
      </c>
      <c r="B8099" t="s">
        <v>38</v>
      </c>
      <c r="C8099" t="s">
        <v>36</v>
      </c>
      <c r="D8099">
        <v>119</v>
      </c>
    </row>
    <row r="8100" spans="1:4" ht="15.75" customHeight="1">
      <c r="A8100" t="s">
        <v>2666</v>
      </c>
      <c r="B8100" t="s">
        <v>38</v>
      </c>
      <c r="C8100" t="s">
        <v>36</v>
      </c>
      <c r="D8100">
        <v>118</v>
      </c>
    </row>
    <row r="8101" spans="1:4" ht="15.75" customHeight="1">
      <c r="A8101" t="s">
        <v>3211</v>
      </c>
      <c r="B8101" t="s">
        <v>38</v>
      </c>
      <c r="C8101" t="s">
        <v>36</v>
      </c>
      <c r="D8101">
        <v>118</v>
      </c>
    </row>
    <row r="8102" spans="1:4" ht="15.75" customHeight="1">
      <c r="A8102" t="s">
        <v>1714</v>
      </c>
      <c r="B8102" t="s">
        <v>38</v>
      </c>
      <c r="C8102" t="s">
        <v>36</v>
      </c>
      <c r="D8102">
        <v>116</v>
      </c>
    </row>
    <row r="8103" spans="1:4" ht="15.75" customHeight="1">
      <c r="A8103" t="s">
        <v>2745</v>
      </c>
      <c r="B8103" t="s">
        <v>38</v>
      </c>
      <c r="C8103" t="s">
        <v>36</v>
      </c>
      <c r="D8103">
        <v>116</v>
      </c>
    </row>
    <row r="8104" spans="1:4" ht="15.75" customHeight="1">
      <c r="A8104" t="s">
        <v>3224</v>
      </c>
      <c r="B8104" t="s">
        <v>38</v>
      </c>
      <c r="C8104" t="s">
        <v>36</v>
      </c>
      <c r="D8104">
        <v>116</v>
      </c>
    </row>
    <row r="8105" spans="1:4" ht="15.75" customHeight="1">
      <c r="A8105" t="s">
        <v>1746</v>
      </c>
      <c r="B8105" t="s">
        <v>38</v>
      </c>
      <c r="C8105" t="s">
        <v>36</v>
      </c>
      <c r="D8105">
        <v>115</v>
      </c>
    </row>
    <row r="8106" spans="1:4" ht="15.75" customHeight="1">
      <c r="A8106" t="s">
        <v>4815</v>
      </c>
      <c r="B8106" t="s">
        <v>38</v>
      </c>
      <c r="C8106" t="s">
        <v>36</v>
      </c>
      <c r="D8106">
        <v>114</v>
      </c>
    </row>
    <row r="8107" spans="1:4" ht="15.75" customHeight="1">
      <c r="A8107" t="s">
        <v>3207</v>
      </c>
      <c r="B8107" t="s">
        <v>38</v>
      </c>
      <c r="C8107" t="s">
        <v>36</v>
      </c>
      <c r="D8107">
        <v>113</v>
      </c>
    </row>
    <row r="8108" spans="1:4" ht="15.75" customHeight="1">
      <c r="A8108" t="s">
        <v>1256</v>
      </c>
      <c r="B8108" t="s">
        <v>38</v>
      </c>
      <c r="C8108" t="s">
        <v>36</v>
      </c>
      <c r="D8108">
        <v>113</v>
      </c>
    </row>
    <row r="8109" spans="1:4" ht="15.75" customHeight="1">
      <c r="A8109" t="s">
        <v>1229</v>
      </c>
      <c r="B8109" t="s">
        <v>38</v>
      </c>
      <c r="C8109" t="s">
        <v>36</v>
      </c>
      <c r="D8109">
        <v>113</v>
      </c>
    </row>
    <row r="8110" spans="1:4" ht="15.75" customHeight="1">
      <c r="A8110" t="s">
        <v>2208</v>
      </c>
      <c r="B8110" t="s">
        <v>38</v>
      </c>
      <c r="C8110" t="s">
        <v>36</v>
      </c>
      <c r="D8110">
        <v>112</v>
      </c>
    </row>
    <row r="8111" spans="1:4" ht="15.75" customHeight="1">
      <c r="A8111" t="s">
        <v>1393</v>
      </c>
      <c r="B8111" t="s">
        <v>38</v>
      </c>
      <c r="C8111" t="s">
        <v>36</v>
      </c>
      <c r="D8111">
        <v>112</v>
      </c>
    </row>
    <row r="8112" spans="1:4" ht="15.75" customHeight="1">
      <c r="A8112" t="s">
        <v>2753</v>
      </c>
      <c r="B8112" t="s">
        <v>38</v>
      </c>
      <c r="C8112" t="s">
        <v>36</v>
      </c>
      <c r="D8112">
        <v>109</v>
      </c>
    </row>
    <row r="8113" spans="1:4" ht="15.75" customHeight="1">
      <c r="A8113" t="s">
        <v>4059</v>
      </c>
      <c r="B8113" t="s">
        <v>38</v>
      </c>
      <c r="C8113" t="s">
        <v>36</v>
      </c>
      <c r="D8113">
        <v>109</v>
      </c>
    </row>
    <row r="8114" spans="1:4" ht="15.75" customHeight="1">
      <c r="A8114" t="s">
        <v>2264</v>
      </c>
      <c r="B8114" t="s">
        <v>38</v>
      </c>
      <c r="C8114" t="s">
        <v>36</v>
      </c>
      <c r="D8114">
        <v>107</v>
      </c>
    </row>
    <row r="8115" spans="1:4" ht="15.75" customHeight="1">
      <c r="A8115" t="s">
        <v>2748</v>
      </c>
      <c r="B8115" t="s">
        <v>38</v>
      </c>
      <c r="C8115" t="s">
        <v>36</v>
      </c>
      <c r="D8115">
        <v>106</v>
      </c>
    </row>
    <row r="8116" spans="1:4" ht="15.75" customHeight="1">
      <c r="A8116" t="s">
        <v>2229</v>
      </c>
      <c r="B8116" t="s">
        <v>38</v>
      </c>
      <c r="C8116" t="s">
        <v>36</v>
      </c>
      <c r="D8116">
        <v>106</v>
      </c>
    </row>
    <row r="8117" spans="1:4" ht="15.75" customHeight="1">
      <c r="A8117" t="s">
        <v>675</v>
      </c>
      <c r="B8117" t="s">
        <v>38</v>
      </c>
      <c r="C8117" t="s">
        <v>36</v>
      </c>
      <c r="D8117">
        <v>106</v>
      </c>
    </row>
    <row r="8118" spans="1:4" ht="15.75" customHeight="1">
      <c r="A8118" t="s">
        <v>1772</v>
      </c>
      <c r="B8118" t="s">
        <v>38</v>
      </c>
      <c r="C8118" t="s">
        <v>36</v>
      </c>
      <c r="D8118">
        <v>105</v>
      </c>
    </row>
    <row r="8119" spans="1:4" ht="15.75" customHeight="1">
      <c r="A8119" t="s">
        <v>4376</v>
      </c>
      <c r="B8119" t="s">
        <v>38</v>
      </c>
      <c r="C8119" t="s">
        <v>36</v>
      </c>
      <c r="D8119">
        <v>105</v>
      </c>
    </row>
    <row r="8120" spans="1:4" ht="15.75" customHeight="1">
      <c r="A8120" t="s">
        <v>607</v>
      </c>
      <c r="B8120" t="s">
        <v>38</v>
      </c>
      <c r="C8120" t="s">
        <v>36</v>
      </c>
      <c r="D8120">
        <v>104</v>
      </c>
    </row>
    <row r="8121" spans="1:4" ht="15.75" customHeight="1">
      <c r="A8121" t="s">
        <v>2650</v>
      </c>
      <c r="B8121" t="s">
        <v>38</v>
      </c>
      <c r="C8121" t="s">
        <v>36</v>
      </c>
      <c r="D8121">
        <v>102</v>
      </c>
    </row>
    <row r="8122" spans="1:4" ht="15.75" customHeight="1">
      <c r="A8122" t="s">
        <v>4817</v>
      </c>
      <c r="B8122" t="s">
        <v>38</v>
      </c>
      <c r="C8122" t="s">
        <v>36</v>
      </c>
      <c r="D8122">
        <v>101</v>
      </c>
    </row>
    <row r="8123" spans="1:4" ht="15.75" customHeight="1">
      <c r="A8123" t="s">
        <v>2206</v>
      </c>
      <c r="B8123" t="s">
        <v>38</v>
      </c>
      <c r="C8123" t="s">
        <v>36</v>
      </c>
      <c r="D8123">
        <v>101</v>
      </c>
    </row>
    <row r="8124" spans="1:4" ht="15.75" customHeight="1">
      <c r="A8124" t="s">
        <v>1343</v>
      </c>
      <c r="B8124" t="s">
        <v>38</v>
      </c>
      <c r="C8124" t="s">
        <v>36</v>
      </c>
      <c r="D8124">
        <v>101</v>
      </c>
    </row>
    <row r="8125" spans="1:4" ht="15.75" customHeight="1">
      <c r="A8125" t="s">
        <v>1395</v>
      </c>
      <c r="B8125" t="s">
        <v>38</v>
      </c>
      <c r="C8125" t="s">
        <v>36</v>
      </c>
      <c r="D8125">
        <v>101</v>
      </c>
    </row>
    <row r="8126" spans="1:4" ht="15.75" customHeight="1">
      <c r="A8126" t="s">
        <v>4410</v>
      </c>
      <c r="B8126" t="s">
        <v>38</v>
      </c>
      <c r="C8126" t="s">
        <v>36</v>
      </c>
      <c r="D8126">
        <v>100</v>
      </c>
    </row>
    <row r="8127" spans="1:4" ht="15.75" customHeight="1">
      <c r="A8127" t="s">
        <v>4418</v>
      </c>
      <c r="B8127" t="s">
        <v>38</v>
      </c>
      <c r="C8127" t="s">
        <v>36</v>
      </c>
      <c r="D8127">
        <v>100</v>
      </c>
    </row>
    <row r="8128" spans="1:4" ht="15.75" customHeight="1">
      <c r="A8128" t="s">
        <v>1272</v>
      </c>
      <c r="B8128" t="s">
        <v>38</v>
      </c>
      <c r="C8128" t="s">
        <v>36</v>
      </c>
      <c r="D8128">
        <v>96</v>
      </c>
    </row>
    <row r="8129" spans="1:4" ht="15.75" customHeight="1">
      <c r="A8129" t="s">
        <v>4744</v>
      </c>
      <c r="B8129" t="s">
        <v>38</v>
      </c>
      <c r="C8129" t="s">
        <v>36</v>
      </c>
      <c r="D8129">
        <v>96</v>
      </c>
    </row>
    <row r="8130" spans="1:4" ht="15.75" customHeight="1">
      <c r="A8130" t="s">
        <v>4354</v>
      </c>
      <c r="B8130" t="s">
        <v>38</v>
      </c>
      <c r="C8130" t="s">
        <v>36</v>
      </c>
      <c r="D8130">
        <v>95</v>
      </c>
    </row>
    <row r="8131" spans="1:4" ht="15.75" customHeight="1">
      <c r="A8131" t="s">
        <v>4105</v>
      </c>
      <c r="B8131" t="s">
        <v>38</v>
      </c>
      <c r="C8131" t="s">
        <v>36</v>
      </c>
      <c r="D8131">
        <v>95</v>
      </c>
    </row>
    <row r="8132" spans="1:4" ht="15.75" customHeight="1">
      <c r="A8132" t="s">
        <v>4046</v>
      </c>
      <c r="B8132" t="s">
        <v>38</v>
      </c>
      <c r="C8132" t="s">
        <v>36</v>
      </c>
      <c r="D8132">
        <v>95</v>
      </c>
    </row>
    <row r="8133" spans="1:4" ht="15.75" customHeight="1">
      <c r="A8133" t="s">
        <v>2099</v>
      </c>
      <c r="B8133" t="s">
        <v>38</v>
      </c>
      <c r="C8133" t="s">
        <v>36</v>
      </c>
      <c r="D8133">
        <v>94</v>
      </c>
    </row>
    <row r="8134" spans="1:4" ht="15.75" customHeight="1">
      <c r="A8134" t="s">
        <v>3681</v>
      </c>
      <c r="B8134" t="s">
        <v>38</v>
      </c>
      <c r="C8134" t="s">
        <v>36</v>
      </c>
      <c r="D8134">
        <v>94</v>
      </c>
    </row>
    <row r="8135" spans="1:4" ht="15.75" customHeight="1">
      <c r="A8135" t="s">
        <v>3229</v>
      </c>
      <c r="B8135" t="s">
        <v>38</v>
      </c>
      <c r="C8135" t="s">
        <v>36</v>
      </c>
      <c r="D8135">
        <v>93</v>
      </c>
    </row>
    <row r="8136" spans="1:4" ht="15.75" customHeight="1">
      <c r="A8136" t="s">
        <v>1402</v>
      </c>
      <c r="B8136" t="s">
        <v>38</v>
      </c>
      <c r="C8136" t="s">
        <v>36</v>
      </c>
      <c r="D8136">
        <v>93</v>
      </c>
    </row>
    <row r="8137" spans="1:4" ht="15.75" customHeight="1">
      <c r="A8137" t="s">
        <v>1797</v>
      </c>
      <c r="B8137" t="s">
        <v>38</v>
      </c>
      <c r="C8137" t="s">
        <v>36</v>
      </c>
      <c r="D8137">
        <v>93</v>
      </c>
    </row>
    <row r="8138" spans="1:4" ht="15.75" customHeight="1">
      <c r="A8138" t="s">
        <v>1323</v>
      </c>
      <c r="B8138" t="s">
        <v>38</v>
      </c>
      <c r="C8138" t="s">
        <v>36</v>
      </c>
      <c r="D8138">
        <v>93</v>
      </c>
    </row>
    <row r="8139" spans="1:4" ht="15.75" customHeight="1">
      <c r="A8139" t="s">
        <v>527</v>
      </c>
      <c r="B8139" t="s">
        <v>38</v>
      </c>
      <c r="C8139" t="s">
        <v>36</v>
      </c>
      <c r="D8139">
        <v>93</v>
      </c>
    </row>
    <row r="8140" spans="1:4" ht="15.75" customHeight="1">
      <c r="A8140" t="s">
        <v>1700</v>
      </c>
      <c r="B8140" t="s">
        <v>38</v>
      </c>
      <c r="C8140" t="s">
        <v>36</v>
      </c>
      <c r="D8140">
        <v>91</v>
      </c>
    </row>
    <row r="8141" spans="1:4" ht="15.75" customHeight="1">
      <c r="A8141" t="s">
        <v>2235</v>
      </c>
      <c r="B8141" t="s">
        <v>38</v>
      </c>
      <c r="C8141" t="s">
        <v>36</v>
      </c>
      <c r="D8141">
        <v>90</v>
      </c>
    </row>
    <row r="8142" spans="1:4" ht="15.75" customHeight="1">
      <c r="A8142" t="s">
        <v>477</v>
      </c>
      <c r="B8142" t="s">
        <v>38</v>
      </c>
      <c r="C8142" t="s">
        <v>36</v>
      </c>
      <c r="D8142">
        <v>89</v>
      </c>
    </row>
    <row r="8143" spans="1:4" ht="15.75" customHeight="1">
      <c r="A8143" t="s">
        <v>2778</v>
      </c>
      <c r="B8143" t="s">
        <v>38</v>
      </c>
      <c r="C8143" t="s">
        <v>36</v>
      </c>
      <c r="D8143">
        <v>89</v>
      </c>
    </row>
    <row r="8144" spans="1:4" ht="15.75" customHeight="1">
      <c r="A8144" t="s">
        <v>2258</v>
      </c>
      <c r="B8144" t="s">
        <v>38</v>
      </c>
      <c r="C8144" t="s">
        <v>36</v>
      </c>
      <c r="D8144">
        <v>88</v>
      </c>
    </row>
    <row r="8145" spans="1:4" ht="15.75" customHeight="1">
      <c r="A8145" t="s">
        <v>536</v>
      </c>
      <c r="B8145" t="s">
        <v>38</v>
      </c>
      <c r="C8145" t="s">
        <v>36</v>
      </c>
      <c r="D8145">
        <v>87</v>
      </c>
    </row>
    <row r="8146" spans="1:4" ht="15.75" customHeight="1">
      <c r="A8146" t="s">
        <v>4020</v>
      </c>
      <c r="B8146" t="s">
        <v>38</v>
      </c>
      <c r="C8146" t="s">
        <v>36</v>
      </c>
      <c r="D8146">
        <v>86</v>
      </c>
    </row>
    <row r="8147" spans="1:4" ht="15.75" customHeight="1">
      <c r="A8147" t="s">
        <v>2125</v>
      </c>
      <c r="B8147" t="s">
        <v>38</v>
      </c>
      <c r="C8147" t="s">
        <v>36</v>
      </c>
      <c r="D8147">
        <v>86</v>
      </c>
    </row>
    <row r="8148" spans="1:4" ht="15.75" customHeight="1">
      <c r="A8148" t="s">
        <v>4124</v>
      </c>
      <c r="B8148" t="s">
        <v>38</v>
      </c>
      <c r="C8148" t="s">
        <v>36</v>
      </c>
      <c r="D8148">
        <v>86</v>
      </c>
    </row>
    <row r="8149" spans="1:4" ht="15.75" customHeight="1">
      <c r="A8149" t="s">
        <v>1754</v>
      </c>
      <c r="B8149" t="s">
        <v>38</v>
      </c>
      <c r="C8149" t="s">
        <v>36</v>
      </c>
      <c r="D8149">
        <v>85</v>
      </c>
    </row>
    <row r="8150" spans="1:4" ht="15.75" customHeight="1">
      <c r="A8150" t="s">
        <v>2204</v>
      </c>
      <c r="B8150" t="s">
        <v>38</v>
      </c>
      <c r="C8150" t="s">
        <v>36</v>
      </c>
      <c r="D8150">
        <v>85</v>
      </c>
    </row>
    <row r="8151" spans="1:4" ht="15.75" customHeight="1">
      <c r="A8151" t="s">
        <v>2703</v>
      </c>
      <c r="B8151" t="s">
        <v>38</v>
      </c>
      <c r="C8151" t="s">
        <v>36</v>
      </c>
      <c r="D8151">
        <v>84</v>
      </c>
    </row>
    <row r="8152" spans="1:4" ht="15.75" customHeight="1">
      <c r="A8152" t="s">
        <v>2759</v>
      </c>
      <c r="B8152" t="s">
        <v>38</v>
      </c>
      <c r="C8152" t="s">
        <v>36</v>
      </c>
      <c r="D8152">
        <v>82</v>
      </c>
    </row>
    <row r="8153" spans="1:4" ht="15.75" customHeight="1">
      <c r="A8153" t="s">
        <v>1785</v>
      </c>
      <c r="B8153" t="s">
        <v>38</v>
      </c>
      <c r="C8153" t="s">
        <v>36</v>
      </c>
      <c r="D8153">
        <v>82</v>
      </c>
    </row>
    <row r="8154" spans="1:4" ht="15.75" customHeight="1">
      <c r="A8154" t="s">
        <v>513</v>
      </c>
      <c r="B8154" t="s">
        <v>38</v>
      </c>
      <c r="C8154" t="s">
        <v>36</v>
      </c>
      <c r="D8154">
        <v>80</v>
      </c>
    </row>
    <row r="8155" spans="1:4" ht="15.75" customHeight="1">
      <c r="A8155" t="s">
        <v>2721</v>
      </c>
      <c r="B8155" t="s">
        <v>38</v>
      </c>
      <c r="C8155" t="s">
        <v>36</v>
      </c>
      <c r="D8155">
        <v>79</v>
      </c>
    </row>
    <row r="8156" spans="1:4" ht="15.75" customHeight="1">
      <c r="A8156" t="s">
        <v>4420</v>
      </c>
      <c r="B8156" t="s">
        <v>38</v>
      </c>
      <c r="C8156" t="s">
        <v>36</v>
      </c>
      <c r="D8156">
        <v>78</v>
      </c>
    </row>
    <row r="8157" spans="1:4" ht="15.75" customHeight="1">
      <c r="A8157" t="s">
        <v>3293</v>
      </c>
      <c r="B8157" t="s">
        <v>38</v>
      </c>
      <c r="C8157" t="s">
        <v>36</v>
      </c>
      <c r="D8157">
        <v>78</v>
      </c>
    </row>
    <row r="8158" spans="1:4" ht="15.75" customHeight="1">
      <c r="A8158" t="s">
        <v>4779</v>
      </c>
      <c r="B8158" t="s">
        <v>38</v>
      </c>
      <c r="C8158" t="s">
        <v>36</v>
      </c>
      <c r="D8158">
        <v>78</v>
      </c>
    </row>
    <row r="8159" spans="1:4" ht="15.75" customHeight="1">
      <c r="A8159" t="s">
        <v>1439</v>
      </c>
      <c r="B8159" t="s">
        <v>38</v>
      </c>
      <c r="C8159" t="s">
        <v>36</v>
      </c>
      <c r="D8159">
        <v>77</v>
      </c>
    </row>
    <row r="8160" spans="1:4" ht="15.75" customHeight="1">
      <c r="A8160" t="s">
        <v>2671</v>
      </c>
      <c r="B8160" t="s">
        <v>38</v>
      </c>
      <c r="C8160" t="s">
        <v>36</v>
      </c>
      <c r="D8160">
        <v>77</v>
      </c>
    </row>
    <row r="8161" spans="1:4" ht="15.75" customHeight="1">
      <c r="A8161" t="s">
        <v>2793</v>
      </c>
      <c r="B8161" t="s">
        <v>38</v>
      </c>
      <c r="C8161" t="s">
        <v>36</v>
      </c>
      <c r="D8161">
        <v>75</v>
      </c>
    </row>
    <row r="8162" spans="1:4" ht="15.75" customHeight="1">
      <c r="A8162" t="s">
        <v>485</v>
      </c>
      <c r="B8162" t="s">
        <v>38</v>
      </c>
      <c r="C8162" t="s">
        <v>36</v>
      </c>
      <c r="D8162">
        <v>75</v>
      </c>
    </row>
    <row r="8163" spans="1:4" ht="15.75" customHeight="1">
      <c r="A8163" t="s">
        <v>533</v>
      </c>
      <c r="B8163" t="s">
        <v>38</v>
      </c>
      <c r="C8163" t="s">
        <v>36</v>
      </c>
      <c r="D8163">
        <v>75</v>
      </c>
    </row>
    <row r="8164" spans="1:4" ht="15.75" customHeight="1">
      <c r="A8164" t="s">
        <v>3238</v>
      </c>
      <c r="B8164" t="s">
        <v>38</v>
      </c>
      <c r="C8164" t="s">
        <v>36</v>
      </c>
      <c r="D8164">
        <v>74</v>
      </c>
    </row>
    <row r="8165" spans="1:4" ht="15.75" customHeight="1">
      <c r="A8165" t="s">
        <v>2769</v>
      </c>
      <c r="B8165" t="s">
        <v>38</v>
      </c>
      <c r="C8165" t="s">
        <v>36</v>
      </c>
      <c r="D8165">
        <v>74</v>
      </c>
    </row>
    <row r="8166" spans="1:4" ht="15.75" customHeight="1">
      <c r="A8166" t="s">
        <v>597</v>
      </c>
      <c r="B8166" t="s">
        <v>38</v>
      </c>
      <c r="C8166" t="s">
        <v>36</v>
      </c>
      <c r="D8166">
        <v>73</v>
      </c>
    </row>
    <row r="8167" spans="1:4" ht="15.75" customHeight="1">
      <c r="A8167" t="s">
        <v>2181</v>
      </c>
      <c r="B8167" t="s">
        <v>38</v>
      </c>
      <c r="C8167" t="s">
        <v>36</v>
      </c>
      <c r="D8167">
        <v>72</v>
      </c>
    </row>
    <row r="8168" spans="1:4" ht="15.75" customHeight="1">
      <c r="A8168" t="s">
        <v>2827</v>
      </c>
      <c r="B8168" t="s">
        <v>38</v>
      </c>
      <c r="C8168" t="s">
        <v>36</v>
      </c>
      <c r="D8168">
        <v>72</v>
      </c>
    </row>
    <row r="8169" spans="1:4" ht="15.75" customHeight="1">
      <c r="A8169" t="s">
        <v>2654</v>
      </c>
      <c r="B8169" t="s">
        <v>38</v>
      </c>
      <c r="C8169" t="s">
        <v>36</v>
      </c>
      <c r="D8169">
        <v>72</v>
      </c>
    </row>
    <row r="8170" spans="1:4" ht="15.75" customHeight="1">
      <c r="A8170" t="s">
        <v>599</v>
      </c>
      <c r="B8170" t="s">
        <v>38</v>
      </c>
      <c r="C8170" t="s">
        <v>36</v>
      </c>
      <c r="D8170">
        <v>71</v>
      </c>
    </row>
    <row r="8171" spans="1:4" ht="15.75" customHeight="1">
      <c r="A8171" t="s">
        <v>4134</v>
      </c>
      <c r="B8171" t="s">
        <v>38</v>
      </c>
      <c r="C8171" t="s">
        <v>36</v>
      </c>
      <c r="D8171">
        <v>71</v>
      </c>
    </row>
    <row r="8172" spans="1:4" ht="15.75" customHeight="1">
      <c r="A8172" t="s">
        <v>3692</v>
      </c>
      <c r="B8172" t="s">
        <v>38</v>
      </c>
      <c r="C8172" t="s">
        <v>36</v>
      </c>
      <c r="D8172">
        <v>70</v>
      </c>
    </row>
    <row r="8173" spans="1:4" ht="15.75" customHeight="1">
      <c r="A8173" t="s">
        <v>3710</v>
      </c>
      <c r="B8173" t="s">
        <v>38</v>
      </c>
      <c r="C8173" t="s">
        <v>36</v>
      </c>
      <c r="D8173">
        <v>69</v>
      </c>
    </row>
    <row r="8174" spans="1:4" ht="15.75" customHeight="1">
      <c r="A8174" t="s">
        <v>4016</v>
      </c>
      <c r="B8174" t="s">
        <v>38</v>
      </c>
      <c r="C8174" t="s">
        <v>36</v>
      </c>
      <c r="D8174">
        <v>69</v>
      </c>
    </row>
    <row r="8175" spans="1:4" ht="15.75" customHeight="1">
      <c r="A8175" t="s">
        <v>4108</v>
      </c>
      <c r="B8175" t="s">
        <v>38</v>
      </c>
      <c r="C8175" t="s">
        <v>36</v>
      </c>
      <c r="D8175">
        <v>67</v>
      </c>
    </row>
    <row r="8176" spans="1:4" ht="15.75" customHeight="1">
      <c r="A8176" t="s">
        <v>488</v>
      </c>
      <c r="B8176" t="s">
        <v>38</v>
      </c>
      <c r="C8176" t="s">
        <v>36</v>
      </c>
      <c r="D8176">
        <v>67</v>
      </c>
    </row>
    <row r="8177" spans="1:4" ht="15.75" customHeight="1">
      <c r="A8177" t="s">
        <v>4837</v>
      </c>
      <c r="B8177" t="s">
        <v>38</v>
      </c>
      <c r="C8177" t="s">
        <v>36</v>
      </c>
      <c r="D8177">
        <v>67</v>
      </c>
    </row>
    <row r="8178" spans="1:4" ht="15.75" customHeight="1">
      <c r="A8178" t="s">
        <v>4804</v>
      </c>
      <c r="B8178" t="s">
        <v>38</v>
      </c>
      <c r="C8178" t="s">
        <v>36</v>
      </c>
      <c r="D8178">
        <v>63</v>
      </c>
    </row>
    <row r="8179" spans="1:4" ht="15.75" customHeight="1">
      <c r="A8179" t="s">
        <v>1341</v>
      </c>
      <c r="B8179" t="s">
        <v>38</v>
      </c>
      <c r="C8179" t="s">
        <v>36</v>
      </c>
      <c r="D8179">
        <v>63</v>
      </c>
    </row>
    <row r="8180" spans="1:4" ht="15.75" customHeight="1">
      <c r="A8180" t="s">
        <v>3213</v>
      </c>
      <c r="B8180" t="s">
        <v>38</v>
      </c>
      <c r="C8180" t="s">
        <v>36</v>
      </c>
      <c r="D8180">
        <v>63</v>
      </c>
    </row>
    <row r="8181" spans="1:4" ht="15.75" customHeight="1">
      <c r="A8181" t="s">
        <v>681</v>
      </c>
      <c r="B8181" t="s">
        <v>38</v>
      </c>
      <c r="C8181" t="s">
        <v>36</v>
      </c>
      <c r="D8181">
        <v>63</v>
      </c>
    </row>
    <row r="8182" spans="1:4" ht="15.75" customHeight="1">
      <c r="A8182" t="s">
        <v>2233</v>
      </c>
      <c r="B8182" t="s">
        <v>38</v>
      </c>
      <c r="C8182" t="s">
        <v>36</v>
      </c>
      <c r="D8182">
        <v>62</v>
      </c>
    </row>
    <row r="8183" spans="1:4" ht="15.75" customHeight="1">
      <c r="A8183" t="s">
        <v>3600</v>
      </c>
      <c r="B8183" t="s">
        <v>38</v>
      </c>
      <c r="C8183" t="s">
        <v>36</v>
      </c>
      <c r="D8183">
        <v>61</v>
      </c>
    </row>
    <row r="8184" spans="1:4" ht="15.75" customHeight="1">
      <c r="A8184" t="s">
        <v>3209</v>
      </c>
      <c r="B8184" t="s">
        <v>38</v>
      </c>
      <c r="C8184" t="s">
        <v>36</v>
      </c>
      <c r="D8184">
        <v>61</v>
      </c>
    </row>
    <row r="8185" spans="1:4" ht="15.75" customHeight="1">
      <c r="A8185" t="s">
        <v>1223</v>
      </c>
      <c r="B8185" t="s">
        <v>38</v>
      </c>
      <c r="C8185" t="s">
        <v>36</v>
      </c>
      <c r="D8185">
        <v>61</v>
      </c>
    </row>
    <row r="8186" spans="1:4" ht="15.75" customHeight="1">
      <c r="A8186" t="s">
        <v>3589</v>
      </c>
      <c r="B8186" t="s">
        <v>38</v>
      </c>
      <c r="C8186" t="s">
        <v>36</v>
      </c>
      <c r="D8186">
        <v>61</v>
      </c>
    </row>
    <row r="8187" spans="1:4" ht="15.75" customHeight="1">
      <c r="A8187" t="s">
        <v>3261</v>
      </c>
      <c r="B8187" t="s">
        <v>38</v>
      </c>
      <c r="C8187" t="s">
        <v>36</v>
      </c>
      <c r="D8187">
        <v>61</v>
      </c>
    </row>
    <row r="8188" spans="1:4" ht="15.75" customHeight="1">
      <c r="A8188" t="s">
        <v>2128</v>
      </c>
      <c r="B8188" t="s">
        <v>38</v>
      </c>
      <c r="C8188" t="s">
        <v>36</v>
      </c>
      <c r="D8188">
        <v>60</v>
      </c>
    </row>
    <row r="8189" spans="1:4" ht="15.75" customHeight="1">
      <c r="A8189" t="s">
        <v>4406</v>
      </c>
      <c r="B8189" t="s">
        <v>38</v>
      </c>
      <c r="C8189" t="s">
        <v>36</v>
      </c>
      <c r="D8189">
        <v>60</v>
      </c>
    </row>
    <row r="8190" spans="1:4" ht="15.75" customHeight="1">
      <c r="A8190" t="s">
        <v>1347</v>
      </c>
      <c r="B8190" t="s">
        <v>38</v>
      </c>
      <c r="C8190" t="s">
        <v>36</v>
      </c>
      <c r="D8190">
        <v>60</v>
      </c>
    </row>
    <row r="8191" spans="1:4" ht="15.75" customHeight="1">
      <c r="A8191" t="s">
        <v>2219</v>
      </c>
      <c r="B8191" t="s">
        <v>38</v>
      </c>
      <c r="C8191" t="s">
        <v>36</v>
      </c>
      <c r="D8191">
        <v>59</v>
      </c>
    </row>
    <row r="8192" spans="1:4" ht="15.75" customHeight="1">
      <c r="A8192" t="s">
        <v>3705</v>
      </c>
      <c r="B8192" t="s">
        <v>38</v>
      </c>
      <c r="C8192" t="s">
        <v>36</v>
      </c>
      <c r="D8192">
        <v>57</v>
      </c>
    </row>
    <row r="8193" spans="1:4" ht="15.75" customHeight="1">
      <c r="A8193" t="s">
        <v>1774</v>
      </c>
      <c r="B8193" t="s">
        <v>38</v>
      </c>
      <c r="C8193" t="s">
        <v>36</v>
      </c>
      <c r="D8193">
        <v>57</v>
      </c>
    </row>
    <row r="8194" spans="1:4" ht="15.75" customHeight="1">
      <c r="A8194" t="s">
        <v>3649</v>
      </c>
      <c r="B8194" t="s">
        <v>38</v>
      </c>
      <c r="C8194" t="s">
        <v>36</v>
      </c>
      <c r="D8194">
        <v>55</v>
      </c>
    </row>
    <row r="8195" spans="1:4" ht="15.75" customHeight="1">
      <c r="A8195" t="s">
        <v>4823</v>
      </c>
      <c r="B8195" t="s">
        <v>38</v>
      </c>
      <c r="C8195" t="s">
        <v>36</v>
      </c>
      <c r="D8195">
        <v>55</v>
      </c>
    </row>
    <row r="8196" spans="1:4" ht="15.75" customHeight="1">
      <c r="A8196" t="s">
        <v>4722</v>
      </c>
      <c r="B8196" t="s">
        <v>38</v>
      </c>
      <c r="C8196" t="s">
        <v>36</v>
      </c>
      <c r="D8196">
        <v>54</v>
      </c>
    </row>
    <row r="8197" spans="1:4" ht="15.75" customHeight="1">
      <c r="A8197" t="s">
        <v>2790</v>
      </c>
      <c r="B8197" t="s">
        <v>38</v>
      </c>
      <c r="C8197" t="s">
        <v>36</v>
      </c>
      <c r="D8197">
        <v>53</v>
      </c>
    </row>
    <row r="8198" spans="1:4" ht="15.75" customHeight="1">
      <c r="A8198" t="s">
        <v>502</v>
      </c>
      <c r="B8198" t="s">
        <v>38</v>
      </c>
      <c r="C8198" t="s">
        <v>36</v>
      </c>
      <c r="D8198">
        <v>53</v>
      </c>
    </row>
    <row r="8199" spans="1:4" ht="15.75" customHeight="1">
      <c r="A8199" t="s">
        <v>3201</v>
      </c>
      <c r="B8199" t="s">
        <v>38</v>
      </c>
      <c r="C8199" t="s">
        <v>36</v>
      </c>
      <c r="D8199">
        <v>53</v>
      </c>
    </row>
    <row r="8200" spans="1:4" ht="15.75" customHeight="1">
      <c r="A8200" t="s">
        <v>4117</v>
      </c>
      <c r="B8200" t="s">
        <v>38</v>
      </c>
      <c r="C8200" t="s">
        <v>36</v>
      </c>
      <c r="D8200">
        <v>52</v>
      </c>
    </row>
    <row r="8201" spans="1:4" ht="15.75" customHeight="1">
      <c r="A8201" t="s">
        <v>3232</v>
      </c>
      <c r="B8201" t="s">
        <v>38</v>
      </c>
      <c r="C8201" t="s">
        <v>36</v>
      </c>
      <c r="D8201">
        <v>51</v>
      </c>
    </row>
    <row r="8202" spans="1:4" ht="15.75" customHeight="1">
      <c r="A8202" t="s">
        <v>546</v>
      </c>
      <c r="B8202" t="s">
        <v>38</v>
      </c>
      <c r="C8202" t="s">
        <v>36</v>
      </c>
      <c r="D8202">
        <v>51</v>
      </c>
    </row>
    <row r="8203" spans="1:4" ht="15.75" customHeight="1">
      <c r="A8203" t="s">
        <v>3272</v>
      </c>
      <c r="B8203" t="s">
        <v>38</v>
      </c>
      <c r="C8203" t="s">
        <v>36</v>
      </c>
      <c r="D8203">
        <v>50</v>
      </c>
    </row>
    <row r="8204" spans="1:4" ht="15.75" customHeight="1">
      <c r="A8204" s="7" t="s">
        <v>1285</v>
      </c>
      <c r="B8204" t="s">
        <v>38</v>
      </c>
      <c r="C8204" t="s">
        <v>36</v>
      </c>
      <c r="D8204">
        <v>49</v>
      </c>
    </row>
    <row r="8205" spans="1:4" ht="15.75" customHeight="1">
      <c r="A8205" t="s">
        <v>4025</v>
      </c>
      <c r="B8205" t="s">
        <v>38</v>
      </c>
      <c r="C8205" t="s">
        <v>36</v>
      </c>
      <c r="D8205">
        <v>49</v>
      </c>
    </row>
    <row r="8206" spans="1:4" ht="15.75" customHeight="1">
      <c r="A8206" t="s">
        <v>1762</v>
      </c>
      <c r="B8206" t="s">
        <v>38</v>
      </c>
      <c r="C8206" t="s">
        <v>36</v>
      </c>
      <c r="D8206">
        <v>49</v>
      </c>
    </row>
    <row r="8207" spans="1:4" ht="15.75" customHeight="1">
      <c r="A8207" t="s">
        <v>1738</v>
      </c>
      <c r="B8207" t="s">
        <v>38</v>
      </c>
      <c r="C8207" t="s">
        <v>36</v>
      </c>
      <c r="D8207">
        <v>47</v>
      </c>
    </row>
    <row r="8208" spans="1:4" ht="15.75" customHeight="1">
      <c r="A8208" t="s">
        <v>4101</v>
      </c>
      <c r="B8208" t="s">
        <v>38</v>
      </c>
      <c r="C8208" t="s">
        <v>36</v>
      </c>
      <c r="D8208">
        <v>46</v>
      </c>
    </row>
    <row r="8209" spans="1:4" ht="15.75" customHeight="1">
      <c r="A8209" t="s">
        <v>2106</v>
      </c>
      <c r="B8209" t="s">
        <v>38</v>
      </c>
      <c r="C8209" t="s">
        <v>36</v>
      </c>
      <c r="D8209">
        <v>44</v>
      </c>
    </row>
    <row r="8210" spans="1:4" ht="15.75" customHeight="1">
      <c r="A8210" t="s">
        <v>1345</v>
      </c>
      <c r="B8210" t="s">
        <v>38</v>
      </c>
      <c r="C8210" t="s">
        <v>36</v>
      </c>
      <c r="D8210">
        <v>44</v>
      </c>
    </row>
    <row r="8211" spans="1:4" ht="15.75" customHeight="1">
      <c r="A8211" t="s">
        <v>3690</v>
      </c>
      <c r="B8211" t="s">
        <v>38</v>
      </c>
      <c r="C8211" t="s">
        <v>36</v>
      </c>
      <c r="D8211">
        <v>43</v>
      </c>
    </row>
    <row r="8212" spans="1:4" ht="15.75" customHeight="1">
      <c r="A8212" t="s">
        <v>1776</v>
      </c>
      <c r="B8212" t="s">
        <v>38</v>
      </c>
      <c r="C8212" t="s">
        <v>36</v>
      </c>
      <c r="D8212">
        <v>43</v>
      </c>
    </row>
    <row r="8213" spans="1:4" ht="15.75" customHeight="1">
      <c r="A8213" t="s">
        <v>483</v>
      </c>
      <c r="B8213" t="s">
        <v>38</v>
      </c>
      <c r="C8213" t="s">
        <v>36</v>
      </c>
      <c r="D8213">
        <v>42</v>
      </c>
    </row>
    <row r="8214" spans="1:4" ht="15.75" customHeight="1">
      <c r="A8214" t="s">
        <v>551</v>
      </c>
      <c r="B8214" t="s">
        <v>38</v>
      </c>
      <c r="C8214" t="s">
        <v>36</v>
      </c>
      <c r="D8214">
        <v>42</v>
      </c>
    </row>
    <row r="8215" spans="1:4" ht="15.75" customHeight="1">
      <c r="A8215" t="s">
        <v>2681</v>
      </c>
      <c r="B8215" t="s">
        <v>38</v>
      </c>
      <c r="C8215" t="s">
        <v>36</v>
      </c>
      <c r="D8215">
        <v>42</v>
      </c>
    </row>
    <row r="8216" spans="1:4" ht="15.75" customHeight="1">
      <c r="A8216" t="s">
        <v>448</v>
      </c>
      <c r="B8216" t="s">
        <v>38</v>
      </c>
      <c r="C8216" t="s">
        <v>36</v>
      </c>
      <c r="D8216">
        <v>42</v>
      </c>
    </row>
    <row r="8217" spans="1:4" ht="15.75" customHeight="1">
      <c r="A8217" t="s">
        <v>2231</v>
      </c>
      <c r="B8217" t="s">
        <v>38</v>
      </c>
      <c r="C8217" t="s">
        <v>36</v>
      </c>
      <c r="D8217">
        <v>42</v>
      </c>
    </row>
    <row r="8218" spans="1:4" ht="15.75" customHeight="1">
      <c r="A8218" t="s">
        <v>1241</v>
      </c>
      <c r="B8218" t="s">
        <v>38</v>
      </c>
      <c r="C8218" t="s">
        <v>36</v>
      </c>
      <c r="D8218">
        <v>41</v>
      </c>
    </row>
    <row r="8219" spans="1:4" ht="15.75" customHeight="1">
      <c r="A8219" t="s">
        <v>4422</v>
      </c>
      <c r="B8219" t="s">
        <v>38</v>
      </c>
      <c r="C8219" t="s">
        <v>36</v>
      </c>
      <c r="D8219">
        <v>41</v>
      </c>
    </row>
    <row r="8220" spans="1:4" ht="15.75" customHeight="1">
      <c r="A8220" t="s">
        <v>3647</v>
      </c>
      <c r="B8220" t="s">
        <v>38</v>
      </c>
      <c r="C8220" t="s">
        <v>36</v>
      </c>
      <c r="D8220">
        <v>41</v>
      </c>
    </row>
    <row r="8221" spans="1:4" ht="15.75" customHeight="1">
      <c r="A8221" t="s">
        <v>1770</v>
      </c>
      <c r="B8221" t="s">
        <v>38</v>
      </c>
      <c r="C8221" t="s">
        <v>36</v>
      </c>
      <c r="D8221">
        <v>41</v>
      </c>
    </row>
    <row r="8222" spans="1:4" ht="15.75" customHeight="1">
      <c r="A8222" t="s">
        <v>3269</v>
      </c>
      <c r="B8222" t="s">
        <v>38</v>
      </c>
      <c r="C8222" t="s">
        <v>36</v>
      </c>
      <c r="D8222">
        <v>41</v>
      </c>
    </row>
    <row r="8223" spans="1:4" ht="15.75" customHeight="1">
      <c r="A8223" t="s">
        <v>3291</v>
      </c>
      <c r="B8223" t="s">
        <v>38</v>
      </c>
      <c r="C8223" t="s">
        <v>36</v>
      </c>
      <c r="D8223">
        <v>40</v>
      </c>
    </row>
    <row r="8224" spans="1:4" ht="15.75" customHeight="1">
      <c r="A8224" t="s">
        <v>3629</v>
      </c>
      <c r="B8224" t="s">
        <v>38</v>
      </c>
      <c r="C8224" t="s">
        <v>36</v>
      </c>
      <c r="D8224">
        <v>40</v>
      </c>
    </row>
    <row r="8225" spans="1:4" ht="15.75" customHeight="1">
      <c r="A8225" t="s">
        <v>2756</v>
      </c>
      <c r="B8225" t="s">
        <v>38</v>
      </c>
      <c r="C8225" t="s">
        <v>36</v>
      </c>
      <c r="D8225">
        <v>40</v>
      </c>
    </row>
    <row r="8226" spans="1:4" ht="15.75" customHeight="1">
      <c r="A8226" t="s">
        <v>4051</v>
      </c>
      <c r="B8226" t="s">
        <v>38</v>
      </c>
      <c r="C8226" t="s">
        <v>36</v>
      </c>
      <c r="D8226">
        <v>39</v>
      </c>
    </row>
    <row r="8227" spans="1:4" ht="15.75" customHeight="1">
      <c r="A8227" t="s">
        <v>3686</v>
      </c>
      <c r="B8227" t="s">
        <v>38</v>
      </c>
      <c r="C8227" t="s">
        <v>36</v>
      </c>
      <c r="D8227">
        <v>39</v>
      </c>
    </row>
    <row r="8228" spans="1:4" ht="15.75" customHeight="1">
      <c r="A8228" t="s">
        <v>4740</v>
      </c>
      <c r="B8228" t="s">
        <v>38</v>
      </c>
      <c r="C8228" t="s">
        <v>36</v>
      </c>
      <c r="D8228">
        <v>39</v>
      </c>
    </row>
    <row r="8229" spans="1:4" ht="15.75" customHeight="1">
      <c r="A8229" t="s">
        <v>2166</v>
      </c>
      <c r="B8229" t="s">
        <v>38</v>
      </c>
      <c r="C8229" t="s">
        <v>36</v>
      </c>
      <c r="D8229">
        <v>39</v>
      </c>
    </row>
    <row r="8230" spans="1:4" ht="15.75" customHeight="1">
      <c r="A8230" t="s">
        <v>539</v>
      </c>
      <c r="B8230" t="s">
        <v>38</v>
      </c>
      <c r="C8230" t="s">
        <v>36</v>
      </c>
      <c r="D8230">
        <v>39</v>
      </c>
    </row>
    <row r="8231" spans="1:4" ht="15.75" customHeight="1">
      <c r="A8231" t="s">
        <v>4401</v>
      </c>
      <c r="B8231" t="s">
        <v>38</v>
      </c>
      <c r="C8231" t="s">
        <v>36</v>
      </c>
      <c r="D8231">
        <v>38</v>
      </c>
    </row>
    <row r="8232" spans="1:4" ht="15.75" customHeight="1">
      <c r="A8232" t="s">
        <v>3714</v>
      </c>
      <c r="B8232" t="s">
        <v>38</v>
      </c>
      <c r="C8232" t="s">
        <v>36</v>
      </c>
      <c r="D8232">
        <v>38</v>
      </c>
    </row>
    <row r="8233" spans="1:4" ht="15.75" customHeight="1">
      <c r="A8233" t="s">
        <v>3205</v>
      </c>
      <c r="B8233" t="s">
        <v>38</v>
      </c>
      <c r="C8233" t="s">
        <v>36</v>
      </c>
      <c r="D8233">
        <v>37</v>
      </c>
    </row>
    <row r="8234" spans="1:4" ht="15.75" customHeight="1">
      <c r="A8234" t="s">
        <v>3156</v>
      </c>
      <c r="B8234" t="s">
        <v>38</v>
      </c>
      <c r="C8234" t="s">
        <v>36</v>
      </c>
      <c r="D8234">
        <v>37</v>
      </c>
    </row>
    <row r="8235" spans="1:4" ht="15.75" customHeight="1">
      <c r="A8235" t="s">
        <v>3194</v>
      </c>
      <c r="B8235" t="s">
        <v>38</v>
      </c>
      <c r="C8235" t="s">
        <v>36</v>
      </c>
      <c r="D8235">
        <v>37</v>
      </c>
    </row>
    <row r="8236" spans="1:4" ht="15.75" customHeight="1">
      <c r="A8236" t="s">
        <v>4424</v>
      </c>
      <c r="B8236" t="s">
        <v>38</v>
      </c>
      <c r="C8236" t="s">
        <v>36</v>
      </c>
      <c r="D8236">
        <v>34</v>
      </c>
    </row>
    <row r="8237" spans="1:4" ht="15.75" customHeight="1">
      <c r="A8237" t="s">
        <v>3219</v>
      </c>
      <c r="B8237" t="s">
        <v>38</v>
      </c>
      <c r="C8237" t="s">
        <v>36</v>
      </c>
      <c r="D8237">
        <v>34</v>
      </c>
    </row>
    <row r="8238" spans="1:4" ht="15.75" customHeight="1">
      <c r="A8238" t="s">
        <v>4428</v>
      </c>
      <c r="B8238" t="s">
        <v>38</v>
      </c>
      <c r="C8238" t="s">
        <v>36</v>
      </c>
      <c r="D8238">
        <v>33</v>
      </c>
    </row>
    <row r="8239" spans="1:4" ht="15.75" customHeight="1">
      <c r="A8239" t="s">
        <v>524</v>
      </c>
      <c r="B8239" t="s">
        <v>38</v>
      </c>
      <c r="C8239" t="s">
        <v>36</v>
      </c>
      <c r="D8239">
        <v>33</v>
      </c>
    </row>
    <row r="8240" spans="1:4" ht="15.75" customHeight="1">
      <c r="A8240" t="s">
        <v>601</v>
      </c>
      <c r="B8240" t="s">
        <v>38</v>
      </c>
      <c r="C8240" t="s">
        <v>36</v>
      </c>
      <c r="D8240">
        <v>33</v>
      </c>
    </row>
    <row r="8241" spans="1:4" ht="15.75" customHeight="1">
      <c r="A8241" t="s">
        <v>3196</v>
      </c>
      <c r="B8241" t="s">
        <v>38</v>
      </c>
      <c r="C8241" t="s">
        <v>36</v>
      </c>
      <c r="D8241">
        <v>33</v>
      </c>
    </row>
    <row r="8242" spans="1:4" ht="15.75" customHeight="1">
      <c r="A8242" t="s">
        <v>4726</v>
      </c>
      <c r="B8242" t="s">
        <v>38</v>
      </c>
      <c r="C8242" t="s">
        <v>36</v>
      </c>
      <c r="D8242">
        <v>33</v>
      </c>
    </row>
    <row r="8243" spans="1:4" ht="15.75" customHeight="1">
      <c r="A8243" t="s">
        <v>4773</v>
      </c>
      <c r="B8243" t="s">
        <v>38</v>
      </c>
      <c r="C8243" t="s">
        <v>36</v>
      </c>
      <c r="D8243">
        <v>32</v>
      </c>
    </row>
    <row r="8244" spans="1:4" ht="15.75" customHeight="1">
      <c r="A8244" t="s">
        <v>2675</v>
      </c>
      <c r="B8244" t="s">
        <v>38</v>
      </c>
      <c r="C8244" t="s">
        <v>36</v>
      </c>
      <c r="D8244">
        <v>32</v>
      </c>
    </row>
    <row r="8245" spans="1:4" ht="15.75" customHeight="1">
      <c r="A8245" t="s">
        <v>1789</v>
      </c>
      <c r="B8245" t="s">
        <v>38</v>
      </c>
      <c r="C8245" t="s">
        <v>36</v>
      </c>
      <c r="D8245">
        <v>31</v>
      </c>
    </row>
    <row r="8246" spans="1:4" ht="15.75" customHeight="1">
      <c r="A8246" t="s">
        <v>3174</v>
      </c>
      <c r="B8246" t="s">
        <v>38</v>
      </c>
      <c r="C8246" t="s">
        <v>36</v>
      </c>
      <c r="D8246">
        <v>31</v>
      </c>
    </row>
    <row r="8247" spans="1:4" ht="15.75" customHeight="1">
      <c r="A8247" t="s">
        <v>4753</v>
      </c>
      <c r="B8247" t="s">
        <v>38</v>
      </c>
      <c r="C8247" t="s">
        <v>36</v>
      </c>
      <c r="D8247">
        <v>31</v>
      </c>
    </row>
    <row r="8248" spans="1:4" ht="15.75" customHeight="1">
      <c r="A8248" t="s">
        <v>563</v>
      </c>
      <c r="B8248" t="s">
        <v>38</v>
      </c>
      <c r="C8248" t="s">
        <v>36</v>
      </c>
      <c r="D8248">
        <v>31</v>
      </c>
    </row>
    <row r="8249" spans="1:4" ht="15.75" customHeight="1">
      <c r="A8249" t="s">
        <v>4416</v>
      </c>
      <c r="B8249" t="s">
        <v>38</v>
      </c>
      <c r="C8249" t="s">
        <v>36</v>
      </c>
      <c r="D8249">
        <v>31</v>
      </c>
    </row>
    <row r="8250" spans="1:4" ht="15.75" customHeight="1">
      <c r="A8250" t="s">
        <v>3724</v>
      </c>
      <c r="B8250" t="s">
        <v>38</v>
      </c>
      <c r="C8250" t="s">
        <v>36</v>
      </c>
      <c r="D8250">
        <v>30</v>
      </c>
    </row>
    <row r="8251" spans="1:4" ht="15.75" customHeight="1">
      <c r="A8251" t="s">
        <v>2276</v>
      </c>
      <c r="B8251" t="s">
        <v>38</v>
      </c>
      <c r="C8251" t="s">
        <v>36</v>
      </c>
      <c r="D8251">
        <v>29</v>
      </c>
    </row>
    <row r="8252" spans="1:4" ht="15.75" customHeight="1">
      <c r="A8252" t="s">
        <v>611</v>
      </c>
      <c r="B8252" t="s">
        <v>38</v>
      </c>
      <c r="C8252" t="s">
        <v>36</v>
      </c>
      <c r="D8252">
        <v>29</v>
      </c>
    </row>
    <row r="8253" spans="1:4" ht="15.75" customHeight="1">
      <c r="A8253" t="s">
        <v>2678</v>
      </c>
      <c r="B8253" t="s">
        <v>38</v>
      </c>
      <c r="C8253" t="s">
        <v>36</v>
      </c>
      <c r="D8253">
        <v>29</v>
      </c>
    </row>
    <row r="8254" spans="1:4" ht="15.75" customHeight="1">
      <c r="A8254" t="s">
        <v>4136</v>
      </c>
      <c r="B8254" t="s">
        <v>38</v>
      </c>
      <c r="C8254" t="s">
        <v>36</v>
      </c>
      <c r="D8254">
        <v>29</v>
      </c>
    </row>
    <row r="8255" spans="1:4" ht="15.75" customHeight="1">
      <c r="A8255" t="s">
        <v>1270</v>
      </c>
      <c r="B8255" t="s">
        <v>38</v>
      </c>
      <c r="C8255" t="s">
        <v>36</v>
      </c>
      <c r="D8255">
        <v>29</v>
      </c>
    </row>
    <row r="8256" spans="1:4" ht="15.75" customHeight="1">
      <c r="A8256" t="s">
        <v>3203</v>
      </c>
      <c r="B8256" t="s">
        <v>38</v>
      </c>
      <c r="C8256" t="s">
        <v>36</v>
      </c>
      <c r="D8256">
        <v>29</v>
      </c>
    </row>
    <row r="8257" spans="1:4" ht="15.75" customHeight="1">
      <c r="A8257" t="s">
        <v>3300</v>
      </c>
      <c r="B8257" t="s">
        <v>38</v>
      </c>
      <c r="C8257" t="s">
        <v>36</v>
      </c>
      <c r="D8257">
        <v>28</v>
      </c>
    </row>
    <row r="8258" spans="1:4" ht="15.75" customHeight="1">
      <c r="A8258" t="s">
        <v>4731</v>
      </c>
      <c r="B8258" t="s">
        <v>38</v>
      </c>
      <c r="C8258" t="s">
        <v>36</v>
      </c>
      <c r="D8258">
        <v>28</v>
      </c>
    </row>
    <row r="8259" spans="1:4" ht="15.75" customHeight="1">
      <c r="A8259" t="s">
        <v>2797</v>
      </c>
      <c r="B8259" t="s">
        <v>38</v>
      </c>
      <c r="C8259" t="s">
        <v>36</v>
      </c>
      <c r="D8259">
        <v>27</v>
      </c>
    </row>
    <row r="8260" spans="1:4" ht="15.75" customHeight="1">
      <c r="A8260" t="s">
        <v>2225</v>
      </c>
      <c r="B8260" t="s">
        <v>38</v>
      </c>
      <c r="C8260" t="s">
        <v>36</v>
      </c>
      <c r="D8260">
        <v>27</v>
      </c>
    </row>
    <row r="8261" spans="1:4" ht="15.75" customHeight="1">
      <c r="A8261" t="s">
        <v>2136</v>
      </c>
      <c r="B8261" t="s">
        <v>38</v>
      </c>
      <c r="C8261" t="s">
        <v>36</v>
      </c>
      <c r="D8261">
        <v>26</v>
      </c>
    </row>
    <row r="8262" spans="1:4" ht="15.75" customHeight="1">
      <c r="A8262" t="s">
        <v>1398</v>
      </c>
      <c r="B8262" t="s">
        <v>38</v>
      </c>
      <c r="C8262" t="s">
        <v>36</v>
      </c>
      <c r="D8262">
        <v>26</v>
      </c>
    </row>
    <row r="8263" spans="1:4" ht="15.75" customHeight="1">
      <c r="A8263" t="s">
        <v>594</v>
      </c>
      <c r="B8263" t="s">
        <v>38</v>
      </c>
      <c r="C8263" t="s">
        <v>36</v>
      </c>
      <c r="D8263">
        <v>25</v>
      </c>
    </row>
    <row r="8264" spans="1:4" ht="15.75" customHeight="1">
      <c r="A8264" t="s">
        <v>496</v>
      </c>
      <c r="B8264" t="s">
        <v>38</v>
      </c>
      <c r="C8264" t="s">
        <v>36</v>
      </c>
      <c r="D8264">
        <v>25</v>
      </c>
    </row>
    <row r="8265" spans="1:4" ht="15.75" customHeight="1">
      <c r="A8265" t="s">
        <v>1758</v>
      </c>
      <c r="B8265" t="s">
        <v>38</v>
      </c>
      <c r="C8265" t="s">
        <v>36</v>
      </c>
      <c r="D8265">
        <v>25</v>
      </c>
    </row>
    <row r="8266" spans="1:4" ht="15.75" customHeight="1">
      <c r="A8266" t="s">
        <v>3642</v>
      </c>
      <c r="B8266" t="s">
        <v>38</v>
      </c>
      <c r="C8266" t="s">
        <v>36</v>
      </c>
      <c r="D8266">
        <v>25</v>
      </c>
    </row>
    <row r="8267" spans="1:4" ht="15.75" customHeight="1">
      <c r="A8267" t="s">
        <v>3660</v>
      </c>
      <c r="B8267" t="s">
        <v>38</v>
      </c>
      <c r="C8267" t="s">
        <v>36</v>
      </c>
      <c r="D8267">
        <v>24</v>
      </c>
    </row>
    <row r="8268" spans="1:4" ht="15.75" customHeight="1">
      <c r="A8268" t="s">
        <v>3165</v>
      </c>
      <c r="B8268" t="s">
        <v>38</v>
      </c>
      <c r="C8268" t="s">
        <v>36</v>
      </c>
      <c r="D8268">
        <v>23</v>
      </c>
    </row>
    <row r="8269" spans="1:4" ht="15.75" customHeight="1">
      <c r="A8269" t="s">
        <v>2840</v>
      </c>
      <c r="B8269" t="s">
        <v>38</v>
      </c>
      <c r="C8269" t="s">
        <v>36</v>
      </c>
      <c r="D8269">
        <v>23</v>
      </c>
    </row>
    <row r="8270" spans="1:4" ht="15.75" customHeight="1">
      <c r="A8270" t="s">
        <v>2694</v>
      </c>
      <c r="B8270" t="s">
        <v>38</v>
      </c>
      <c r="C8270" t="s">
        <v>36</v>
      </c>
      <c r="D8270">
        <v>23</v>
      </c>
    </row>
    <row r="8271" spans="1:4" ht="15.75" customHeight="1">
      <c r="A8271" t="s">
        <v>2278</v>
      </c>
      <c r="B8271" t="s">
        <v>38</v>
      </c>
      <c r="C8271" t="s">
        <v>36</v>
      </c>
      <c r="D8271">
        <v>22</v>
      </c>
    </row>
    <row r="8272" spans="1:4" ht="15.75" customHeight="1">
      <c r="A8272" t="s">
        <v>3215</v>
      </c>
      <c r="B8272" t="s">
        <v>38</v>
      </c>
      <c r="C8272" t="s">
        <v>36</v>
      </c>
      <c r="D8272">
        <v>22</v>
      </c>
    </row>
    <row r="8273" spans="1:4" ht="15.75" customHeight="1">
      <c r="A8273" t="s">
        <v>1264</v>
      </c>
      <c r="B8273" t="s">
        <v>38</v>
      </c>
      <c r="C8273" t="s">
        <v>36</v>
      </c>
      <c r="D8273">
        <v>22</v>
      </c>
    </row>
    <row r="8274" spans="1:4" ht="15.75" customHeight="1">
      <c r="A8274" t="s">
        <v>1278</v>
      </c>
      <c r="B8274" t="s">
        <v>38</v>
      </c>
      <c r="C8274" t="s">
        <v>36</v>
      </c>
      <c r="D8274">
        <v>21</v>
      </c>
    </row>
    <row r="8275" spans="1:4" ht="15.75" customHeight="1">
      <c r="A8275" t="s">
        <v>1291</v>
      </c>
      <c r="B8275" t="s">
        <v>38</v>
      </c>
      <c r="C8275" t="s">
        <v>36</v>
      </c>
      <c r="D8275">
        <v>21</v>
      </c>
    </row>
    <row r="8276" spans="1:4" ht="15.75" customHeight="1">
      <c r="A8276" t="s">
        <v>2832</v>
      </c>
      <c r="B8276" t="s">
        <v>38</v>
      </c>
      <c r="C8276" t="s">
        <v>36</v>
      </c>
      <c r="D8276">
        <v>21</v>
      </c>
    </row>
    <row r="8277" spans="1:4" ht="15.75" customHeight="1">
      <c r="A8277" t="s">
        <v>2718</v>
      </c>
      <c r="B8277" t="s">
        <v>38</v>
      </c>
      <c r="C8277" t="s">
        <v>36</v>
      </c>
      <c r="D8277">
        <v>20</v>
      </c>
    </row>
    <row r="8278" spans="1:4" ht="15.75" customHeight="1">
      <c r="A8278" t="s">
        <v>2164</v>
      </c>
      <c r="B8278" t="s">
        <v>38</v>
      </c>
      <c r="C8278" t="s">
        <v>36</v>
      </c>
      <c r="D8278">
        <v>20</v>
      </c>
    </row>
    <row r="8279" spans="1:4" ht="15.75" customHeight="1">
      <c r="A8279" t="s">
        <v>2221</v>
      </c>
      <c r="B8279" t="s">
        <v>38</v>
      </c>
      <c r="C8279" t="s">
        <v>36</v>
      </c>
      <c r="D8279">
        <v>19</v>
      </c>
    </row>
    <row r="8280" spans="1:4" ht="15.75" customHeight="1">
      <c r="A8280" t="s">
        <v>4843</v>
      </c>
      <c r="B8280" t="s">
        <v>38</v>
      </c>
      <c r="C8280" t="s">
        <v>36</v>
      </c>
      <c r="D8280">
        <v>19</v>
      </c>
    </row>
    <row r="8281" spans="1:4" ht="15.75" customHeight="1">
      <c r="A8281" t="s">
        <v>4839</v>
      </c>
      <c r="B8281" t="s">
        <v>38</v>
      </c>
      <c r="C8281" t="s">
        <v>36</v>
      </c>
      <c r="D8281">
        <v>19</v>
      </c>
    </row>
    <row r="8282" spans="1:4" ht="15.75" customHeight="1">
      <c r="A8282" t="s">
        <v>2149</v>
      </c>
      <c r="B8282" t="s">
        <v>38</v>
      </c>
      <c r="C8282" t="s">
        <v>36</v>
      </c>
      <c r="D8282">
        <v>18</v>
      </c>
    </row>
    <row r="8283" spans="1:4" ht="15.75" customHeight="1">
      <c r="A8283" t="s">
        <v>3279</v>
      </c>
      <c r="B8283" t="s">
        <v>38</v>
      </c>
      <c r="C8283" t="s">
        <v>36</v>
      </c>
      <c r="D8283">
        <v>18</v>
      </c>
    </row>
    <row r="8284" spans="1:4" ht="15.75" customHeight="1">
      <c r="A8284" t="s">
        <v>2153</v>
      </c>
      <c r="B8284" t="s">
        <v>38</v>
      </c>
      <c r="C8284" t="s">
        <v>36</v>
      </c>
      <c r="D8284">
        <v>18</v>
      </c>
    </row>
    <row r="8285" spans="1:4" ht="15.75" customHeight="1">
      <c r="A8285" t="s">
        <v>2223</v>
      </c>
      <c r="B8285" t="s">
        <v>38</v>
      </c>
      <c r="C8285" t="s">
        <v>36</v>
      </c>
      <c r="D8285">
        <v>18</v>
      </c>
    </row>
    <row r="8286" spans="1:4" ht="15.75" customHeight="1">
      <c r="A8286" t="s">
        <v>451</v>
      </c>
      <c r="B8286" t="s">
        <v>38</v>
      </c>
      <c r="C8286" t="s">
        <v>36</v>
      </c>
      <c r="D8286">
        <v>18</v>
      </c>
    </row>
    <row r="8287" spans="1:4" ht="15.75" customHeight="1">
      <c r="A8287" t="s">
        <v>3217</v>
      </c>
      <c r="B8287" t="s">
        <v>38</v>
      </c>
      <c r="C8287" t="s">
        <v>36</v>
      </c>
      <c r="D8287">
        <v>18</v>
      </c>
    </row>
    <row r="8288" spans="1:4" ht="15.75" customHeight="1">
      <c r="A8288" t="s">
        <v>4733</v>
      </c>
      <c r="B8288" t="s">
        <v>38</v>
      </c>
      <c r="C8288" t="s">
        <v>36</v>
      </c>
      <c r="D8288">
        <v>18</v>
      </c>
    </row>
    <row r="8289" spans="1:4" ht="15.75" customHeight="1">
      <c r="A8289" t="s">
        <v>565</v>
      </c>
      <c r="B8289" t="s">
        <v>38</v>
      </c>
      <c r="C8289" t="s">
        <v>36</v>
      </c>
      <c r="D8289">
        <v>17</v>
      </c>
    </row>
    <row r="8290" spans="1:4" ht="15.75" customHeight="1">
      <c r="A8290" t="s">
        <v>3152</v>
      </c>
      <c r="B8290" t="s">
        <v>38</v>
      </c>
      <c r="C8290" t="s">
        <v>36</v>
      </c>
      <c r="D8290">
        <v>17</v>
      </c>
    </row>
    <row r="8291" spans="1:4" ht="15.75" customHeight="1">
      <c r="A8291" t="s">
        <v>3221</v>
      </c>
      <c r="B8291" t="s">
        <v>38</v>
      </c>
      <c r="C8291" t="s">
        <v>36</v>
      </c>
      <c r="D8291">
        <v>16</v>
      </c>
    </row>
    <row r="8292" spans="1:4" ht="15.75" customHeight="1">
      <c r="A8292" t="s">
        <v>4738</v>
      </c>
      <c r="B8292" t="s">
        <v>38</v>
      </c>
      <c r="C8292" t="s">
        <v>36</v>
      </c>
      <c r="D8292">
        <v>15</v>
      </c>
    </row>
    <row r="8293" spans="1:4" ht="15.75" customHeight="1">
      <c r="A8293" t="s">
        <v>2157</v>
      </c>
      <c r="B8293" t="s">
        <v>38</v>
      </c>
      <c r="C8293" t="s">
        <v>36</v>
      </c>
      <c r="D8293">
        <v>14</v>
      </c>
    </row>
    <row r="8294" spans="1:4" ht="15.75" customHeight="1">
      <c r="A8294" t="s">
        <v>1793</v>
      </c>
      <c r="B8294" t="s">
        <v>38</v>
      </c>
      <c r="C8294" t="s">
        <v>36</v>
      </c>
      <c r="D8294">
        <v>14</v>
      </c>
    </row>
    <row r="8295" spans="1:4" ht="15.75" customHeight="1">
      <c r="A8295" t="s">
        <v>559</v>
      </c>
      <c r="B8295" t="s">
        <v>38</v>
      </c>
      <c r="C8295" t="s">
        <v>36</v>
      </c>
      <c r="D8295">
        <v>14</v>
      </c>
    </row>
    <row r="8296" spans="1:4" ht="15.75" customHeight="1">
      <c r="A8296" t="s">
        <v>2684</v>
      </c>
      <c r="B8296" t="s">
        <v>38</v>
      </c>
      <c r="C8296" t="s">
        <v>36</v>
      </c>
      <c r="D8296">
        <v>13</v>
      </c>
    </row>
    <row r="8297" spans="1:4" ht="15.75" customHeight="1">
      <c r="A8297" t="s">
        <v>4736</v>
      </c>
      <c r="B8297" t="s">
        <v>38</v>
      </c>
      <c r="C8297" t="s">
        <v>36</v>
      </c>
      <c r="D8297">
        <v>13</v>
      </c>
    </row>
    <row r="8298" spans="1:4" ht="15.75" customHeight="1">
      <c r="A8298" t="s">
        <v>2102</v>
      </c>
      <c r="B8298" t="s">
        <v>38</v>
      </c>
      <c r="C8298" t="s">
        <v>36</v>
      </c>
      <c r="D8298">
        <v>13</v>
      </c>
    </row>
    <row r="8299" spans="1:4" ht="15.75" customHeight="1">
      <c r="A8299" t="s">
        <v>2783</v>
      </c>
      <c r="B8299" t="s">
        <v>38</v>
      </c>
      <c r="C8299" t="s">
        <v>36</v>
      </c>
      <c r="D8299">
        <v>13</v>
      </c>
    </row>
    <row r="8300" spans="1:4" ht="15.75" customHeight="1">
      <c r="A8300" t="s">
        <v>3728</v>
      </c>
      <c r="B8300" t="s">
        <v>38</v>
      </c>
      <c r="C8300" t="s">
        <v>36</v>
      </c>
      <c r="D8300">
        <v>13</v>
      </c>
    </row>
    <row r="8301" spans="1:4" ht="15.75" customHeight="1">
      <c r="A8301" t="s">
        <v>4719</v>
      </c>
      <c r="B8301" t="s">
        <v>38</v>
      </c>
      <c r="C8301" t="s">
        <v>36</v>
      </c>
      <c r="D8301">
        <v>12</v>
      </c>
    </row>
    <row r="8302" spans="1:4" ht="15.75" customHeight="1">
      <c r="A8302" t="s">
        <v>4362</v>
      </c>
      <c r="B8302" t="s">
        <v>38</v>
      </c>
      <c r="C8302" t="s">
        <v>36</v>
      </c>
      <c r="D8302">
        <v>12</v>
      </c>
    </row>
    <row r="8303" spans="1:4" ht="15.75" customHeight="1">
      <c r="A8303" t="s">
        <v>4765</v>
      </c>
      <c r="B8303" t="s">
        <v>38</v>
      </c>
      <c r="C8303" t="s">
        <v>36</v>
      </c>
      <c r="D8303">
        <v>12</v>
      </c>
    </row>
    <row r="8304" spans="1:4" ht="15.75" customHeight="1">
      <c r="A8304" t="s">
        <v>1337</v>
      </c>
      <c r="B8304" t="s">
        <v>38</v>
      </c>
      <c r="C8304" t="s">
        <v>36</v>
      </c>
      <c r="D8304">
        <v>11</v>
      </c>
    </row>
    <row r="8305" spans="1:4" ht="15.75" customHeight="1">
      <c r="A8305" t="s">
        <v>3304</v>
      </c>
      <c r="B8305" t="s">
        <v>38</v>
      </c>
      <c r="C8305" t="s">
        <v>36</v>
      </c>
      <c r="D8305">
        <v>11</v>
      </c>
    </row>
    <row r="8306" spans="1:4" ht="15.75" customHeight="1">
      <c r="A8306" t="s">
        <v>1295</v>
      </c>
      <c r="B8306" t="s">
        <v>38</v>
      </c>
      <c r="C8306" t="s">
        <v>36</v>
      </c>
      <c r="D8306">
        <v>11</v>
      </c>
    </row>
    <row r="8307" spans="1:4" ht="15.75" customHeight="1">
      <c r="A8307" t="s">
        <v>609</v>
      </c>
      <c r="B8307" t="s">
        <v>38</v>
      </c>
      <c r="C8307" t="s">
        <v>36</v>
      </c>
      <c r="D8307">
        <v>10</v>
      </c>
    </row>
    <row r="8308" spans="1:4" ht="15.75" customHeight="1">
      <c r="A8308" t="s">
        <v>2829</v>
      </c>
      <c r="B8308" t="s">
        <v>38</v>
      </c>
      <c r="C8308" t="s">
        <v>36</v>
      </c>
      <c r="D8308">
        <v>10</v>
      </c>
    </row>
    <row r="8309" spans="1:4" ht="15.75" customHeight="1">
      <c r="A8309" t="s">
        <v>3718</v>
      </c>
      <c r="B8309" t="s">
        <v>38</v>
      </c>
      <c r="C8309" t="s">
        <v>36</v>
      </c>
      <c r="D8309">
        <v>9</v>
      </c>
    </row>
    <row r="8310" spans="1:4" ht="15.75" customHeight="1">
      <c r="A8310" t="s">
        <v>3192</v>
      </c>
      <c r="B8310" t="s">
        <v>38</v>
      </c>
      <c r="C8310" t="s">
        <v>36</v>
      </c>
      <c r="D8310">
        <v>8</v>
      </c>
    </row>
    <row r="8311" spans="1:4" ht="15.75" customHeight="1">
      <c r="A8311" t="s">
        <v>544</v>
      </c>
      <c r="B8311" t="s">
        <v>38</v>
      </c>
      <c r="C8311" t="s">
        <v>36</v>
      </c>
      <c r="D8311">
        <v>8</v>
      </c>
    </row>
    <row r="8312" spans="1:4" ht="15.75" customHeight="1">
      <c r="A8312" t="s">
        <v>557</v>
      </c>
      <c r="B8312" t="s">
        <v>38</v>
      </c>
      <c r="C8312" t="s">
        <v>36</v>
      </c>
      <c r="D8312">
        <v>7</v>
      </c>
    </row>
    <row r="8313" spans="1:4" ht="15.75" customHeight="1">
      <c r="A8313" t="s">
        <v>1289</v>
      </c>
      <c r="B8313" t="s">
        <v>38</v>
      </c>
      <c r="C8313" t="s">
        <v>36</v>
      </c>
      <c r="D8313">
        <v>7</v>
      </c>
    </row>
    <row r="8314" spans="1:4" ht="15.75" customHeight="1">
      <c r="A8314" t="s">
        <v>4369</v>
      </c>
      <c r="B8314" t="s">
        <v>38</v>
      </c>
      <c r="C8314" t="s">
        <v>36</v>
      </c>
      <c r="D8314">
        <v>7</v>
      </c>
    </row>
    <row r="8315" spans="1:4" ht="15.75" customHeight="1">
      <c r="A8315" t="s">
        <v>3168</v>
      </c>
      <c r="B8315" t="s">
        <v>38</v>
      </c>
      <c r="C8315" t="s">
        <v>36</v>
      </c>
      <c r="D8315">
        <v>6</v>
      </c>
    </row>
    <row r="8316" spans="1:4" ht="15.75" customHeight="1">
      <c r="A8316" t="s">
        <v>2799</v>
      </c>
      <c r="B8316" t="s">
        <v>38</v>
      </c>
      <c r="C8316" t="s">
        <v>36</v>
      </c>
      <c r="D8316">
        <v>6</v>
      </c>
    </row>
    <row r="8317" spans="1:4" ht="15.75" customHeight="1">
      <c r="A8317" t="s">
        <v>2834</v>
      </c>
      <c r="B8317" t="s">
        <v>38</v>
      </c>
      <c r="C8317" t="s">
        <v>36</v>
      </c>
      <c r="D8317">
        <v>6</v>
      </c>
    </row>
    <row r="8318" spans="1:4" ht="15.75" customHeight="1">
      <c r="A8318" t="s">
        <v>2196</v>
      </c>
      <c r="B8318" t="s">
        <v>38</v>
      </c>
      <c r="C8318" t="s">
        <v>36</v>
      </c>
      <c r="D8318">
        <v>5</v>
      </c>
    </row>
    <row r="8319" spans="1:4" ht="15.75" customHeight="1">
      <c r="A8319" t="s">
        <v>4049</v>
      </c>
      <c r="B8319" t="s">
        <v>38</v>
      </c>
      <c r="C8319" t="s">
        <v>36</v>
      </c>
      <c r="D8319">
        <v>5</v>
      </c>
    </row>
    <row r="8320" spans="1:4" ht="15.75" customHeight="1">
      <c r="A8320" t="s">
        <v>4797</v>
      </c>
      <c r="B8320" t="s">
        <v>38</v>
      </c>
      <c r="C8320" t="s">
        <v>36</v>
      </c>
      <c r="D8320">
        <v>5</v>
      </c>
    </row>
    <row r="8321" spans="1:4" ht="15.75" customHeight="1">
      <c r="A8321" t="s">
        <v>504</v>
      </c>
      <c r="B8321" t="s">
        <v>38</v>
      </c>
      <c r="C8321" t="s">
        <v>36</v>
      </c>
      <c r="D8321">
        <v>5</v>
      </c>
    </row>
    <row r="8322" spans="1:4" ht="15.75" customHeight="1">
      <c r="A8322" t="s">
        <v>3652</v>
      </c>
      <c r="B8322" t="s">
        <v>38</v>
      </c>
      <c r="C8322" t="s">
        <v>36</v>
      </c>
      <c r="D8322">
        <v>5</v>
      </c>
    </row>
    <row r="8323" spans="1:4" ht="15.75" customHeight="1">
      <c r="A8323" t="s">
        <v>491</v>
      </c>
      <c r="B8323" t="s">
        <v>38</v>
      </c>
      <c r="C8323" t="s">
        <v>36</v>
      </c>
      <c r="D8323">
        <v>5</v>
      </c>
    </row>
    <row r="8324" spans="1:4" ht="15.75" customHeight="1">
      <c r="A8324" t="s">
        <v>4775</v>
      </c>
      <c r="B8324" t="s">
        <v>38</v>
      </c>
      <c r="C8324" t="s">
        <v>36</v>
      </c>
      <c r="D8324">
        <v>5</v>
      </c>
    </row>
    <row r="8325" spans="1:4" ht="15.75" customHeight="1">
      <c r="A8325" t="s">
        <v>511</v>
      </c>
      <c r="B8325" t="s">
        <v>38</v>
      </c>
      <c r="C8325" t="s">
        <v>36</v>
      </c>
      <c r="D8325">
        <v>5</v>
      </c>
    </row>
    <row r="8326" spans="1:4" ht="15.75" customHeight="1">
      <c r="A8326" t="s">
        <v>549</v>
      </c>
      <c r="B8326" t="s">
        <v>38</v>
      </c>
      <c r="C8326" t="s">
        <v>36</v>
      </c>
      <c r="D8326">
        <v>5</v>
      </c>
    </row>
    <row r="8327" spans="1:4" ht="15.75" customHeight="1">
      <c r="A8327" t="s">
        <v>4829</v>
      </c>
      <c r="B8327" t="s">
        <v>38</v>
      </c>
      <c r="C8327" t="s">
        <v>36</v>
      </c>
      <c r="D8327">
        <v>5</v>
      </c>
    </row>
    <row r="8328" spans="1:4" ht="15.75" customHeight="1">
      <c r="A8328" t="s">
        <v>3306</v>
      </c>
      <c r="B8328" t="s">
        <v>38</v>
      </c>
      <c r="C8328" t="s">
        <v>36</v>
      </c>
      <c r="D8328">
        <v>4</v>
      </c>
    </row>
    <row r="8329" spans="1:4" ht="15.75" customHeight="1">
      <c r="A8329" t="s">
        <v>3285</v>
      </c>
      <c r="B8329" t="s">
        <v>38</v>
      </c>
      <c r="C8329" t="s">
        <v>36</v>
      </c>
      <c r="D8329">
        <v>3</v>
      </c>
    </row>
    <row r="8330" spans="1:4" ht="15.75" customHeight="1">
      <c r="A8330" t="s">
        <v>2160</v>
      </c>
      <c r="B8330" t="s">
        <v>38</v>
      </c>
      <c r="C8330" t="s">
        <v>36</v>
      </c>
      <c r="D8330">
        <v>3</v>
      </c>
    </row>
    <row r="8331" spans="1:4" ht="15.75" customHeight="1">
      <c r="A8331" t="s">
        <v>2139</v>
      </c>
      <c r="B8331" t="s">
        <v>38</v>
      </c>
      <c r="C8331" t="s">
        <v>36</v>
      </c>
      <c r="D8331">
        <v>3</v>
      </c>
    </row>
    <row r="8332" spans="1:4" ht="15.75" customHeight="1">
      <c r="A8332" t="s">
        <v>3605</v>
      </c>
      <c r="B8332" t="s">
        <v>38</v>
      </c>
      <c r="C8332" t="s">
        <v>36</v>
      </c>
      <c r="D8332">
        <v>3</v>
      </c>
    </row>
    <row r="8333" spans="1:4" ht="15.75" customHeight="1">
      <c r="A8333" t="s">
        <v>2141</v>
      </c>
      <c r="B8333" t="s">
        <v>38</v>
      </c>
      <c r="C8333" t="s">
        <v>36</v>
      </c>
      <c r="D8333">
        <v>3</v>
      </c>
    </row>
    <row r="8334" spans="1:4" ht="15.75" customHeight="1">
      <c r="A8334" t="s">
        <v>2108</v>
      </c>
      <c r="B8334" t="s">
        <v>38</v>
      </c>
      <c r="C8334" t="s">
        <v>36</v>
      </c>
      <c r="D8334">
        <v>3</v>
      </c>
    </row>
    <row r="8335" spans="1:4" ht="15.75" customHeight="1">
      <c r="A8335" t="s">
        <v>2659</v>
      </c>
      <c r="B8335" t="s">
        <v>38</v>
      </c>
      <c r="C8335" t="s">
        <v>36</v>
      </c>
      <c r="D8335">
        <v>3</v>
      </c>
    </row>
    <row r="8336" spans="1:4" ht="15.75" customHeight="1">
      <c r="A8336" t="s">
        <v>3595</v>
      </c>
      <c r="B8336" t="s">
        <v>38</v>
      </c>
      <c r="C8336" t="s">
        <v>36</v>
      </c>
      <c r="D8336">
        <v>3</v>
      </c>
    </row>
    <row r="8337" spans="1:4" ht="15.75" customHeight="1">
      <c r="A8337" t="s">
        <v>4767</v>
      </c>
      <c r="B8337" t="s">
        <v>38</v>
      </c>
      <c r="C8337" t="s">
        <v>36</v>
      </c>
      <c r="D8337">
        <v>3</v>
      </c>
    </row>
    <row r="8338" spans="1:4" ht="15.75" customHeight="1">
      <c r="A8338" t="s">
        <v>1244</v>
      </c>
      <c r="B8338" t="s">
        <v>38</v>
      </c>
      <c r="C8338" t="s">
        <v>36</v>
      </c>
      <c r="D8338">
        <v>2</v>
      </c>
    </row>
    <row r="8339" spans="1:4" ht="15.75" customHeight="1">
      <c r="A8339" t="s">
        <v>2270</v>
      </c>
      <c r="B8339" t="s">
        <v>38</v>
      </c>
      <c r="C8339" t="s">
        <v>36</v>
      </c>
      <c r="D8339">
        <v>2</v>
      </c>
    </row>
    <row r="8340" spans="1:4" ht="15.75" customHeight="1">
      <c r="A8340" t="s">
        <v>2213</v>
      </c>
      <c r="B8340" t="s">
        <v>38</v>
      </c>
      <c r="C8340" t="s">
        <v>36</v>
      </c>
      <c r="D8340">
        <v>2</v>
      </c>
    </row>
    <row r="8341" spans="1:4" ht="15.75" customHeight="1">
      <c r="A8341" t="s">
        <v>2819</v>
      </c>
      <c r="B8341" t="s">
        <v>38</v>
      </c>
      <c r="C8341" t="s">
        <v>36</v>
      </c>
      <c r="D8341">
        <v>2</v>
      </c>
    </row>
    <row r="8342" spans="1:4" ht="15.75" customHeight="1">
      <c r="A8342" t="s">
        <v>2227</v>
      </c>
      <c r="B8342" t="s">
        <v>38</v>
      </c>
      <c r="C8342" t="s">
        <v>36</v>
      </c>
      <c r="D8342">
        <v>2</v>
      </c>
    </row>
    <row r="8343" spans="1:4" ht="15.75" customHeight="1">
      <c r="A8343" t="s">
        <v>3283</v>
      </c>
      <c r="B8343" t="s">
        <v>38</v>
      </c>
      <c r="C8343" t="s">
        <v>36</v>
      </c>
      <c r="D8343">
        <v>1</v>
      </c>
    </row>
    <row r="8344" spans="1:4" ht="15.75" customHeight="1">
      <c r="A8344" t="s">
        <v>3287</v>
      </c>
      <c r="B8344" t="s">
        <v>38</v>
      </c>
      <c r="C8344" t="s">
        <v>36</v>
      </c>
      <c r="D8344">
        <v>1</v>
      </c>
    </row>
    <row r="8345" spans="1:4" ht="15.75" customHeight="1">
      <c r="A8345" t="s">
        <v>4787</v>
      </c>
      <c r="B8345" t="s">
        <v>38</v>
      </c>
      <c r="C8345" t="s">
        <v>36</v>
      </c>
      <c r="D8345">
        <v>1</v>
      </c>
    </row>
    <row r="8346" spans="1:4" ht="15.75" customHeight="1">
      <c r="A8346" t="s">
        <v>2215</v>
      </c>
      <c r="B8346" t="s">
        <v>38</v>
      </c>
      <c r="C8346" t="s">
        <v>36</v>
      </c>
      <c r="D8346">
        <v>1</v>
      </c>
    </row>
    <row r="8347" spans="1:4" ht="15.75" customHeight="1">
      <c r="A8347" t="s">
        <v>554</v>
      </c>
      <c r="B8347" t="s">
        <v>38</v>
      </c>
      <c r="C8347" t="s">
        <v>36</v>
      </c>
      <c r="D8347">
        <v>1</v>
      </c>
    </row>
    <row r="8348" spans="1:4" ht="15.75" customHeight="1">
      <c r="A8348" t="s">
        <v>2808</v>
      </c>
      <c r="B8348" t="s">
        <v>38</v>
      </c>
      <c r="C8348" t="s">
        <v>36</v>
      </c>
      <c r="D8348">
        <v>1</v>
      </c>
    </row>
    <row r="8349" spans="1:4" ht="15.75" customHeight="1">
      <c r="A8349" t="s">
        <v>3621</v>
      </c>
      <c r="B8349" t="s">
        <v>38</v>
      </c>
      <c r="C8349" t="s">
        <v>36</v>
      </c>
      <c r="D8349">
        <v>1</v>
      </c>
    </row>
    <row r="8350" spans="1:4" ht="15.75" customHeight="1">
      <c r="A8350" t="s">
        <v>2847</v>
      </c>
      <c r="B8350" t="s">
        <v>38</v>
      </c>
      <c r="C8350" t="s">
        <v>36</v>
      </c>
      <c r="D8350">
        <v>1</v>
      </c>
    </row>
    <row r="8351" spans="1:4" ht="15.75" customHeight="1">
      <c r="A8351" t="s">
        <v>3662</v>
      </c>
      <c r="B8351" t="s">
        <v>38</v>
      </c>
      <c r="C8351" t="s">
        <v>36</v>
      </c>
      <c r="D8351">
        <v>1</v>
      </c>
    </row>
    <row r="8352" spans="1:4" ht="15.75" customHeight="1">
      <c r="A8352" t="s">
        <v>2815</v>
      </c>
      <c r="B8352" t="s">
        <v>38</v>
      </c>
      <c r="C8352" t="s">
        <v>36</v>
      </c>
      <c r="D8352">
        <v>1</v>
      </c>
    </row>
    <row r="8353" spans="1:4" ht="15.75" customHeight="1">
      <c r="A8353" t="s">
        <v>1287</v>
      </c>
      <c r="B8353" t="s">
        <v>38</v>
      </c>
      <c r="C8353" t="s">
        <v>36</v>
      </c>
      <c r="D8353">
        <v>1</v>
      </c>
    </row>
    <row r="8354" spans="1:4" ht="15.75" customHeight="1">
      <c r="A8354" t="s">
        <v>613</v>
      </c>
      <c r="B8354" t="s">
        <v>38</v>
      </c>
      <c r="C8354" t="s">
        <v>36</v>
      </c>
      <c r="D8354">
        <v>1</v>
      </c>
    </row>
    <row r="8355" spans="1:4" ht="15.75" customHeight="1">
      <c r="A8355" t="s">
        <v>4799</v>
      </c>
      <c r="B8355" t="s">
        <v>38</v>
      </c>
      <c r="C8355" t="s">
        <v>36</v>
      </c>
      <c r="D8355">
        <v>1</v>
      </c>
    </row>
    <row r="8356" spans="1:4" ht="15.75" customHeight="1">
      <c r="A8356" t="s">
        <v>518</v>
      </c>
      <c r="B8356" t="s">
        <v>38</v>
      </c>
      <c r="C8356" t="s">
        <v>38</v>
      </c>
      <c r="D8356">
        <v>543</v>
      </c>
    </row>
    <row r="8357" spans="1:4" ht="15.75" customHeight="1">
      <c r="A8357" t="s">
        <v>618</v>
      </c>
      <c r="B8357" t="s">
        <v>38</v>
      </c>
      <c r="C8357" t="s">
        <v>38</v>
      </c>
      <c r="D8357">
        <v>536</v>
      </c>
    </row>
    <row r="8358" spans="1:4" ht="15.75" customHeight="1">
      <c r="A8358" t="s">
        <v>471</v>
      </c>
      <c r="B8358" t="s">
        <v>38</v>
      </c>
      <c r="C8358" t="s">
        <v>38</v>
      </c>
      <c r="D8358">
        <v>529</v>
      </c>
    </row>
    <row r="8359" spans="1:4" ht="15.75" customHeight="1">
      <c r="A8359" t="s">
        <v>641</v>
      </c>
      <c r="B8359" t="s">
        <v>38</v>
      </c>
      <c r="C8359" t="s">
        <v>38</v>
      </c>
      <c r="D8359">
        <v>525</v>
      </c>
    </row>
    <row r="8360" spans="1:4" ht="15.75" customHeight="1">
      <c r="A8360" t="s">
        <v>1373</v>
      </c>
      <c r="B8360" t="s">
        <v>38</v>
      </c>
      <c r="C8360" t="s">
        <v>38</v>
      </c>
      <c r="D8360">
        <v>524</v>
      </c>
    </row>
    <row r="8361" spans="1:4" ht="15.75" customHeight="1">
      <c r="A8361" t="s">
        <v>515</v>
      </c>
      <c r="B8361" t="s">
        <v>38</v>
      </c>
      <c r="C8361" t="s">
        <v>38</v>
      </c>
      <c r="D8361">
        <v>511</v>
      </c>
    </row>
    <row r="8362" spans="1:4" ht="15.75" customHeight="1">
      <c r="A8362" t="s">
        <v>1409</v>
      </c>
      <c r="B8362" t="s">
        <v>38</v>
      </c>
      <c r="C8362" t="s">
        <v>38</v>
      </c>
      <c r="D8362">
        <v>506</v>
      </c>
    </row>
    <row r="8363" spans="1:4" ht="15.75" customHeight="1">
      <c r="A8363" t="s">
        <v>615</v>
      </c>
      <c r="B8363" t="s">
        <v>38</v>
      </c>
      <c r="C8363" t="s">
        <v>38</v>
      </c>
      <c r="D8363">
        <v>501</v>
      </c>
    </row>
    <row r="8364" spans="1:4" ht="15.75" customHeight="1">
      <c r="A8364" t="s">
        <v>465</v>
      </c>
      <c r="B8364" t="s">
        <v>38</v>
      </c>
      <c r="C8364" t="s">
        <v>38</v>
      </c>
      <c r="D8364">
        <v>499</v>
      </c>
    </row>
    <row r="8365" spans="1:4" ht="15.75" customHeight="1">
      <c r="A8365" t="s">
        <v>4065</v>
      </c>
      <c r="B8365" t="s">
        <v>38</v>
      </c>
      <c r="C8365" t="s">
        <v>38</v>
      </c>
      <c r="D8365">
        <v>499</v>
      </c>
    </row>
    <row r="8366" spans="1:4" ht="15.75" customHeight="1">
      <c r="A8366" t="s">
        <v>1708</v>
      </c>
      <c r="B8366" t="s">
        <v>38</v>
      </c>
      <c r="C8366" t="s">
        <v>38</v>
      </c>
      <c r="D8366">
        <v>497</v>
      </c>
    </row>
    <row r="8367" spans="1:4" ht="15.75" customHeight="1">
      <c r="A8367" t="s">
        <v>632</v>
      </c>
      <c r="B8367" t="s">
        <v>38</v>
      </c>
      <c r="C8367" t="s">
        <v>38</v>
      </c>
      <c r="D8367">
        <v>486</v>
      </c>
    </row>
    <row r="8368" spans="1:4" ht="15.75" customHeight="1">
      <c r="A8368" t="s">
        <v>695</v>
      </c>
      <c r="B8368" t="s">
        <v>38</v>
      </c>
      <c r="C8368" t="s">
        <v>38</v>
      </c>
      <c r="D8368">
        <v>484</v>
      </c>
    </row>
    <row r="8369" spans="1:4" ht="15.75" customHeight="1">
      <c r="A8369" t="s">
        <v>4408</v>
      </c>
      <c r="B8369" t="s">
        <v>38</v>
      </c>
      <c r="C8369" t="s">
        <v>38</v>
      </c>
      <c r="D8369">
        <v>482</v>
      </c>
    </row>
    <row r="8370" spans="1:4" ht="15.75" customHeight="1">
      <c r="A8370" t="s">
        <v>567</v>
      </c>
      <c r="B8370" t="s">
        <v>38</v>
      </c>
      <c r="C8370" t="s">
        <v>38</v>
      </c>
      <c r="D8370">
        <v>475</v>
      </c>
    </row>
    <row r="8371" spans="1:4" ht="15.75" customHeight="1">
      <c r="A8371" t="s">
        <v>1414</v>
      </c>
      <c r="B8371" t="s">
        <v>38</v>
      </c>
      <c r="C8371" t="s">
        <v>38</v>
      </c>
      <c r="D8371">
        <v>473</v>
      </c>
    </row>
    <row r="8372" spans="1:4" ht="15.75" customHeight="1">
      <c r="A8372" t="s">
        <v>661</v>
      </c>
      <c r="B8372" t="s">
        <v>38</v>
      </c>
      <c r="C8372" t="s">
        <v>38</v>
      </c>
      <c r="D8372">
        <v>472</v>
      </c>
    </row>
    <row r="8373" spans="1:4" ht="15.75" customHeight="1">
      <c r="A8373" t="s">
        <v>655</v>
      </c>
      <c r="B8373" t="s">
        <v>38</v>
      </c>
      <c r="C8373" t="s">
        <v>38</v>
      </c>
      <c r="D8373">
        <v>471</v>
      </c>
    </row>
    <row r="8374" spans="1:4" ht="15.75" customHeight="1">
      <c r="A8374" t="s">
        <v>621</v>
      </c>
      <c r="B8374" t="s">
        <v>38</v>
      </c>
      <c r="C8374" t="s">
        <v>38</v>
      </c>
      <c r="D8374">
        <v>471</v>
      </c>
    </row>
    <row r="8375" spans="1:4" ht="15.75" customHeight="1">
      <c r="A8375" t="s">
        <v>3668</v>
      </c>
      <c r="B8375" t="s">
        <v>38</v>
      </c>
      <c r="C8375" t="s">
        <v>38</v>
      </c>
      <c r="D8375">
        <v>469</v>
      </c>
    </row>
    <row r="8376" spans="1:4" ht="15.75" customHeight="1">
      <c r="A8376" t="s">
        <v>1725</v>
      </c>
      <c r="B8376" t="s">
        <v>38</v>
      </c>
      <c r="C8376" t="s">
        <v>38</v>
      </c>
      <c r="D8376">
        <v>469</v>
      </c>
    </row>
    <row r="8377" spans="1:4" ht="15.75" customHeight="1">
      <c r="A8377" t="s">
        <v>1432</v>
      </c>
      <c r="B8377" t="s">
        <v>38</v>
      </c>
      <c r="C8377" t="s">
        <v>38</v>
      </c>
      <c r="D8377">
        <v>468</v>
      </c>
    </row>
    <row r="8378" spans="1:4" ht="15.75" customHeight="1">
      <c r="A8378" t="s">
        <v>1752</v>
      </c>
      <c r="B8378" t="s">
        <v>38</v>
      </c>
      <c r="C8378" t="s">
        <v>38</v>
      </c>
      <c r="D8378">
        <v>467</v>
      </c>
    </row>
    <row r="8379" spans="1:4" ht="15.75" customHeight="1">
      <c r="A8379" t="s">
        <v>3701</v>
      </c>
      <c r="B8379" t="s">
        <v>38</v>
      </c>
      <c r="C8379" t="s">
        <v>38</v>
      </c>
      <c r="D8379">
        <v>464</v>
      </c>
    </row>
    <row r="8380" spans="1:4" ht="15.75" customHeight="1">
      <c r="A8380" t="s">
        <v>1766</v>
      </c>
      <c r="B8380" t="s">
        <v>38</v>
      </c>
      <c r="C8380" t="s">
        <v>38</v>
      </c>
      <c r="D8380">
        <v>461</v>
      </c>
    </row>
    <row r="8381" spans="1:4" ht="15.75" customHeight="1">
      <c r="A8381" t="s">
        <v>623</v>
      </c>
      <c r="B8381" t="s">
        <v>38</v>
      </c>
      <c r="C8381" t="s">
        <v>38</v>
      </c>
      <c r="D8381">
        <v>461</v>
      </c>
    </row>
    <row r="8382" spans="1:4" ht="15.75" customHeight="1">
      <c r="A8382" t="s">
        <v>1360</v>
      </c>
      <c r="B8382" t="s">
        <v>38</v>
      </c>
      <c r="C8382" t="s">
        <v>38</v>
      </c>
      <c r="D8382">
        <v>459</v>
      </c>
    </row>
    <row r="8383" spans="1:4" ht="15.75" customHeight="1">
      <c r="A8383" t="s">
        <v>648</v>
      </c>
      <c r="B8383" t="s">
        <v>38</v>
      </c>
      <c r="C8383" t="s">
        <v>38</v>
      </c>
      <c r="D8383">
        <v>459</v>
      </c>
    </row>
    <row r="8384" spans="1:4" ht="15.75" customHeight="1">
      <c r="A8384" t="s">
        <v>4724</v>
      </c>
      <c r="B8384" t="s">
        <v>38</v>
      </c>
      <c r="C8384" t="s">
        <v>38</v>
      </c>
      <c r="D8384">
        <v>457</v>
      </c>
    </row>
    <row r="8385" spans="1:4" ht="15.75" customHeight="1">
      <c r="A8385" t="s">
        <v>658</v>
      </c>
      <c r="B8385" t="s">
        <v>38</v>
      </c>
      <c r="C8385" t="s">
        <v>38</v>
      </c>
      <c r="D8385">
        <v>456</v>
      </c>
    </row>
    <row r="8386" spans="1:4" ht="15.75" customHeight="1">
      <c r="A8386" t="s">
        <v>1261</v>
      </c>
      <c r="B8386" t="s">
        <v>38</v>
      </c>
      <c r="C8386" t="s">
        <v>38</v>
      </c>
      <c r="D8386">
        <v>455</v>
      </c>
    </row>
    <row r="8387" spans="1:4" ht="15.75" customHeight="1">
      <c r="A8387" t="s">
        <v>672</v>
      </c>
      <c r="B8387" t="s">
        <v>38</v>
      </c>
      <c r="C8387" t="s">
        <v>38</v>
      </c>
      <c r="D8387">
        <v>455</v>
      </c>
    </row>
    <row r="8388" spans="1:4" ht="15.75" customHeight="1">
      <c r="A8388" t="s">
        <v>1428</v>
      </c>
      <c r="B8388" t="s">
        <v>38</v>
      </c>
      <c r="C8388" t="s">
        <v>38</v>
      </c>
      <c r="D8388">
        <v>455</v>
      </c>
    </row>
    <row r="8389" spans="1:4" ht="15.75" customHeight="1">
      <c r="A8389" t="s">
        <v>678</v>
      </c>
      <c r="B8389" t="s">
        <v>38</v>
      </c>
      <c r="C8389" t="s">
        <v>38</v>
      </c>
      <c r="D8389">
        <v>452</v>
      </c>
    </row>
    <row r="8390" spans="1:4" ht="15.75" customHeight="1">
      <c r="A8390" t="s">
        <v>442</v>
      </c>
      <c r="B8390" t="s">
        <v>38</v>
      </c>
      <c r="C8390" t="s">
        <v>38</v>
      </c>
      <c r="D8390">
        <v>452</v>
      </c>
    </row>
    <row r="8391" spans="1:4" ht="15.75" customHeight="1">
      <c r="A8391" t="s">
        <v>2113</v>
      </c>
      <c r="B8391" t="s">
        <v>38</v>
      </c>
      <c r="C8391" t="s">
        <v>38</v>
      </c>
      <c r="D8391">
        <v>451</v>
      </c>
    </row>
    <row r="8392" spans="1:4" ht="15.75" customHeight="1">
      <c r="A8392" t="s">
        <v>1351</v>
      </c>
      <c r="B8392" t="s">
        <v>38</v>
      </c>
      <c r="C8392" t="s">
        <v>38</v>
      </c>
      <c r="D8392">
        <v>450</v>
      </c>
    </row>
    <row r="8393" spans="1:4" ht="15.75" customHeight="1">
      <c r="A8393" t="s">
        <v>576</v>
      </c>
      <c r="B8393" t="s">
        <v>38</v>
      </c>
      <c r="C8393" t="s">
        <v>38</v>
      </c>
      <c r="D8393">
        <v>450</v>
      </c>
    </row>
    <row r="8394" spans="1:4" ht="15.75" customHeight="1">
      <c r="A8394" t="s">
        <v>2172</v>
      </c>
      <c r="B8394" t="s">
        <v>38</v>
      </c>
      <c r="C8394" t="s">
        <v>38</v>
      </c>
      <c r="D8394">
        <v>448</v>
      </c>
    </row>
    <row r="8395" spans="1:4" ht="15.75" customHeight="1">
      <c r="A8395" t="s">
        <v>1226</v>
      </c>
      <c r="B8395" t="s">
        <v>38</v>
      </c>
      <c r="C8395" t="s">
        <v>38</v>
      </c>
      <c r="D8395">
        <v>446</v>
      </c>
    </row>
    <row r="8396" spans="1:4" ht="15.75" customHeight="1">
      <c r="A8396" t="s">
        <v>693</v>
      </c>
      <c r="B8396" t="s">
        <v>38</v>
      </c>
      <c r="C8396" t="s">
        <v>38</v>
      </c>
      <c r="D8396">
        <v>446</v>
      </c>
    </row>
    <row r="8397" spans="1:4" ht="15.75" customHeight="1">
      <c r="A8397" t="s">
        <v>2191</v>
      </c>
      <c r="B8397" t="s">
        <v>38</v>
      </c>
      <c r="C8397" t="s">
        <v>38</v>
      </c>
      <c r="D8397">
        <v>445</v>
      </c>
    </row>
    <row r="8398" spans="1:4" ht="15.75" customHeight="1">
      <c r="A8398" t="s">
        <v>3312</v>
      </c>
      <c r="B8398" t="s">
        <v>38</v>
      </c>
      <c r="C8398" t="s">
        <v>38</v>
      </c>
      <c r="D8398">
        <v>444</v>
      </c>
    </row>
    <row r="8399" spans="1:4" ht="15.75" customHeight="1">
      <c r="A8399" t="s">
        <v>629</v>
      </c>
      <c r="B8399" t="s">
        <v>38</v>
      </c>
      <c r="C8399" t="s">
        <v>38</v>
      </c>
      <c r="D8399">
        <v>444</v>
      </c>
    </row>
    <row r="8400" spans="1:4" ht="15.75" customHeight="1">
      <c r="A8400" t="s">
        <v>1275</v>
      </c>
      <c r="B8400" t="s">
        <v>38</v>
      </c>
      <c r="C8400" t="s">
        <v>38</v>
      </c>
      <c r="D8400">
        <v>442</v>
      </c>
    </row>
    <row r="8401" spans="1:4" ht="15.75" customHeight="1">
      <c r="A8401" t="s">
        <v>635</v>
      </c>
      <c r="B8401" t="s">
        <v>38</v>
      </c>
      <c r="C8401" t="s">
        <v>38</v>
      </c>
      <c r="D8401">
        <v>441</v>
      </c>
    </row>
    <row r="8402" spans="1:4" ht="15.75" customHeight="1">
      <c r="A8402" t="s">
        <v>588</v>
      </c>
      <c r="B8402" t="s">
        <v>38</v>
      </c>
      <c r="C8402" t="s">
        <v>38</v>
      </c>
      <c r="D8402">
        <v>441</v>
      </c>
    </row>
    <row r="8403" spans="1:4" ht="15.75" customHeight="1">
      <c r="A8403" t="s">
        <v>3310</v>
      </c>
      <c r="B8403" t="s">
        <v>38</v>
      </c>
      <c r="C8403" t="s">
        <v>38</v>
      </c>
      <c r="D8403">
        <v>441</v>
      </c>
    </row>
    <row r="8404" spans="1:4" ht="15.75" customHeight="1">
      <c r="A8404" t="s">
        <v>4103</v>
      </c>
      <c r="B8404" t="s">
        <v>38</v>
      </c>
      <c r="C8404" t="s">
        <v>38</v>
      </c>
      <c r="D8404">
        <v>441</v>
      </c>
    </row>
    <row r="8405" spans="1:4" ht="15.75" customHeight="1">
      <c r="A8405" t="s">
        <v>2188</v>
      </c>
      <c r="B8405" t="s">
        <v>38</v>
      </c>
      <c r="C8405" t="s">
        <v>38</v>
      </c>
      <c r="D8405">
        <v>440</v>
      </c>
    </row>
    <row r="8406" spans="1:4" ht="15.75" customHeight="1">
      <c r="A8406" t="s">
        <v>4095</v>
      </c>
      <c r="B8406" t="s">
        <v>38</v>
      </c>
      <c r="C8406" t="s">
        <v>38</v>
      </c>
      <c r="D8406">
        <v>440</v>
      </c>
    </row>
    <row r="8407" spans="1:4" ht="15.75" customHeight="1">
      <c r="A8407" t="s">
        <v>3678</v>
      </c>
      <c r="B8407" t="s">
        <v>38</v>
      </c>
      <c r="C8407" t="s">
        <v>38</v>
      </c>
      <c r="D8407">
        <v>440</v>
      </c>
    </row>
    <row r="8408" spans="1:4" ht="15.75" customHeight="1">
      <c r="A8408" t="s">
        <v>1320</v>
      </c>
      <c r="B8408" t="s">
        <v>38</v>
      </c>
      <c r="C8408" t="s">
        <v>38</v>
      </c>
      <c r="D8408">
        <v>440</v>
      </c>
    </row>
    <row r="8409" spans="1:4" ht="15.75" customHeight="1">
      <c r="A8409" t="s">
        <v>638</v>
      </c>
      <c r="B8409" t="s">
        <v>38</v>
      </c>
      <c r="C8409" t="s">
        <v>38</v>
      </c>
      <c r="D8409">
        <v>439</v>
      </c>
    </row>
    <row r="8410" spans="1:4" ht="15.75" customHeight="1">
      <c r="A8410" t="s">
        <v>4081</v>
      </c>
      <c r="B8410" t="s">
        <v>38</v>
      </c>
      <c r="C8410" t="s">
        <v>38</v>
      </c>
      <c r="D8410">
        <v>439</v>
      </c>
    </row>
    <row r="8411" spans="1:4" ht="15.75" customHeight="1">
      <c r="A8411" t="s">
        <v>1377</v>
      </c>
      <c r="B8411" t="s">
        <v>38</v>
      </c>
      <c r="C8411" t="s">
        <v>38</v>
      </c>
      <c r="D8411">
        <v>439</v>
      </c>
    </row>
    <row r="8412" spans="1:4" ht="15.75" customHeight="1">
      <c r="A8412" t="s">
        <v>1425</v>
      </c>
      <c r="B8412" t="s">
        <v>38</v>
      </c>
      <c r="C8412" t="s">
        <v>38</v>
      </c>
      <c r="D8412">
        <v>438</v>
      </c>
    </row>
    <row r="8413" spans="1:4" ht="15.75" customHeight="1">
      <c r="A8413" t="s">
        <v>651</v>
      </c>
      <c r="B8413" t="s">
        <v>38</v>
      </c>
      <c r="C8413" t="s">
        <v>38</v>
      </c>
      <c r="D8413">
        <v>436</v>
      </c>
    </row>
    <row r="8414" spans="1:4" ht="15.75" customHeight="1">
      <c r="A8414" t="s">
        <v>2243</v>
      </c>
      <c r="B8414" t="s">
        <v>38</v>
      </c>
      <c r="C8414" t="s">
        <v>38</v>
      </c>
      <c r="D8414">
        <v>435</v>
      </c>
    </row>
    <row r="8415" spans="1:4" ht="15.75" customHeight="1">
      <c r="A8415" t="s">
        <v>4130</v>
      </c>
      <c r="B8415" t="s">
        <v>38</v>
      </c>
      <c r="C8415" t="s">
        <v>38</v>
      </c>
      <c r="D8415">
        <v>435</v>
      </c>
    </row>
    <row r="8416" spans="1:4" ht="15.75" customHeight="1">
      <c r="A8416" t="s">
        <v>436</v>
      </c>
      <c r="B8416" t="s">
        <v>38</v>
      </c>
      <c r="C8416" t="s">
        <v>38</v>
      </c>
      <c r="D8416">
        <v>435</v>
      </c>
    </row>
    <row r="8417" spans="1:4" ht="15.75" customHeight="1">
      <c r="A8417" t="s">
        <v>2707</v>
      </c>
      <c r="B8417" t="s">
        <v>38</v>
      </c>
      <c r="C8417" t="s">
        <v>38</v>
      </c>
      <c r="D8417">
        <v>432</v>
      </c>
    </row>
    <row r="8418" spans="1:4" ht="15.75" customHeight="1">
      <c r="A8418" t="s">
        <v>1416</v>
      </c>
      <c r="B8418" t="s">
        <v>38</v>
      </c>
      <c r="C8418" t="s">
        <v>38</v>
      </c>
      <c r="D8418">
        <v>431</v>
      </c>
    </row>
    <row r="8419" spans="1:4" ht="15.75" customHeight="1">
      <c r="A8419" t="s">
        <v>1791</v>
      </c>
      <c r="B8419" t="s">
        <v>38</v>
      </c>
      <c r="C8419" t="s">
        <v>38</v>
      </c>
      <c r="D8419">
        <v>430</v>
      </c>
    </row>
    <row r="8420" spans="1:4" ht="15.75" customHeight="1">
      <c r="A8420" t="s">
        <v>2110</v>
      </c>
      <c r="B8420" t="s">
        <v>38</v>
      </c>
      <c r="C8420" t="s">
        <v>38</v>
      </c>
      <c r="D8420">
        <v>430</v>
      </c>
    </row>
    <row r="8421" spans="1:4" ht="15.75" customHeight="1">
      <c r="A8421" t="s">
        <v>1404</v>
      </c>
      <c r="B8421" t="s">
        <v>38</v>
      </c>
      <c r="C8421" t="s">
        <v>38</v>
      </c>
      <c r="D8421">
        <v>428</v>
      </c>
    </row>
    <row r="8422" spans="1:4" ht="15.75" customHeight="1">
      <c r="A8422" t="s">
        <v>445</v>
      </c>
      <c r="B8422" t="s">
        <v>38</v>
      </c>
      <c r="C8422" t="s">
        <v>38</v>
      </c>
      <c r="D8422">
        <v>428</v>
      </c>
    </row>
    <row r="8423" spans="1:4" ht="15.75" customHeight="1">
      <c r="A8423" t="s">
        <v>666</v>
      </c>
      <c r="B8423" t="s">
        <v>38</v>
      </c>
      <c r="C8423" t="s">
        <v>38</v>
      </c>
      <c r="D8423">
        <v>428</v>
      </c>
    </row>
    <row r="8424" spans="1:4" ht="15.75" customHeight="1">
      <c r="A8424" t="s">
        <v>702</v>
      </c>
      <c r="B8424" t="s">
        <v>38</v>
      </c>
      <c r="C8424" t="s">
        <v>38</v>
      </c>
      <c r="D8424">
        <v>427</v>
      </c>
    </row>
    <row r="8425" spans="1:4" ht="15.75" customHeight="1">
      <c r="A8425" t="s">
        <v>4386</v>
      </c>
      <c r="B8425" t="s">
        <v>38</v>
      </c>
      <c r="C8425" t="s">
        <v>38</v>
      </c>
      <c r="D8425">
        <v>426</v>
      </c>
    </row>
    <row r="8426" spans="1:4" ht="15.75" customHeight="1">
      <c r="A8426" t="s">
        <v>1304</v>
      </c>
      <c r="B8426" t="s">
        <v>38</v>
      </c>
      <c r="C8426" t="s">
        <v>38</v>
      </c>
      <c r="D8426">
        <v>425</v>
      </c>
    </row>
    <row r="8427" spans="1:4" ht="15.75" customHeight="1">
      <c r="A8427" t="s">
        <v>2253</v>
      </c>
      <c r="B8427" t="s">
        <v>38</v>
      </c>
      <c r="C8427" t="s">
        <v>38</v>
      </c>
      <c r="D8427">
        <v>424</v>
      </c>
    </row>
    <row r="8428" spans="1:4" ht="15.75" customHeight="1">
      <c r="A8428" t="s">
        <v>1267</v>
      </c>
      <c r="B8428" t="s">
        <v>38</v>
      </c>
      <c r="C8428" t="s">
        <v>38</v>
      </c>
      <c r="D8428">
        <v>424</v>
      </c>
    </row>
    <row r="8429" spans="1:4" ht="15.75" customHeight="1">
      <c r="A8429" t="s">
        <v>1748</v>
      </c>
      <c r="B8429" t="s">
        <v>38</v>
      </c>
      <c r="C8429" t="s">
        <v>38</v>
      </c>
      <c r="D8429">
        <v>422</v>
      </c>
    </row>
    <row r="8430" spans="1:4" ht="15.75" customHeight="1">
      <c r="A8430" t="s">
        <v>2737</v>
      </c>
      <c r="B8430" t="s">
        <v>38</v>
      </c>
      <c r="C8430" t="s">
        <v>38</v>
      </c>
      <c r="D8430">
        <v>421</v>
      </c>
    </row>
    <row r="8431" spans="1:4" ht="15.75" customHeight="1">
      <c r="A8431" t="s">
        <v>494</v>
      </c>
      <c r="B8431" t="s">
        <v>38</v>
      </c>
      <c r="C8431" t="s">
        <v>38</v>
      </c>
      <c r="D8431">
        <v>421</v>
      </c>
    </row>
    <row r="8432" spans="1:4" ht="15.75" customHeight="1">
      <c r="A8432" t="s">
        <v>3148</v>
      </c>
      <c r="B8432" t="s">
        <v>38</v>
      </c>
      <c r="C8432" t="s">
        <v>38</v>
      </c>
      <c r="D8432">
        <v>421</v>
      </c>
    </row>
    <row r="8433" spans="1:4" ht="15.75" customHeight="1">
      <c r="A8433" t="s">
        <v>644</v>
      </c>
      <c r="B8433" t="s">
        <v>38</v>
      </c>
      <c r="C8433" t="s">
        <v>38</v>
      </c>
      <c r="D8433">
        <v>420</v>
      </c>
    </row>
    <row r="8434" spans="1:4" ht="15.75" customHeight="1">
      <c r="A8434" t="s">
        <v>521</v>
      </c>
      <c r="B8434" t="s">
        <v>38</v>
      </c>
      <c r="C8434" t="s">
        <v>38</v>
      </c>
      <c r="D8434">
        <v>418</v>
      </c>
    </row>
    <row r="8435" spans="1:4" ht="15.75" customHeight="1">
      <c r="A8435" t="s">
        <v>4430</v>
      </c>
      <c r="B8435" t="s">
        <v>38</v>
      </c>
      <c r="C8435" t="s">
        <v>38</v>
      </c>
      <c r="D8435">
        <v>418</v>
      </c>
    </row>
    <row r="8436" spans="1:4" ht="15.75" customHeight="1">
      <c r="A8436" t="s">
        <v>4128</v>
      </c>
      <c r="B8436" t="s">
        <v>38</v>
      </c>
      <c r="C8436" t="s">
        <v>38</v>
      </c>
      <c r="D8436">
        <v>417</v>
      </c>
    </row>
    <row r="8437" spans="1:4" ht="15.75" customHeight="1">
      <c r="A8437" t="s">
        <v>690</v>
      </c>
      <c r="B8437" t="s">
        <v>38</v>
      </c>
      <c r="C8437" t="s">
        <v>38</v>
      </c>
      <c r="D8437">
        <v>416</v>
      </c>
    </row>
    <row r="8438" spans="1:4" ht="15.75" customHeight="1">
      <c r="A8438" t="s">
        <v>2860</v>
      </c>
      <c r="B8438" t="s">
        <v>38</v>
      </c>
      <c r="C8438" t="s">
        <v>38</v>
      </c>
      <c r="D8438">
        <v>415</v>
      </c>
    </row>
    <row r="8439" spans="1:4" ht="15.75" customHeight="1">
      <c r="A8439" t="s">
        <v>697</v>
      </c>
      <c r="B8439" t="s">
        <v>38</v>
      </c>
      <c r="C8439" t="s">
        <v>38</v>
      </c>
      <c r="D8439">
        <v>415</v>
      </c>
    </row>
    <row r="8440" spans="1:4" ht="15.75" customHeight="1">
      <c r="A8440" t="s">
        <v>1721</v>
      </c>
      <c r="B8440" t="s">
        <v>38</v>
      </c>
      <c r="C8440" t="s">
        <v>38</v>
      </c>
      <c r="D8440">
        <v>413</v>
      </c>
    </row>
    <row r="8441" spans="1:4" ht="15.75" customHeight="1">
      <c r="A8441" t="s">
        <v>1328</v>
      </c>
      <c r="B8441" t="s">
        <v>38</v>
      </c>
      <c r="C8441" t="s">
        <v>38</v>
      </c>
      <c r="D8441">
        <v>411</v>
      </c>
    </row>
    <row r="8442" spans="1:4" ht="15.75" customHeight="1">
      <c r="A8442" t="s">
        <v>4132</v>
      </c>
      <c r="B8442" t="s">
        <v>38</v>
      </c>
      <c r="C8442" t="s">
        <v>38</v>
      </c>
      <c r="D8442">
        <v>408</v>
      </c>
    </row>
    <row r="8443" spans="1:4" ht="15.75" customHeight="1">
      <c r="A8443" t="s">
        <v>3703</v>
      </c>
      <c r="B8443" t="s">
        <v>38</v>
      </c>
      <c r="C8443" t="s">
        <v>38</v>
      </c>
      <c r="D8443">
        <v>407</v>
      </c>
    </row>
    <row r="8444" spans="1:4" ht="15.75" customHeight="1">
      <c r="A8444" t="s">
        <v>2750</v>
      </c>
      <c r="B8444" t="s">
        <v>38</v>
      </c>
      <c r="C8444" t="s">
        <v>38</v>
      </c>
      <c r="D8444">
        <v>406</v>
      </c>
    </row>
    <row r="8445" spans="1:4" ht="15.75" customHeight="1">
      <c r="A8445" t="s">
        <v>1449</v>
      </c>
      <c r="B8445" t="s">
        <v>38</v>
      </c>
      <c r="C8445" t="s">
        <v>38</v>
      </c>
      <c r="D8445">
        <v>405</v>
      </c>
    </row>
    <row r="8446" spans="1:4" ht="15.75" customHeight="1">
      <c r="A8446" t="s">
        <v>1768</v>
      </c>
      <c r="B8446" t="s">
        <v>38</v>
      </c>
      <c r="C8446" t="s">
        <v>38</v>
      </c>
      <c r="D8446">
        <v>405</v>
      </c>
    </row>
    <row r="8447" spans="1:4" ht="15.75" customHeight="1">
      <c r="A8447" t="s">
        <v>1307</v>
      </c>
      <c r="B8447" t="s">
        <v>38</v>
      </c>
      <c r="C8447" t="s">
        <v>38</v>
      </c>
      <c r="D8447">
        <v>403</v>
      </c>
    </row>
    <row r="8448" spans="1:4" ht="15.75" customHeight="1">
      <c r="A8448" t="s">
        <v>4120</v>
      </c>
      <c r="B8448" t="s">
        <v>38</v>
      </c>
      <c r="C8448" t="s">
        <v>38</v>
      </c>
      <c r="D8448">
        <v>403</v>
      </c>
    </row>
    <row r="8449" spans="1:4" ht="15.75" customHeight="1">
      <c r="A8449" t="s">
        <v>1316</v>
      </c>
      <c r="B8449" t="s">
        <v>38</v>
      </c>
      <c r="C8449" t="s">
        <v>38</v>
      </c>
      <c r="D8449">
        <v>403</v>
      </c>
    </row>
    <row r="8450" spans="1:4" ht="15.75" customHeight="1">
      <c r="A8450" t="s">
        <v>1369</v>
      </c>
      <c r="B8450" t="s">
        <v>38</v>
      </c>
      <c r="C8450" t="s">
        <v>38</v>
      </c>
      <c r="D8450">
        <v>402</v>
      </c>
    </row>
    <row r="8451" spans="1:4" ht="15.75" customHeight="1">
      <c r="A8451" t="s">
        <v>2742</v>
      </c>
      <c r="B8451" t="s">
        <v>38</v>
      </c>
      <c r="C8451" t="s">
        <v>38</v>
      </c>
      <c r="D8451">
        <v>402</v>
      </c>
    </row>
    <row r="8452" spans="1:4" ht="15.75" customHeight="1">
      <c r="A8452" t="s">
        <v>3695</v>
      </c>
      <c r="B8452" t="s">
        <v>38</v>
      </c>
      <c r="C8452" t="s">
        <v>38</v>
      </c>
      <c r="D8452">
        <v>401</v>
      </c>
    </row>
    <row r="8453" spans="1:4" ht="15.75" customHeight="1">
      <c r="A8453" t="s">
        <v>4758</v>
      </c>
      <c r="B8453" t="s">
        <v>38</v>
      </c>
      <c r="C8453" t="s">
        <v>38</v>
      </c>
      <c r="D8453">
        <v>400</v>
      </c>
    </row>
    <row r="8454" spans="1:4" ht="15.75" customHeight="1">
      <c r="A8454" t="s">
        <v>3171</v>
      </c>
      <c r="B8454" t="s">
        <v>38</v>
      </c>
      <c r="C8454" t="s">
        <v>38</v>
      </c>
      <c r="D8454">
        <v>399</v>
      </c>
    </row>
    <row r="8455" spans="1:4" ht="15.75" customHeight="1">
      <c r="A8455" t="s">
        <v>2732</v>
      </c>
      <c r="B8455" t="s">
        <v>38</v>
      </c>
      <c r="C8455" t="s">
        <v>38</v>
      </c>
      <c r="D8455">
        <v>398</v>
      </c>
    </row>
    <row r="8456" spans="1:4" ht="15.75" customHeight="1">
      <c r="A8456" t="s">
        <v>1730</v>
      </c>
      <c r="B8456" t="s">
        <v>38</v>
      </c>
      <c r="C8456" t="s">
        <v>38</v>
      </c>
      <c r="D8456">
        <v>397</v>
      </c>
    </row>
    <row r="8457" spans="1:4" ht="15.75" customHeight="1">
      <c r="A8457" t="s">
        <v>4813</v>
      </c>
      <c r="B8457" t="s">
        <v>38</v>
      </c>
      <c r="C8457" t="s">
        <v>38</v>
      </c>
      <c r="D8457">
        <v>395</v>
      </c>
    </row>
    <row r="8458" spans="1:4" ht="15.75" customHeight="1">
      <c r="A8458" t="s">
        <v>4389</v>
      </c>
      <c r="B8458" t="s">
        <v>38</v>
      </c>
      <c r="C8458" t="s">
        <v>38</v>
      </c>
      <c r="D8458">
        <v>394</v>
      </c>
    </row>
    <row r="8459" spans="1:4" ht="15.75" customHeight="1">
      <c r="A8459" t="s">
        <v>1349</v>
      </c>
      <c r="B8459" t="s">
        <v>38</v>
      </c>
      <c r="C8459" t="s">
        <v>38</v>
      </c>
      <c r="D8459">
        <v>393</v>
      </c>
    </row>
    <row r="8460" spans="1:4" ht="15.75" customHeight="1">
      <c r="A8460" t="s">
        <v>1436</v>
      </c>
      <c r="B8460" t="s">
        <v>38</v>
      </c>
      <c r="C8460" t="s">
        <v>38</v>
      </c>
      <c r="D8460">
        <v>388</v>
      </c>
    </row>
    <row r="8461" spans="1:4" ht="15.75" customHeight="1">
      <c r="A8461" t="s">
        <v>468</v>
      </c>
      <c r="B8461" t="s">
        <v>38</v>
      </c>
      <c r="C8461" t="s">
        <v>38</v>
      </c>
      <c r="D8461">
        <v>388</v>
      </c>
    </row>
    <row r="8462" spans="1:4" ht="15.75" customHeight="1">
      <c r="A8462" t="s">
        <v>4087</v>
      </c>
      <c r="B8462" t="s">
        <v>38</v>
      </c>
      <c r="C8462" t="s">
        <v>38</v>
      </c>
      <c r="D8462">
        <v>388</v>
      </c>
    </row>
    <row r="8463" spans="1:4" ht="15.75" customHeight="1">
      <c r="A8463" t="s">
        <v>4807</v>
      </c>
      <c r="B8463" t="s">
        <v>38</v>
      </c>
      <c r="C8463" t="s">
        <v>38</v>
      </c>
      <c r="D8463">
        <v>387</v>
      </c>
    </row>
    <row r="8464" spans="1:4" ht="15.75" customHeight="1">
      <c r="A8464" t="s">
        <v>3188</v>
      </c>
      <c r="B8464" t="s">
        <v>38</v>
      </c>
      <c r="C8464" t="s">
        <v>38</v>
      </c>
      <c r="D8464">
        <v>387</v>
      </c>
    </row>
    <row r="8465" spans="1:4" ht="15.75" customHeight="1">
      <c r="A8465" t="s">
        <v>669</v>
      </c>
      <c r="B8465" t="s">
        <v>38</v>
      </c>
      <c r="C8465" t="s">
        <v>38</v>
      </c>
      <c r="D8465">
        <v>387</v>
      </c>
    </row>
    <row r="8466" spans="1:4" ht="15.75" customHeight="1">
      <c r="A8466" t="s">
        <v>3615</v>
      </c>
      <c r="B8466" t="s">
        <v>38</v>
      </c>
      <c r="C8466" t="s">
        <v>38</v>
      </c>
      <c r="D8466">
        <v>386</v>
      </c>
    </row>
    <row r="8467" spans="1:4" ht="15.75" customHeight="1">
      <c r="A8467" t="s">
        <v>2201</v>
      </c>
      <c r="B8467" t="s">
        <v>38</v>
      </c>
      <c r="C8467" t="s">
        <v>38</v>
      </c>
      <c r="D8467">
        <v>385</v>
      </c>
    </row>
    <row r="8468" spans="1:4" ht="15.75" customHeight="1">
      <c r="A8468" t="s">
        <v>1407</v>
      </c>
      <c r="B8468" t="s">
        <v>38</v>
      </c>
      <c r="C8468" t="s">
        <v>38</v>
      </c>
      <c r="D8468">
        <v>385</v>
      </c>
    </row>
    <row r="8469" spans="1:4" ht="15.75" customHeight="1">
      <c r="A8469" t="s">
        <v>1258</v>
      </c>
      <c r="B8469" t="s">
        <v>38</v>
      </c>
      <c r="C8469" t="s">
        <v>38</v>
      </c>
      <c r="D8469">
        <v>385</v>
      </c>
    </row>
    <row r="8470" spans="1:4" ht="15.75" customHeight="1">
      <c r="A8470" t="s">
        <v>2267</v>
      </c>
      <c r="B8470" t="s">
        <v>38</v>
      </c>
      <c r="C8470" t="s">
        <v>38</v>
      </c>
      <c r="D8470">
        <v>384</v>
      </c>
    </row>
    <row r="8471" spans="1:4" ht="15.75" customHeight="1">
      <c r="A8471" t="s">
        <v>4392</v>
      </c>
      <c r="B8471" t="s">
        <v>38</v>
      </c>
      <c r="C8471" t="s">
        <v>38</v>
      </c>
      <c r="D8471">
        <v>384</v>
      </c>
    </row>
    <row r="8472" spans="1:4" ht="15.75" customHeight="1">
      <c r="A8472" t="s">
        <v>4777</v>
      </c>
      <c r="B8472" t="s">
        <v>38</v>
      </c>
      <c r="C8472" t="s">
        <v>38</v>
      </c>
      <c r="D8472">
        <v>384</v>
      </c>
    </row>
    <row r="8473" spans="1:4" ht="15.75" customHeight="1">
      <c r="A8473" t="s">
        <v>1430</v>
      </c>
      <c r="B8473" t="s">
        <v>38</v>
      </c>
      <c r="C8473" t="s">
        <v>38</v>
      </c>
      <c r="D8473">
        <v>382</v>
      </c>
    </row>
    <row r="8474" spans="1:4" ht="15.75" customHeight="1">
      <c r="A8474" t="s">
        <v>2240</v>
      </c>
      <c r="B8474" t="s">
        <v>38</v>
      </c>
      <c r="C8474" t="s">
        <v>38</v>
      </c>
      <c r="D8474">
        <v>382</v>
      </c>
    </row>
    <row r="8475" spans="1:4" ht="15.75" customHeight="1">
      <c r="A8475" t="s">
        <v>1354</v>
      </c>
      <c r="B8475" t="s">
        <v>38</v>
      </c>
      <c r="C8475" t="s">
        <v>38</v>
      </c>
      <c r="D8475">
        <v>382</v>
      </c>
    </row>
    <row r="8476" spans="1:4" ht="15.75" customHeight="1">
      <c r="A8476" t="s">
        <v>1734</v>
      </c>
      <c r="B8476" t="s">
        <v>38</v>
      </c>
      <c r="C8476" t="s">
        <v>38</v>
      </c>
      <c r="D8476">
        <v>381</v>
      </c>
    </row>
    <row r="8477" spans="1:4" ht="15.75" customHeight="1">
      <c r="A8477" t="s">
        <v>4397</v>
      </c>
      <c r="B8477" t="s">
        <v>38</v>
      </c>
      <c r="C8477" t="s">
        <v>38</v>
      </c>
      <c r="D8477">
        <v>381</v>
      </c>
    </row>
    <row r="8478" spans="1:4" ht="15.75" customHeight="1">
      <c r="A8478" t="s">
        <v>2247</v>
      </c>
      <c r="B8478" t="s">
        <v>38</v>
      </c>
      <c r="C8478" t="s">
        <v>38</v>
      </c>
      <c r="D8478">
        <v>381</v>
      </c>
    </row>
    <row r="8479" spans="1:4" ht="15.75" customHeight="1">
      <c r="A8479" t="s">
        <v>2251</v>
      </c>
      <c r="B8479" t="s">
        <v>38</v>
      </c>
      <c r="C8479" t="s">
        <v>38</v>
      </c>
      <c r="D8479">
        <v>378</v>
      </c>
    </row>
    <row r="8480" spans="1:4" ht="15.75" customHeight="1">
      <c r="A8480" t="s">
        <v>4099</v>
      </c>
      <c r="B8480" t="s">
        <v>38</v>
      </c>
      <c r="C8480" t="s">
        <v>38</v>
      </c>
      <c r="D8480">
        <v>378</v>
      </c>
    </row>
    <row r="8481" spans="1:4" ht="15.75" customHeight="1">
      <c r="A8481" t="s">
        <v>1434</v>
      </c>
      <c r="B8481" t="s">
        <v>38</v>
      </c>
      <c r="C8481" t="s">
        <v>38</v>
      </c>
      <c r="D8481">
        <v>377</v>
      </c>
    </row>
    <row r="8482" spans="1:4" ht="15.75" customHeight="1">
      <c r="A8482" t="s">
        <v>582</v>
      </c>
      <c r="B8482" t="s">
        <v>38</v>
      </c>
      <c r="C8482" t="s">
        <v>38</v>
      </c>
      <c r="D8482">
        <v>377</v>
      </c>
    </row>
    <row r="8483" spans="1:4" ht="15.75" customHeight="1">
      <c r="A8483" t="s">
        <v>2095</v>
      </c>
      <c r="B8483" t="s">
        <v>38</v>
      </c>
      <c r="C8483" t="s">
        <v>38</v>
      </c>
      <c r="D8483">
        <v>377</v>
      </c>
    </row>
    <row r="8484" spans="1:4" ht="15.75" customHeight="1">
      <c r="A8484" t="s">
        <v>4819</v>
      </c>
      <c r="B8484" t="s">
        <v>38</v>
      </c>
      <c r="C8484" t="s">
        <v>38</v>
      </c>
      <c r="D8484">
        <v>376</v>
      </c>
    </row>
    <row r="8485" spans="1:4" ht="15.75" customHeight="1">
      <c r="A8485" t="s">
        <v>1750</v>
      </c>
      <c r="B8485" t="s">
        <v>38</v>
      </c>
      <c r="C8485" t="s">
        <v>38</v>
      </c>
      <c r="D8485">
        <v>376</v>
      </c>
    </row>
    <row r="8486" spans="1:4" ht="15.75" customHeight="1">
      <c r="A8486" t="s">
        <v>1421</v>
      </c>
      <c r="B8486" t="s">
        <v>38</v>
      </c>
      <c r="C8486" t="s">
        <v>38</v>
      </c>
      <c r="D8486">
        <v>375</v>
      </c>
    </row>
    <row r="8487" spans="1:4" ht="15.75" customHeight="1">
      <c r="A8487" t="s">
        <v>4399</v>
      </c>
      <c r="B8487" t="s">
        <v>38</v>
      </c>
      <c r="C8487" t="s">
        <v>38</v>
      </c>
      <c r="D8487">
        <v>374</v>
      </c>
    </row>
    <row r="8488" spans="1:4" ht="15.75" customHeight="1">
      <c r="A8488" t="s">
        <v>2853</v>
      </c>
      <c r="B8488" t="s">
        <v>38</v>
      </c>
      <c r="C8488" t="s">
        <v>38</v>
      </c>
      <c r="D8488">
        <v>374</v>
      </c>
    </row>
    <row r="8489" spans="1:4" ht="15.75" customHeight="1">
      <c r="A8489" t="s">
        <v>3266</v>
      </c>
      <c r="B8489" t="s">
        <v>38</v>
      </c>
      <c r="C8489" t="s">
        <v>38</v>
      </c>
      <c r="D8489">
        <v>374</v>
      </c>
    </row>
    <row r="8490" spans="1:4" ht="15.75" customHeight="1">
      <c r="A8490" t="s">
        <v>1728</v>
      </c>
      <c r="B8490" t="s">
        <v>38</v>
      </c>
      <c r="C8490" t="s">
        <v>38</v>
      </c>
      <c r="D8490">
        <v>373</v>
      </c>
    </row>
    <row r="8491" spans="1:4" ht="15.75" customHeight="1">
      <c r="A8491" t="s">
        <v>2117</v>
      </c>
      <c r="B8491" t="s">
        <v>38</v>
      </c>
      <c r="C8491" t="s">
        <v>38</v>
      </c>
      <c r="D8491">
        <v>373</v>
      </c>
    </row>
    <row r="8492" spans="1:4" ht="15.75" customHeight="1">
      <c r="A8492" t="s">
        <v>1423</v>
      </c>
      <c r="B8492" t="s">
        <v>38</v>
      </c>
      <c r="C8492" t="s">
        <v>38</v>
      </c>
      <c r="D8492">
        <v>372</v>
      </c>
    </row>
    <row r="8493" spans="1:4" ht="15.75" customHeight="1">
      <c r="A8493" t="s">
        <v>1742</v>
      </c>
      <c r="B8493" t="s">
        <v>38</v>
      </c>
      <c r="C8493" t="s">
        <v>38</v>
      </c>
      <c r="D8493">
        <v>372</v>
      </c>
    </row>
    <row r="8494" spans="1:4" ht="15.75" customHeight="1">
      <c r="A8494" t="s">
        <v>3236</v>
      </c>
      <c r="B8494" t="s">
        <v>38</v>
      </c>
      <c r="C8494" t="s">
        <v>38</v>
      </c>
      <c r="D8494">
        <v>371</v>
      </c>
    </row>
    <row r="8495" spans="1:4" ht="15.75" customHeight="1">
      <c r="A8495" t="s">
        <v>3252</v>
      </c>
      <c r="B8495" t="s">
        <v>38</v>
      </c>
      <c r="C8495" t="s">
        <v>38</v>
      </c>
      <c r="D8495">
        <v>371</v>
      </c>
    </row>
    <row r="8496" spans="1:4" ht="15.75" customHeight="1">
      <c r="A8496" t="s">
        <v>1325</v>
      </c>
      <c r="B8496" t="s">
        <v>38</v>
      </c>
      <c r="C8496" t="s">
        <v>38</v>
      </c>
      <c r="D8496">
        <v>370</v>
      </c>
    </row>
    <row r="8497" spans="1:4" ht="15.75" customHeight="1">
      <c r="A8497" t="s">
        <v>2857</v>
      </c>
      <c r="B8497" t="s">
        <v>38</v>
      </c>
      <c r="C8497" t="s">
        <v>38</v>
      </c>
      <c r="D8497">
        <v>370</v>
      </c>
    </row>
    <row r="8498" spans="1:4" ht="15.75" customHeight="1">
      <c r="A8498" t="s">
        <v>573</v>
      </c>
      <c r="B8498" t="s">
        <v>38</v>
      </c>
      <c r="C8498" t="s">
        <v>38</v>
      </c>
      <c r="D8498">
        <v>369</v>
      </c>
    </row>
    <row r="8499" spans="1:4" ht="15.75" customHeight="1">
      <c r="A8499" t="s">
        <v>1453</v>
      </c>
      <c r="B8499" t="s">
        <v>38</v>
      </c>
      <c r="C8499" t="s">
        <v>38</v>
      </c>
      <c r="D8499">
        <v>368</v>
      </c>
    </row>
    <row r="8500" spans="1:4" ht="15.75" customHeight="1">
      <c r="A8500" t="s">
        <v>4833</v>
      </c>
      <c r="B8500" t="s">
        <v>38</v>
      </c>
      <c r="C8500" t="s">
        <v>38</v>
      </c>
      <c r="D8500">
        <v>368</v>
      </c>
    </row>
    <row r="8501" spans="1:4" ht="15.75" customHeight="1">
      <c r="A8501" t="s">
        <v>1716</v>
      </c>
      <c r="B8501" t="s">
        <v>38</v>
      </c>
      <c r="C8501" t="s">
        <v>38</v>
      </c>
      <c r="D8501">
        <v>367</v>
      </c>
    </row>
    <row r="8502" spans="1:4" ht="15.75" customHeight="1">
      <c r="A8502" t="s">
        <v>653</v>
      </c>
      <c r="B8502" t="s">
        <v>38</v>
      </c>
      <c r="C8502" t="s">
        <v>38</v>
      </c>
      <c r="D8502">
        <v>366</v>
      </c>
    </row>
    <row r="8503" spans="1:4" ht="15.75" customHeight="1">
      <c r="A8503" t="s">
        <v>4115</v>
      </c>
      <c r="B8503" t="s">
        <v>38</v>
      </c>
      <c r="C8503" t="s">
        <v>38</v>
      </c>
      <c r="D8503">
        <v>366</v>
      </c>
    </row>
    <row r="8504" spans="1:4" ht="15.75" customHeight="1">
      <c r="A8504" t="s">
        <v>4072</v>
      </c>
      <c r="B8504" t="s">
        <v>38</v>
      </c>
      <c r="C8504" t="s">
        <v>38</v>
      </c>
      <c r="D8504">
        <v>365</v>
      </c>
    </row>
    <row r="8505" spans="1:4" ht="15.75" customHeight="1">
      <c r="A8505" t="s">
        <v>480</v>
      </c>
      <c r="B8505" t="s">
        <v>38</v>
      </c>
      <c r="C8505" t="s">
        <v>38</v>
      </c>
      <c r="D8505">
        <v>363</v>
      </c>
    </row>
    <row r="8506" spans="1:4" ht="15.75" customHeight="1">
      <c r="A8506" t="s">
        <v>1380</v>
      </c>
      <c r="B8506" t="s">
        <v>38</v>
      </c>
      <c r="C8506" t="s">
        <v>38</v>
      </c>
      <c r="D8506">
        <v>362</v>
      </c>
    </row>
    <row r="8507" spans="1:4" ht="15.75" customHeight="1">
      <c r="A8507" t="s">
        <v>3611</v>
      </c>
      <c r="B8507" t="s">
        <v>38</v>
      </c>
      <c r="C8507" t="s">
        <v>38</v>
      </c>
      <c r="D8507">
        <v>362</v>
      </c>
    </row>
    <row r="8508" spans="1:4" ht="15.75" customHeight="1">
      <c r="A8508" t="s">
        <v>684</v>
      </c>
      <c r="B8508" t="s">
        <v>38</v>
      </c>
      <c r="C8508" t="s">
        <v>38</v>
      </c>
      <c r="D8508">
        <v>361</v>
      </c>
    </row>
    <row r="8509" spans="1:4" ht="15.75" customHeight="1">
      <c r="A8509" t="s">
        <v>4077</v>
      </c>
      <c r="B8509" t="s">
        <v>38</v>
      </c>
      <c r="C8509" t="s">
        <v>38</v>
      </c>
      <c r="D8509">
        <v>361</v>
      </c>
    </row>
    <row r="8510" spans="1:4" ht="15.75" customHeight="1">
      <c r="A8510" t="s">
        <v>1366</v>
      </c>
      <c r="B8510" t="s">
        <v>38</v>
      </c>
      <c r="C8510" t="s">
        <v>38</v>
      </c>
      <c r="D8510">
        <v>360</v>
      </c>
    </row>
    <row r="8511" spans="1:4" ht="15.75" customHeight="1">
      <c r="A8511" t="s">
        <v>4790</v>
      </c>
      <c r="B8511" t="s">
        <v>38</v>
      </c>
      <c r="C8511" t="s">
        <v>38</v>
      </c>
      <c r="D8511">
        <v>360</v>
      </c>
    </row>
    <row r="8512" spans="1:4" ht="15.75" customHeight="1">
      <c r="A8512" t="s">
        <v>2261</v>
      </c>
      <c r="B8512" t="s">
        <v>38</v>
      </c>
      <c r="C8512" t="s">
        <v>38</v>
      </c>
      <c r="D8512">
        <v>358</v>
      </c>
    </row>
    <row r="8513" spans="1:4" ht="15.75" customHeight="1">
      <c r="A8513" t="s">
        <v>2762</v>
      </c>
      <c r="B8513" t="s">
        <v>38</v>
      </c>
      <c r="C8513" t="s">
        <v>38</v>
      </c>
      <c r="D8513">
        <v>357</v>
      </c>
    </row>
    <row r="8514" spans="1:4" ht="15.75" customHeight="1">
      <c r="A8514" t="s">
        <v>2186</v>
      </c>
      <c r="B8514" t="s">
        <v>38</v>
      </c>
      <c r="C8514" t="s">
        <v>38</v>
      </c>
      <c r="D8514">
        <v>357</v>
      </c>
    </row>
    <row r="8515" spans="1:4" ht="15.75" customHeight="1">
      <c r="A8515" t="s">
        <v>3707</v>
      </c>
      <c r="B8515" t="s">
        <v>38</v>
      </c>
      <c r="C8515" t="s">
        <v>38</v>
      </c>
      <c r="D8515">
        <v>357</v>
      </c>
    </row>
    <row r="8516" spans="1:4" ht="15.75" customHeight="1">
      <c r="A8516" t="s">
        <v>4825</v>
      </c>
      <c r="B8516" t="s">
        <v>38</v>
      </c>
      <c r="C8516" t="s">
        <v>38</v>
      </c>
      <c r="D8516">
        <v>356</v>
      </c>
    </row>
    <row r="8517" spans="1:4" ht="15.75" customHeight="1">
      <c r="A8517" t="s">
        <v>1334</v>
      </c>
      <c r="B8517" t="s">
        <v>38</v>
      </c>
      <c r="C8517" t="s">
        <v>38</v>
      </c>
      <c r="D8517">
        <v>356</v>
      </c>
    </row>
    <row r="8518" spans="1:4" ht="15.75" customHeight="1">
      <c r="A8518" t="s">
        <v>1313</v>
      </c>
      <c r="B8518" t="s">
        <v>38</v>
      </c>
      <c r="C8518" t="s">
        <v>38</v>
      </c>
      <c r="D8518">
        <v>355</v>
      </c>
    </row>
    <row r="8519" spans="1:4" ht="15.75" customHeight="1">
      <c r="A8519" t="s">
        <v>4394</v>
      </c>
      <c r="B8519" t="s">
        <v>38</v>
      </c>
      <c r="C8519" t="s">
        <v>38</v>
      </c>
      <c r="D8519">
        <v>355</v>
      </c>
    </row>
    <row r="8520" spans="1:4" ht="15.75" customHeight="1">
      <c r="A8520" t="s">
        <v>570</v>
      </c>
      <c r="B8520" t="s">
        <v>38</v>
      </c>
      <c r="C8520" t="s">
        <v>38</v>
      </c>
      <c r="D8520">
        <v>355</v>
      </c>
    </row>
    <row r="8521" spans="1:4" ht="15.75" customHeight="1">
      <c r="A8521" t="s">
        <v>2193</v>
      </c>
      <c r="B8521" t="s">
        <v>38</v>
      </c>
      <c r="C8521" t="s">
        <v>38</v>
      </c>
      <c r="D8521">
        <v>354</v>
      </c>
    </row>
    <row r="8522" spans="1:4" ht="15.75" customHeight="1">
      <c r="A8522" t="s">
        <v>579</v>
      </c>
      <c r="B8522" t="s">
        <v>38</v>
      </c>
      <c r="C8522" t="s">
        <v>38</v>
      </c>
      <c r="D8522">
        <v>354</v>
      </c>
    </row>
    <row r="8523" spans="1:4" ht="15.75" customHeight="1">
      <c r="A8523" t="s">
        <v>1253</v>
      </c>
      <c r="B8523" t="s">
        <v>38</v>
      </c>
      <c r="C8523" t="s">
        <v>38</v>
      </c>
      <c r="D8523">
        <v>353</v>
      </c>
    </row>
    <row r="8524" spans="1:4" ht="15.75" customHeight="1">
      <c r="A8524" t="s">
        <v>1310</v>
      </c>
      <c r="B8524" t="s">
        <v>38</v>
      </c>
      <c r="C8524" t="s">
        <v>38</v>
      </c>
      <c r="D8524">
        <v>353</v>
      </c>
    </row>
    <row r="8525" spans="1:4" ht="15.75" customHeight="1">
      <c r="A8525" t="s">
        <v>1444</v>
      </c>
      <c r="B8525" t="s">
        <v>38</v>
      </c>
      <c r="C8525" t="s">
        <v>38</v>
      </c>
      <c r="D8525">
        <v>353</v>
      </c>
    </row>
    <row r="8526" spans="1:4" ht="15.75" customHeight="1">
      <c r="A8526" t="s">
        <v>4821</v>
      </c>
      <c r="B8526" t="s">
        <v>38</v>
      </c>
      <c r="C8526" t="s">
        <v>38</v>
      </c>
      <c r="D8526">
        <v>353</v>
      </c>
    </row>
    <row r="8527" spans="1:4" ht="15.75" customHeight="1">
      <c r="A8527" t="s">
        <v>2256</v>
      </c>
      <c r="B8527" t="s">
        <v>38</v>
      </c>
      <c r="C8527" t="s">
        <v>38</v>
      </c>
      <c r="D8527">
        <v>352</v>
      </c>
    </row>
    <row r="8528" spans="1:4" ht="15.75" customHeight="1">
      <c r="A8528" t="s">
        <v>530</v>
      </c>
      <c r="B8528" t="s">
        <v>38</v>
      </c>
      <c r="C8528" t="s">
        <v>38</v>
      </c>
      <c r="D8528">
        <v>351</v>
      </c>
    </row>
    <row r="8529" spans="1:4" ht="15.75" customHeight="1">
      <c r="A8529" t="s">
        <v>3211</v>
      </c>
      <c r="B8529" t="s">
        <v>38</v>
      </c>
      <c r="C8529" t="s">
        <v>38</v>
      </c>
      <c r="D8529">
        <v>351</v>
      </c>
    </row>
    <row r="8530" spans="1:4" ht="15.75" customHeight="1">
      <c r="A8530" t="s">
        <v>2710</v>
      </c>
      <c r="B8530" t="s">
        <v>38</v>
      </c>
      <c r="C8530" t="s">
        <v>38</v>
      </c>
      <c r="D8530">
        <v>351</v>
      </c>
    </row>
    <row r="8531" spans="1:4" ht="15.75" customHeight="1">
      <c r="A8531" t="s">
        <v>4712</v>
      </c>
      <c r="B8531" t="s">
        <v>38</v>
      </c>
      <c r="C8531" t="s">
        <v>38</v>
      </c>
      <c r="D8531">
        <v>351</v>
      </c>
    </row>
    <row r="8532" spans="1:4" ht="15.75" customHeight="1">
      <c r="A8532" t="s">
        <v>2663</v>
      </c>
      <c r="B8532" t="s">
        <v>38</v>
      </c>
      <c r="C8532" t="s">
        <v>38</v>
      </c>
      <c r="D8532">
        <v>351</v>
      </c>
    </row>
    <row r="8533" spans="1:4" ht="15.75" customHeight="1">
      <c r="A8533" t="s">
        <v>4063</v>
      </c>
      <c r="B8533" t="s">
        <v>38</v>
      </c>
      <c r="C8533" t="s">
        <v>38</v>
      </c>
      <c r="D8533">
        <v>349</v>
      </c>
    </row>
    <row r="8534" spans="1:4" ht="15.75" customHeight="1">
      <c r="A8534" t="s">
        <v>1764</v>
      </c>
      <c r="B8534" t="s">
        <v>38</v>
      </c>
      <c r="C8534" t="s">
        <v>38</v>
      </c>
      <c r="D8534">
        <v>349</v>
      </c>
    </row>
    <row r="8535" spans="1:4" ht="15.75" customHeight="1">
      <c r="A8535" t="s">
        <v>1787</v>
      </c>
      <c r="B8535" t="s">
        <v>38</v>
      </c>
      <c r="C8535" t="s">
        <v>38</v>
      </c>
      <c r="D8535">
        <v>348</v>
      </c>
    </row>
    <row r="8536" spans="1:4" ht="15.75" customHeight="1">
      <c r="A8536" t="s">
        <v>1732</v>
      </c>
      <c r="B8536" t="s">
        <v>38</v>
      </c>
      <c r="C8536" t="s">
        <v>38</v>
      </c>
      <c r="D8536">
        <v>347</v>
      </c>
    </row>
    <row r="8537" spans="1:4" ht="15.75" customHeight="1">
      <c r="A8537" t="s">
        <v>4038</v>
      </c>
      <c r="B8537" t="s">
        <v>38</v>
      </c>
      <c r="C8537" t="s">
        <v>38</v>
      </c>
      <c r="D8537">
        <v>347</v>
      </c>
    </row>
    <row r="8538" spans="1:4" ht="15.75" customHeight="1">
      <c r="A8538" t="s">
        <v>3697</v>
      </c>
      <c r="B8538" t="s">
        <v>38</v>
      </c>
      <c r="C8538" t="s">
        <v>38</v>
      </c>
      <c r="D8538">
        <v>346</v>
      </c>
    </row>
    <row r="8539" spans="1:4" ht="15.75" customHeight="1">
      <c r="A8539" t="s">
        <v>474</v>
      </c>
      <c r="B8539" t="s">
        <v>38</v>
      </c>
      <c r="C8539" t="s">
        <v>38</v>
      </c>
      <c r="D8539">
        <v>345</v>
      </c>
    </row>
    <row r="8540" spans="1:4" ht="15.75" customHeight="1">
      <c r="A8540" t="s">
        <v>3234</v>
      </c>
      <c r="B8540" t="s">
        <v>38</v>
      </c>
      <c r="C8540" t="s">
        <v>38</v>
      </c>
      <c r="D8540">
        <v>344</v>
      </c>
    </row>
    <row r="8541" spans="1:4" ht="15.75" customHeight="1">
      <c r="A8541" t="s">
        <v>1795</v>
      </c>
      <c r="B8541" t="s">
        <v>38</v>
      </c>
      <c r="C8541" t="s">
        <v>38</v>
      </c>
      <c r="D8541">
        <v>343</v>
      </c>
    </row>
    <row r="8542" spans="1:4" ht="15.75" customHeight="1">
      <c r="A8542" t="s">
        <v>1711</v>
      </c>
      <c r="B8542" t="s">
        <v>38</v>
      </c>
      <c r="C8542" t="s">
        <v>38</v>
      </c>
      <c r="D8542">
        <v>342</v>
      </c>
    </row>
    <row r="8543" spans="1:4" ht="15.75" customHeight="1">
      <c r="A8543" t="s">
        <v>2781</v>
      </c>
      <c r="B8543" t="s">
        <v>38</v>
      </c>
      <c r="C8543" t="s">
        <v>38</v>
      </c>
      <c r="D8543">
        <v>340</v>
      </c>
    </row>
    <row r="8544" spans="1:4" ht="15.75" customHeight="1">
      <c r="A8544" t="s">
        <v>4111</v>
      </c>
      <c r="B8544" t="s">
        <v>38</v>
      </c>
      <c r="C8544" t="s">
        <v>38</v>
      </c>
      <c r="D8544">
        <v>340</v>
      </c>
    </row>
    <row r="8545" spans="1:4" ht="15.75" customHeight="1">
      <c r="A8545" t="s">
        <v>4756</v>
      </c>
      <c r="B8545" t="s">
        <v>38</v>
      </c>
      <c r="C8545" t="s">
        <v>38</v>
      </c>
      <c r="D8545">
        <v>339</v>
      </c>
    </row>
    <row r="8546" spans="1:4" ht="15.75" customHeight="1">
      <c r="A8546" t="s">
        <v>3289</v>
      </c>
      <c r="B8546" t="s">
        <v>38</v>
      </c>
      <c r="C8546" t="s">
        <v>38</v>
      </c>
      <c r="D8546">
        <v>338</v>
      </c>
    </row>
    <row r="8547" spans="1:4" ht="15.75" customHeight="1">
      <c r="A8547" t="s">
        <v>2700</v>
      </c>
      <c r="B8547" t="s">
        <v>38</v>
      </c>
      <c r="C8547" t="s">
        <v>38</v>
      </c>
      <c r="D8547">
        <v>338</v>
      </c>
    </row>
    <row r="8548" spans="1:4" ht="15.75" customHeight="1">
      <c r="A8548" t="s">
        <v>2773</v>
      </c>
      <c r="B8548" t="s">
        <v>38</v>
      </c>
      <c r="C8548" t="s">
        <v>38</v>
      </c>
      <c r="D8548">
        <v>338</v>
      </c>
    </row>
    <row r="8549" spans="1:4" ht="15.75" customHeight="1">
      <c r="A8549" t="s">
        <v>4012</v>
      </c>
      <c r="B8549" t="s">
        <v>38</v>
      </c>
      <c r="C8549" t="s">
        <v>38</v>
      </c>
      <c r="D8549">
        <v>337</v>
      </c>
    </row>
    <row r="8550" spans="1:4" ht="15.75" customHeight="1">
      <c r="A8550" t="s">
        <v>4748</v>
      </c>
      <c r="B8550" t="s">
        <v>38</v>
      </c>
      <c r="C8550" t="s">
        <v>38</v>
      </c>
      <c r="D8550">
        <v>337</v>
      </c>
    </row>
    <row r="8551" spans="1:4" ht="15.75" customHeight="1">
      <c r="A8551" t="s">
        <v>4122</v>
      </c>
      <c r="B8551" t="s">
        <v>38</v>
      </c>
      <c r="C8551" t="s">
        <v>38</v>
      </c>
      <c r="D8551">
        <v>337</v>
      </c>
    </row>
    <row r="8552" spans="1:4" ht="15.75" customHeight="1">
      <c r="A8552" t="s">
        <v>4811</v>
      </c>
      <c r="B8552" t="s">
        <v>38</v>
      </c>
      <c r="C8552" t="s">
        <v>38</v>
      </c>
      <c r="D8552">
        <v>336</v>
      </c>
    </row>
    <row r="8553" spans="1:4" ht="15.75" customHeight="1">
      <c r="A8553" t="s">
        <v>4384</v>
      </c>
      <c r="B8553" t="s">
        <v>38</v>
      </c>
      <c r="C8553" t="s">
        <v>38</v>
      </c>
      <c r="D8553">
        <v>336</v>
      </c>
    </row>
    <row r="8554" spans="1:4" ht="15.75" customHeight="1">
      <c r="A8554" t="s">
        <v>462</v>
      </c>
      <c r="B8554" t="s">
        <v>38</v>
      </c>
      <c r="C8554" t="s">
        <v>38</v>
      </c>
      <c r="D8554">
        <v>335</v>
      </c>
    </row>
    <row r="8555" spans="1:4" ht="15.75" customHeight="1">
      <c r="A8555" t="s">
        <v>3671</v>
      </c>
      <c r="B8555" t="s">
        <v>38</v>
      </c>
      <c r="C8555" t="s">
        <v>38</v>
      </c>
      <c r="D8555">
        <v>334</v>
      </c>
    </row>
    <row r="8556" spans="1:4" ht="15.75" customHeight="1">
      <c r="A8556" t="s">
        <v>4831</v>
      </c>
      <c r="B8556" t="s">
        <v>38</v>
      </c>
      <c r="C8556" t="s">
        <v>38</v>
      </c>
      <c r="D8556">
        <v>334</v>
      </c>
    </row>
    <row r="8557" spans="1:4" ht="15.75" customHeight="1">
      <c r="A8557" t="s">
        <v>2133</v>
      </c>
      <c r="B8557" t="s">
        <v>38</v>
      </c>
      <c r="C8557" t="s">
        <v>38</v>
      </c>
      <c r="D8557">
        <v>333</v>
      </c>
    </row>
    <row r="8558" spans="1:4" ht="15.75" customHeight="1">
      <c r="A8558" t="s">
        <v>2725</v>
      </c>
      <c r="B8558" t="s">
        <v>38</v>
      </c>
      <c r="C8558" t="s">
        <v>38</v>
      </c>
      <c r="D8558">
        <v>333</v>
      </c>
    </row>
    <row r="8559" spans="1:4" ht="15.75" customHeight="1">
      <c r="A8559" t="s">
        <v>1442</v>
      </c>
      <c r="B8559" t="s">
        <v>38</v>
      </c>
      <c r="C8559" t="s">
        <v>38</v>
      </c>
      <c r="D8559">
        <v>332</v>
      </c>
    </row>
    <row r="8560" spans="1:4" ht="15.75" customHeight="1">
      <c r="A8560" t="s">
        <v>4097</v>
      </c>
      <c r="B8560" t="s">
        <v>38</v>
      </c>
      <c r="C8560" t="s">
        <v>38</v>
      </c>
      <c r="D8560">
        <v>330</v>
      </c>
    </row>
    <row r="8561" spans="1:4" ht="15.75" customHeight="1">
      <c r="A8561" t="s">
        <v>2764</v>
      </c>
      <c r="B8561" t="s">
        <v>38</v>
      </c>
      <c r="C8561" t="s">
        <v>38</v>
      </c>
      <c r="D8561">
        <v>330</v>
      </c>
    </row>
    <row r="8562" spans="1:4" ht="15.75" customHeight="1">
      <c r="A8562" t="s">
        <v>1446</v>
      </c>
      <c r="B8562" t="s">
        <v>38</v>
      </c>
      <c r="C8562" t="s">
        <v>38</v>
      </c>
      <c r="D8562">
        <v>328</v>
      </c>
    </row>
    <row r="8563" spans="1:4" ht="15.75" customHeight="1">
      <c r="A8563" t="s">
        <v>1746</v>
      </c>
      <c r="B8563" t="s">
        <v>38</v>
      </c>
      <c r="C8563" t="s">
        <v>38</v>
      </c>
      <c r="D8563">
        <v>328</v>
      </c>
    </row>
    <row r="8564" spans="1:4" ht="15.75" customHeight="1">
      <c r="A8564" t="s">
        <v>3181</v>
      </c>
      <c r="B8564" t="s">
        <v>38</v>
      </c>
      <c r="C8564" t="s">
        <v>38</v>
      </c>
      <c r="D8564">
        <v>328</v>
      </c>
    </row>
    <row r="8565" spans="1:4" ht="15.75" customHeight="1">
      <c r="A8565" t="s">
        <v>688</v>
      </c>
      <c r="B8565" t="s">
        <v>38</v>
      </c>
      <c r="C8565" t="s">
        <v>38</v>
      </c>
      <c r="D8565">
        <v>327</v>
      </c>
    </row>
    <row r="8566" spans="1:4" ht="15.75" customHeight="1">
      <c r="A8566" t="s">
        <v>533</v>
      </c>
      <c r="B8566" t="s">
        <v>38</v>
      </c>
      <c r="C8566" t="s">
        <v>38</v>
      </c>
      <c r="D8566">
        <v>323</v>
      </c>
    </row>
    <row r="8567" spans="1:4" ht="15.75" customHeight="1">
      <c r="A8567" t="s">
        <v>1756</v>
      </c>
      <c r="B8567" t="s">
        <v>38</v>
      </c>
      <c r="C8567" t="s">
        <v>38</v>
      </c>
      <c r="D8567">
        <v>323</v>
      </c>
    </row>
    <row r="8568" spans="1:4" ht="15.75" customHeight="1">
      <c r="A8568" t="s">
        <v>3132</v>
      </c>
      <c r="B8568" t="s">
        <v>38</v>
      </c>
      <c r="C8568" t="s">
        <v>38</v>
      </c>
      <c r="D8568">
        <v>322</v>
      </c>
    </row>
    <row r="8569" spans="1:4" ht="15.75" customHeight="1">
      <c r="A8569" t="s">
        <v>1419</v>
      </c>
      <c r="B8569" t="s">
        <v>38</v>
      </c>
      <c r="C8569" t="s">
        <v>38</v>
      </c>
      <c r="D8569">
        <v>322</v>
      </c>
    </row>
    <row r="8570" spans="1:4" ht="15.75" customHeight="1">
      <c r="A8570" t="s">
        <v>1700</v>
      </c>
      <c r="B8570" t="s">
        <v>38</v>
      </c>
      <c r="C8570" t="s">
        <v>38</v>
      </c>
      <c r="D8570">
        <v>321</v>
      </c>
    </row>
    <row r="8571" spans="1:4" ht="15.75" customHeight="1">
      <c r="A8571" t="s">
        <v>1250</v>
      </c>
      <c r="B8571" t="s">
        <v>38</v>
      </c>
      <c r="C8571" t="s">
        <v>38</v>
      </c>
      <c r="D8571">
        <v>321</v>
      </c>
    </row>
    <row r="8572" spans="1:4" ht="15.75" customHeight="1">
      <c r="A8572" t="s">
        <v>4751</v>
      </c>
      <c r="B8572" t="s">
        <v>38</v>
      </c>
      <c r="C8572" t="s">
        <v>38</v>
      </c>
      <c r="D8572">
        <v>320</v>
      </c>
    </row>
    <row r="8573" spans="1:4" ht="15.75" customHeight="1">
      <c r="A8573" t="s">
        <v>1332</v>
      </c>
      <c r="B8573" t="s">
        <v>38</v>
      </c>
      <c r="C8573" t="s">
        <v>38</v>
      </c>
      <c r="D8573">
        <v>319</v>
      </c>
    </row>
    <row r="8574" spans="1:4" ht="15.75" customHeight="1">
      <c r="A8574" t="s">
        <v>1780</v>
      </c>
      <c r="B8574" t="s">
        <v>38</v>
      </c>
      <c r="C8574" t="s">
        <v>38</v>
      </c>
      <c r="D8574">
        <v>318</v>
      </c>
    </row>
    <row r="8575" spans="1:4" ht="15.75" customHeight="1">
      <c r="A8575" t="s">
        <v>1778</v>
      </c>
      <c r="B8575" t="s">
        <v>38</v>
      </c>
      <c r="C8575" t="s">
        <v>38</v>
      </c>
      <c r="D8575">
        <v>318</v>
      </c>
    </row>
    <row r="8576" spans="1:4" ht="15.75" customHeight="1">
      <c r="A8576" t="s">
        <v>4792</v>
      </c>
      <c r="B8576" t="s">
        <v>38</v>
      </c>
      <c r="C8576" t="s">
        <v>38</v>
      </c>
      <c r="D8576">
        <v>318</v>
      </c>
    </row>
    <row r="8577" spans="1:4" ht="15.75" customHeight="1">
      <c r="A8577" t="s">
        <v>3722</v>
      </c>
      <c r="B8577" t="s">
        <v>38</v>
      </c>
      <c r="C8577" t="s">
        <v>38</v>
      </c>
      <c r="D8577">
        <v>317</v>
      </c>
    </row>
    <row r="8578" spans="1:4" ht="15.75" customHeight="1">
      <c r="A8578" t="s">
        <v>1298</v>
      </c>
      <c r="B8578" t="s">
        <v>38</v>
      </c>
      <c r="C8578" t="s">
        <v>38</v>
      </c>
      <c r="D8578">
        <v>316</v>
      </c>
    </row>
    <row r="8579" spans="1:4" ht="15.75" customHeight="1">
      <c r="A8579" t="s">
        <v>4760</v>
      </c>
      <c r="B8579" t="s">
        <v>38</v>
      </c>
      <c r="C8579" t="s">
        <v>38</v>
      </c>
      <c r="D8579">
        <v>316</v>
      </c>
    </row>
    <row r="8580" spans="1:4" ht="15.75" customHeight="1">
      <c r="A8580" t="s">
        <v>3263</v>
      </c>
      <c r="B8580" t="s">
        <v>38</v>
      </c>
      <c r="C8580" t="s">
        <v>38</v>
      </c>
      <c r="D8580">
        <v>316</v>
      </c>
    </row>
    <row r="8581" spans="1:4" ht="15.75" customHeight="1">
      <c r="A8581" t="s">
        <v>3255</v>
      </c>
      <c r="B8581" t="s">
        <v>38</v>
      </c>
      <c r="C8581" t="s">
        <v>38</v>
      </c>
      <c r="D8581">
        <v>315</v>
      </c>
    </row>
    <row r="8582" spans="1:4" ht="15.75" customHeight="1">
      <c r="A8582" t="s">
        <v>4093</v>
      </c>
      <c r="B8582" t="s">
        <v>38</v>
      </c>
      <c r="C8582" t="s">
        <v>38</v>
      </c>
      <c r="D8582">
        <v>315</v>
      </c>
    </row>
    <row r="8583" spans="1:4" ht="15.75" customHeight="1">
      <c r="A8583" t="s">
        <v>4414</v>
      </c>
      <c r="B8583" t="s">
        <v>38</v>
      </c>
      <c r="C8583" t="s">
        <v>38</v>
      </c>
      <c r="D8583">
        <v>315</v>
      </c>
    </row>
    <row r="8584" spans="1:4" ht="15.75" customHeight="1">
      <c r="A8584" t="s">
        <v>1451</v>
      </c>
      <c r="B8584" t="s">
        <v>38</v>
      </c>
      <c r="C8584" t="s">
        <v>38</v>
      </c>
      <c r="D8584">
        <v>314</v>
      </c>
    </row>
    <row r="8585" spans="1:4" ht="15.75" customHeight="1">
      <c r="A8585" t="s">
        <v>4031</v>
      </c>
      <c r="B8585" t="s">
        <v>38</v>
      </c>
      <c r="C8585" t="s">
        <v>38</v>
      </c>
      <c r="D8585">
        <v>312</v>
      </c>
    </row>
    <row r="8586" spans="1:4" ht="15.75" customHeight="1">
      <c r="A8586" t="s">
        <v>699</v>
      </c>
      <c r="B8586" t="s">
        <v>38</v>
      </c>
      <c r="C8586" t="s">
        <v>38</v>
      </c>
      <c r="D8586">
        <v>308</v>
      </c>
    </row>
    <row r="8587" spans="1:4" ht="15.75" customHeight="1">
      <c r="A8587" t="s">
        <v>2785</v>
      </c>
      <c r="B8587" t="s">
        <v>38</v>
      </c>
      <c r="C8587" t="s">
        <v>38</v>
      </c>
      <c r="D8587">
        <v>307</v>
      </c>
    </row>
    <row r="8588" spans="1:4" ht="15.75" customHeight="1">
      <c r="A8588" t="s">
        <v>536</v>
      </c>
      <c r="B8588" t="s">
        <v>38</v>
      </c>
      <c r="C8588" t="s">
        <v>38</v>
      </c>
      <c r="D8588">
        <v>307</v>
      </c>
    </row>
    <row r="8589" spans="1:4" ht="15.75" customHeight="1">
      <c r="A8589" t="s">
        <v>3712</v>
      </c>
      <c r="B8589" t="s">
        <v>38</v>
      </c>
      <c r="C8589" t="s">
        <v>38</v>
      </c>
      <c r="D8589">
        <v>305</v>
      </c>
    </row>
    <row r="8590" spans="1:4" ht="15.75" customHeight="1">
      <c r="A8590" t="s">
        <v>4381</v>
      </c>
      <c r="B8590" t="s">
        <v>38</v>
      </c>
      <c r="C8590" t="s">
        <v>38</v>
      </c>
      <c r="D8590">
        <v>304</v>
      </c>
    </row>
    <row r="8591" spans="1:4" ht="15.75" customHeight="1">
      <c r="A8591" t="s">
        <v>4403</v>
      </c>
      <c r="B8591" t="s">
        <v>38</v>
      </c>
      <c r="C8591" t="s">
        <v>38</v>
      </c>
      <c r="D8591">
        <v>304</v>
      </c>
    </row>
    <row r="8592" spans="1:4" ht="15.75" customHeight="1">
      <c r="A8592" t="s">
        <v>4728</v>
      </c>
      <c r="B8592" t="s">
        <v>38</v>
      </c>
      <c r="C8592" t="s">
        <v>38</v>
      </c>
      <c r="D8592">
        <v>302</v>
      </c>
    </row>
    <row r="8593" spans="1:4" ht="15.75" customHeight="1">
      <c r="A8593" t="s">
        <v>439</v>
      </c>
      <c r="B8593" t="s">
        <v>38</v>
      </c>
      <c r="C8593" t="s">
        <v>38</v>
      </c>
      <c r="D8593">
        <v>302</v>
      </c>
    </row>
    <row r="8594" spans="1:4" ht="15.75" customHeight="1">
      <c r="A8594" t="s">
        <v>4742</v>
      </c>
      <c r="B8594" t="s">
        <v>38</v>
      </c>
      <c r="C8594" t="s">
        <v>38</v>
      </c>
      <c r="D8594">
        <v>302</v>
      </c>
    </row>
    <row r="8595" spans="1:4" ht="15.75" customHeight="1">
      <c r="A8595" t="s">
        <v>4041</v>
      </c>
      <c r="B8595" t="s">
        <v>38</v>
      </c>
      <c r="C8595" t="s">
        <v>38</v>
      </c>
      <c r="D8595">
        <v>301</v>
      </c>
    </row>
    <row r="8596" spans="1:4" ht="15.75" customHeight="1">
      <c r="A8596" t="s">
        <v>585</v>
      </c>
      <c r="B8596" t="s">
        <v>38</v>
      </c>
      <c r="C8596" t="s">
        <v>38</v>
      </c>
      <c r="D8596">
        <v>301</v>
      </c>
    </row>
    <row r="8597" spans="1:4" ht="15.75" customHeight="1">
      <c r="A8597" t="s">
        <v>4126</v>
      </c>
      <c r="B8597" t="s">
        <v>38</v>
      </c>
      <c r="C8597" t="s">
        <v>38</v>
      </c>
      <c r="D8597">
        <v>301</v>
      </c>
    </row>
    <row r="8598" spans="1:4" ht="15.75" customHeight="1">
      <c r="A8598" t="s">
        <v>1736</v>
      </c>
      <c r="B8598" t="s">
        <v>38</v>
      </c>
      <c r="C8598" t="s">
        <v>38</v>
      </c>
      <c r="D8598">
        <v>300</v>
      </c>
    </row>
    <row r="8599" spans="1:4" ht="15.75" customHeight="1">
      <c r="A8599" t="s">
        <v>3716</v>
      </c>
      <c r="B8599" t="s">
        <v>38</v>
      </c>
      <c r="C8599" t="s">
        <v>38</v>
      </c>
      <c r="D8599">
        <v>300</v>
      </c>
    </row>
    <row r="8600" spans="1:4" ht="15.75" customHeight="1">
      <c r="A8600" t="s">
        <v>1363</v>
      </c>
      <c r="B8600" t="s">
        <v>38</v>
      </c>
      <c r="C8600" t="s">
        <v>38</v>
      </c>
      <c r="D8600">
        <v>299</v>
      </c>
    </row>
    <row r="8601" spans="1:4" ht="15.75" customHeight="1">
      <c r="A8601" t="s">
        <v>4841</v>
      </c>
      <c r="B8601" t="s">
        <v>38</v>
      </c>
      <c r="C8601" t="s">
        <v>38</v>
      </c>
      <c r="D8601">
        <v>298</v>
      </c>
    </row>
    <row r="8602" spans="1:4" ht="15.75" customHeight="1">
      <c r="A8602" t="s">
        <v>541</v>
      </c>
      <c r="B8602" t="s">
        <v>38</v>
      </c>
      <c r="C8602" t="s">
        <v>38</v>
      </c>
      <c r="D8602">
        <v>296</v>
      </c>
    </row>
    <row r="8603" spans="1:4" ht="15.75" customHeight="1">
      <c r="A8603" t="s">
        <v>1339</v>
      </c>
      <c r="B8603" t="s">
        <v>38</v>
      </c>
      <c r="C8603" t="s">
        <v>38</v>
      </c>
      <c r="D8603">
        <v>295</v>
      </c>
    </row>
    <row r="8604" spans="1:4" ht="15.75" customHeight="1">
      <c r="A8604" t="s">
        <v>607</v>
      </c>
      <c r="B8604" t="s">
        <v>38</v>
      </c>
      <c r="C8604" t="s">
        <v>38</v>
      </c>
      <c r="D8604">
        <v>295</v>
      </c>
    </row>
    <row r="8605" spans="1:4" ht="15.75" customHeight="1">
      <c r="A8605" t="s">
        <v>599</v>
      </c>
      <c r="B8605" t="s">
        <v>38</v>
      </c>
      <c r="C8605" t="s">
        <v>38</v>
      </c>
      <c r="D8605">
        <v>293</v>
      </c>
    </row>
    <row r="8606" spans="1:4" ht="15.75" customHeight="1">
      <c r="A8606" t="s">
        <v>1439</v>
      </c>
      <c r="B8606" t="s">
        <v>38</v>
      </c>
      <c r="C8606" t="s">
        <v>38</v>
      </c>
      <c r="D8606">
        <v>292</v>
      </c>
    </row>
    <row r="8607" spans="1:4" ht="15.75" customHeight="1">
      <c r="A8607" t="s">
        <v>2125</v>
      </c>
      <c r="B8607" t="s">
        <v>38</v>
      </c>
      <c r="C8607" t="s">
        <v>38</v>
      </c>
      <c r="D8607">
        <v>292</v>
      </c>
    </row>
    <row r="8608" spans="1:4" ht="15.75" customHeight="1">
      <c r="A8608" t="s">
        <v>3178</v>
      </c>
      <c r="B8608" t="s">
        <v>38</v>
      </c>
      <c r="C8608" t="s">
        <v>38</v>
      </c>
      <c r="D8608">
        <v>292</v>
      </c>
    </row>
    <row r="8609" spans="1:4" ht="15.75" customHeight="1">
      <c r="A8609" t="s">
        <v>1229</v>
      </c>
      <c r="B8609" t="s">
        <v>38</v>
      </c>
      <c r="C8609" t="s">
        <v>38</v>
      </c>
      <c r="D8609">
        <v>291</v>
      </c>
    </row>
    <row r="8610" spans="1:4" ht="15.75" customHeight="1">
      <c r="A8610" t="s">
        <v>1714</v>
      </c>
      <c r="B8610" t="s">
        <v>38</v>
      </c>
      <c r="C8610" t="s">
        <v>38</v>
      </c>
      <c r="D8610">
        <v>289</v>
      </c>
    </row>
    <row r="8611" spans="1:4" ht="15.75" customHeight="1">
      <c r="A8611" t="s">
        <v>2850</v>
      </c>
      <c r="B8611" t="s">
        <v>38</v>
      </c>
      <c r="C8611" t="s">
        <v>38</v>
      </c>
      <c r="D8611">
        <v>289</v>
      </c>
    </row>
    <row r="8612" spans="1:4" ht="15.75" customHeight="1">
      <c r="A8612" t="s">
        <v>3675</v>
      </c>
      <c r="B8612" t="s">
        <v>38</v>
      </c>
      <c r="C8612" t="s">
        <v>38</v>
      </c>
      <c r="D8612">
        <v>289</v>
      </c>
    </row>
    <row r="8613" spans="1:4" ht="15.75" customHeight="1">
      <c r="A8613" t="s">
        <v>527</v>
      </c>
      <c r="B8613" t="s">
        <v>38</v>
      </c>
      <c r="C8613" t="s">
        <v>38</v>
      </c>
      <c r="D8613">
        <v>289</v>
      </c>
    </row>
    <row r="8614" spans="1:4" ht="15.75" customHeight="1">
      <c r="A8614" t="s">
        <v>2843</v>
      </c>
      <c r="B8614" t="s">
        <v>38</v>
      </c>
      <c r="C8614" t="s">
        <v>38</v>
      </c>
      <c r="D8614">
        <v>288</v>
      </c>
    </row>
    <row r="8615" spans="1:4" ht="15.75" customHeight="1">
      <c r="A8615" t="s">
        <v>4141</v>
      </c>
      <c r="B8615" t="s">
        <v>38</v>
      </c>
      <c r="C8615" t="s">
        <v>38</v>
      </c>
      <c r="D8615">
        <v>288</v>
      </c>
    </row>
    <row r="8616" spans="1:4" ht="15.75" customHeight="1">
      <c r="A8616" t="s">
        <v>3664</v>
      </c>
      <c r="B8616" t="s">
        <v>38</v>
      </c>
      <c r="C8616" t="s">
        <v>38</v>
      </c>
      <c r="D8616">
        <v>288</v>
      </c>
    </row>
    <row r="8617" spans="1:4" ht="15.75" customHeight="1">
      <c r="A8617" t="s">
        <v>2748</v>
      </c>
      <c r="B8617" t="s">
        <v>38</v>
      </c>
      <c r="C8617" t="s">
        <v>38</v>
      </c>
      <c r="D8617">
        <v>287</v>
      </c>
    </row>
    <row r="8618" spans="1:4" ht="15.75" customHeight="1">
      <c r="A8618" t="s">
        <v>3249</v>
      </c>
      <c r="B8618" t="s">
        <v>38</v>
      </c>
      <c r="C8618" t="s">
        <v>38</v>
      </c>
      <c r="D8618">
        <v>287</v>
      </c>
    </row>
    <row r="8619" spans="1:4" ht="15.75" customHeight="1">
      <c r="A8619" t="s">
        <v>591</v>
      </c>
      <c r="B8619" t="s">
        <v>38</v>
      </c>
      <c r="C8619" t="s">
        <v>38</v>
      </c>
      <c r="D8619">
        <v>287</v>
      </c>
    </row>
    <row r="8620" spans="1:4" ht="15.75" customHeight="1">
      <c r="A8620" t="s">
        <v>3644</v>
      </c>
      <c r="B8620" t="s">
        <v>38</v>
      </c>
      <c r="C8620" t="s">
        <v>38</v>
      </c>
      <c r="D8620">
        <v>286</v>
      </c>
    </row>
    <row r="8621" spans="1:4" ht="15.75" customHeight="1">
      <c r="A8621" t="s">
        <v>1740</v>
      </c>
      <c r="B8621" t="s">
        <v>38</v>
      </c>
      <c r="C8621" t="s">
        <v>38</v>
      </c>
      <c r="D8621">
        <v>285</v>
      </c>
    </row>
    <row r="8622" spans="1:4" ht="15.75" customHeight="1">
      <c r="A8622" t="s">
        <v>663</v>
      </c>
      <c r="B8622" t="s">
        <v>38</v>
      </c>
      <c r="C8622" t="s">
        <v>38</v>
      </c>
      <c r="D8622">
        <v>285</v>
      </c>
    </row>
    <row r="8623" spans="1:4" ht="15.75" customHeight="1">
      <c r="A8623" t="s">
        <v>3684</v>
      </c>
      <c r="B8623" t="s">
        <v>38</v>
      </c>
      <c r="C8623" t="s">
        <v>38</v>
      </c>
      <c r="D8623">
        <v>285</v>
      </c>
    </row>
    <row r="8624" spans="1:4" ht="15.75" customHeight="1">
      <c r="A8624" t="s">
        <v>1411</v>
      </c>
      <c r="B8624" t="s">
        <v>38</v>
      </c>
      <c r="C8624" t="s">
        <v>38</v>
      </c>
      <c r="D8624">
        <v>284</v>
      </c>
    </row>
    <row r="8625" spans="1:4" ht="15.75" customHeight="1">
      <c r="A8625" t="s">
        <v>2863</v>
      </c>
      <c r="B8625" t="s">
        <v>38</v>
      </c>
      <c r="C8625" t="s">
        <v>38</v>
      </c>
      <c r="D8625">
        <v>284</v>
      </c>
    </row>
    <row r="8626" spans="1:4" ht="15.75" customHeight="1">
      <c r="A8626" t="s">
        <v>1301</v>
      </c>
      <c r="B8626" t="s">
        <v>38</v>
      </c>
      <c r="C8626" t="s">
        <v>38</v>
      </c>
      <c r="D8626">
        <v>283</v>
      </c>
    </row>
    <row r="8627" spans="1:4" ht="15.75" customHeight="1">
      <c r="A8627" t="s">
        <v>2272</v>
      </c>
      <c r="B8627" t="s">
        <v>38</v>
      </c>
      <c r="C8627" t="s">
        <v>38</v>
      </c>
      <c r="D8627">
        <v>282</v>
      </c>
    </row>
    <row r="8628" spans="1:4" ht="15.75" customHeight="1">
      <c r="A8628" t="s">
        <v>3136</v>
      </c>
      <c r="B8628" t="s">
        <v>38</v>
      </c>
      <c r="C8628" t="s">
        <v>38</v>
      </c>
      <c r="D8628">
        <v>282</v>
      </c>
    </row>
    <row r="8629" spans="1:4" ht="15.75" customHeight="1">
      <c r="A8629" t="s">
        <v>2788</v>
      </c>
      <c r="B8629" t="s">
        <v>38</v>
      </c>
      <c r="C8629" t="s">
        <v>38</v>
      </c>
      <c r="D8629">
        <v>282</v>
      </c>
    </row>
    <row r="8630" spans="1:4" ht="15.75" customHeight="1">
      <c r="A8630" t="s">
        <v>1256</v>
      </c>
      <c r="B8630" t="s">
        <v>38</v>
      </c>
      <c r="C8630" t="s">
        <v>38</v>
      </c>
      <c r="D8630">
        <v>281</v>
      </c>
    </row>
    <row r="8631" spans="1:4" ht="15.75" customHeight="1">
      <c r="A8631" t="s">
        <v>3635</v>
      </c>
      <c r="B8631" t="s">
        <v>38</v>
      </c>
      <c r="C8631" t="s">
        <v>38</v>
      </c>
      <c r="D8631">
        <v>280</v>
      </c>
    </row>
    <row r="8632" spans="1:4" ht="15.75" customHeight="1">
      <c r="A8632" t="s">
        <v>597</v>
      </c>
      <c r="B8632" t="s">
        <v>38</v>
      </c>
      <c r="C8632" t="s">
        <v>38</v>
      </c>
      <c r="D8632">
        <v>280</v>
      </c>
    </row>
    <row r="8633" spans="1:4" ht="15.75" customHeight="1">
      <c r="A8633" t="s">
        <v>3603</v>
      </c>
      <c r="B8633" t="s">
        <v>38</v>
      </c>
      <c r="C8633" t="s">
        <v>38</v>
      </c>
      <c r="D8633">
        <v>279</v>
      </c>
    </row>
    <row r="8634" spans="1:4" ht="15.75" customHeight="1">
      <c r="A8634" t="s">
        <v>3275</v>
      </c>
      <c r="B8634" t="s">
        <v>38</v>
      </c>
      <c r="C8634" t="s">
        <v>38</v>
      </c>
      <c r="D8634">
        <v>279</v>
      </c>
    </row>
    <row r="8635" spans="1:4" ht="15.75" customHeight="1">
      <c r="A8635" t="s">
        <v>1383</v>
      </c>
      <c r="B8635" t="s">
        <v>38</v>
      </c>
      <c r="C8635" t="s">
        <v>38</v>
      </c>
      <c r="D8635">
        <v>278</v>
      </c>
    </row>
    <row r="8636" spans="1:4" ht="15.75" customHeight="1">
      <c r="A8636" t="s">
        <v>4784</v>
      </c>
      <c r="B8636" t="s">
        <v>38</v>
      </c>
      <c r="C8636" t="s">
        <v>38</v>
      </c>
      <c r="D8636">
        <v>278</v>
      </c>
    </row>
    <row r="8637" spans="1:4" ht="15.75" customHeight="1">
      <c r="A8637" t="s">
        <v>2204</v>
      </c>
      <c r="B8637" t="s">
        <v>38</v>
      </c>
      <c r="C8637" t="s">
        <v>38</v>
      </c>
      <c r="D8637">
        <v>277</v>
      </c>
    </row>
    <row r="8638" spans="1:4" ht="15.75" customHeight="1">
      <c r="A8638" t="s">
        <v>4744</v>
      </c>
      <c r="B8638" t="s">
        <v>38</v>
      </c>
      <c r="C8638" t="s">
        <v>38</v>
      </c>
      <c r="D8638">
        <v>277</v>
      </c>
    </row>
    <row r="8639" spans="1:4" ht="15.75" customHeight="1">
      <c r="A8639" t="s">
        <v>4020</v>
      </c>
      <c r="B8639" t="s">
        <v>38</v>
      </c>
      <c r="C8639" t="s">
        <v>38</v>
      </c>
      <c r="D8639">
        <v>274</v>
      </c>
    </row>
    <row r="8640" spans="1:4" ht="15.75" customHeight="1">
      <c r="A8640" t="s">
        <v>1718</v>
      </c>
      <c r="B8640" t="s">
        <v>38</v>
      </c>
      <c r="C8640" t="s">
        <v>38</v>
      </c>
      <c r="D8640">
        <v>273</v>
      </c>
    </row>
    <row r="8641" spans="1:4" ht="15.75" customHeight="1">
      <c r="A8641" t="s">
        <v>1272</v>
      </c>
      <c r="B8641" t="s">
        <v>38</v>
      </c>
      <c r="C8641" t="s">
        <v>38</v>
      </c>
      <c r="D8641">
        <v>271</v>
      </c>
    </row>
    <row r="8642" spans="1:4" ht="15.75" customHeight="1">
      <c r="A8642" t="s">
        <v>1723</v>
      </c>
      <c r="B8642" t="s">
        <v>38</v>
      </c>
      <c r="C8642" t="s">
        <v>38</v>
      </c>
      <c r="D8642">
        <v>271</v>
      </c>
    </row>
    <row r="8643" spans="1:4" ht="15.75" customHeight="1">
      <c r="A8643" t="s">
        <v>3162</v>
      </c>
      <c r="B8643" t="s">
        <v>38</v>
      </c>
      <c r="C8643" t="s">
        <v>38</v>
      </c>
      <c r="D8643">
        <v>271</v>
      </c>
    </row>
    <row r="8644" spans="1:4" ht="15.75" customHeight="1">
      <c r="A8644" t="s">
        <v>2671</v>
      </c>
      <c r="B8644" t="s">
        <v>38</v>
      </c>
      <c r="C8644" t="s">
        <v>38</v>
      </c>
      <c r="D8644">
        <v>270</v>
      </c>
    </row>
    <row r="8645" spans="1:4" ht="15.75" customHeight="1">
      <c r="A8645" t="s">
        <v>4722</v>
      </c>
      <c r="B8645" t="s">
        <v>38</v>
      </c>
      <c r="C8645" t="s">
        <v>38</v>
      </c>
      <c r="D8645">
        <v>269</v>
      </c>
    </row>
    <row r="8646" spans="1:4" ht="15.75" customHeight="1">
      <c r="A8646" t="s">
        <v>1772</v>
      </c>
      <c r="B8646" t="s">
        <v>38</v>
      </c>
      <c r="C8646" t="s">
        <v>38</v>
      </c>
      <c r="D8646">
        <v>268</v>
      </c>
    </row>
    <row r="8647" spans="1:4" ht="15.75" customHeight="1">
      <c r="A8647" t="s">
        <v>1760</v>
      </c>
      <c r="B8647" t="s">
        <v>38</v>
      </c>
      <c r="C8647" t="s">
        <v>38</v>
      </c>
      <c r="D8647">
        <v>267</v>
      </c>
    </row>
    <row r="8648" spans="1:4" ht="15.75" customHeight="1">
      <c r="A8648" t="s">
        <v>2235</v>
      </c>
      <c r="B8648" t="s">
        <v>38</v>
      </c>
      <c r="C8648" t="s">
        <v>38</v>
      </c>
      <c r="D8648">
        <v>266</v>
      </c>
    </row>
    <row r="8649" spans="1:4" ht="15.75" customHeight="1">
      <c r="A8649" t="s">
        <v>4763</v>
      </c>
      <c r="B8649" t="s">
        <v>38</v>
      </c>
      <c r="C8649" t="s">
        <v>38</v>
      </c>
      <c r="D8649">
        <v>266</v>
      </c>
    </row>
    <row r="8650" spans="1:4" ht="15.75" customHeight="1">
      <c r="A8650" t="s">
        <v>681</v>
      </c>
      <c r="B8650" t="s">
        <v>38</v>
      </c>
      <c r="C8650" t="s">
        <v>38</v>
      </c>
      <c r="D8650">
        <v>266</v>
      </c>
    </row>
    <row r="8651" spans="1:4" ht="15.75" customHeight="1">
      <c r="A8651" t="s">
        <v>3618</v>
      </c>
      <c r="B8651" t="s">
        <v>38</v>
      </c>
      <c r="C8651" t="s">
        <v>38</v>
      </c>
      <c r="D8651">
        <v>265</v>
      </c>
    </row>
    <row r="8652" spans="1:4" ht="15.75" customHeight="1">
      <c r="A8652" t="s">
        <v>3298</v>
      </c>
      <c r="B8652" t="s">
        <v>38</v>
      </c>
      <c r="C8652" t="s">
        <v>38</v>
      </c>
      <c r="D8652">
        <v>265</v>
      </c>
    </row>
    <row r="8653" spans="1:4" ht="15.75" customHeight="1">
      <c r="A8653" t="s">
        <v>433</v>
      </c>
      <c r="B8653" t="s">
        <v>38</v>
      </c>
      <c r="C8653" t="s">
        <v>38</v>
      </c>
      <c r="D8653">
        <v>263</v>
      </c>
    </row>
    <row r="8654" spans="1:4" ht="15.75" customHeight="1">
      <c r="A8654" t="s">
        <v>4028</v>
      </c>
      <c r="B8654" t="s">
        <v>38</v>
      </c>
      <c r="C8654" t="s">
        <v>38</v>
      </c>
      <c r="D8654">
        <v>261</v>
      </c>
    </row>
    <row r="8655" spans="1:4" ht="15.75" customHeight="1">
      <c r="A8655" t="s">
        <v>1343</v>
      </c>
      <c r="B8655" t="s">
        <v>38</v>
      </c>
      <c r="C8655" t="s">
        <v>38</v>
      </c>
      <c r="D8655">
        <v>260</v>
      </c>
    </row>
    <row r="8656" spans="1:4" ht="15.75" customHeight="1">
      <c r="A8656" t="s">
        <v>1357</v>
      </c>
      <c r="B8656" t="s">
        <v>38</v>
      </c>
      <c r="C8656" t="s">
        <v>38</v>
      </c>
      <c r="D8656">
        <v>260</v>
      </c>
    </row>
    <row r="8657" spans="1:4" ht="15.75" customHeight="1">
      <c r="A8657" t="s">
        <v>2211</v>
      </c>
      <c r="B8657" t="s">
        <v>38</v>
      </c>
      <c r="C8657" t="s">
        <v>38</v>
      </c>
      <c r="D8657">
        <v>257</v>
      </c>
    </row>
    <row r="8658" spans="1:4" ht="15.75" customHeight="1">
      <c r="A8658" t="s">
        <v>4418</v>
      </c>
      <c r="B8658" t="s">
        <v>38</v>
      </c>
      <c r="C8658" t="s">
        <v>38</v>
      </c>
      <c r="D8658">
        <v>257</v>
      </c>
    </row>
    <row r="8659" spans="1:4" ht="15.75" customHeight="1">
      <c r="A8659" t="s">
        <v>2730</v>
      </c>
      <c r="B8659" t="s">
        <v>38</v>
      </c>
      <c r="C8659" t="s">
        <v>38</v>
      </c>
      <c r="D8659">
        <v>256</v>
      </c>
    </row>
    <row r="8660" spans="1:4" ht="15.75" customHeight="1">
      <c r="A8660" t="s">
        <v>3209</v>
      </c>
      <c r="B8660" t="s">
        <v>38</v>
      </c>
      <c r="C8660" t="s">
        <v>38</v>
      </c>
      <c r="D8660">
        <v>255</v>
      </c>
    </row>
    <row r="8661" spans="1:4" ht="15.75" customHeight="1">
      <c r="A8661" t="s">
        <v>4085</v>
      </c>
      <c r="B8661" t="s">
        <v>38</v>
      </c>
      <c r="C8661" t="s">
        <v>38</v>
      </c>
      <c r="D8661">
        <v>255</v>
      </c>
    </row>
    <row r="8662" spans="1:4" ht="15.75" customHeight="1">
      <c r="A8662" t="s">
        <v>4046</v>
      </c>
      <c r="B8662" t="s">
        <v>38</v>
      </c>
      <c r="C8662" t="s">
        <v>38</v>
      </c>
      <c r="D8662">
        <v>255</v>
      </c>
    </row>
    <row r="8663" spans="1:4" ht="15.75" customHeight="1">
      <c r="A8663" t="s">
        <v>2666</v>
      </c>
      <c r="B8663" t="s">
        <v>38</v>
      </c>
      <c r="C8663" t="s">
        <v>38</v>
      </c>
      <c r="D8663">
        <v>254</v>
      </c>
    </row>
    <row r="8664" spans="1:4" ht="15.75" customHeight="1">
      <c r="A8664" t="s">
        <v>3229</v>
      </c>
      <c r="B8664" t="s">
        <v>38</v>
      </c>
      <c r="C8664" t="s">
        <v>38</v>
      </c>
      <c r="D8664">
        <v>253</v>
      </c>
    </row>
    <row r="8665" spans="1:4" ht="15.75" customHeight="1">
      <c r="A8665" t="s">
        <v>2759</v>
      </c>
      <c r="B8665" t="s">
        <v>38</v>
      </c>
      <c r="C8665" t="s">
        <v>38</v>
      </c>
      <c r="D8665">
        <v>252</v>
      </c>
    </row>
    <row r="8666" spans="1:4" ht="15.75" customHeight="1">
      <c r="A8666" t="s">
        <v>513</v>
      </c>
      <c r="B8666" t="s">
        <v>38</v>
      </c>
      <c r="C8666" t="s">
        <v>38</v>
      </c>
      <c r="D8666">
        <v>251</v>
      </c>
    </row>
    <row r="8667" spans="1:4" ht="15.75" customHeight="1">
      <c r="A8667" t="s">
        <v>3207</v>
      </c>
      <c r="B8667" t="s">
        <v>38</v>
      </c>
      <c r="C8667" t="s">
        <v>38</v>
      </c>
      <c r="D8667">
        <v>250</v>
      </c>
    </row>
    <row r="8668" spans="1:4" ht="15.75" customHeight="1">
      <c r="A8668" t="s">
        <v>4827</v>
      </c>
      <c r="B8668" t="s">
        <v>38</v>
      </c>
      <c r="C8668" t="s">
        <v>38</v>
      </c>
      <c r="D8668">
        <v>250</v>
      </c>
    </row>
    <row r="8669" spans="1:4" ht="15.75" customHeight="1">
      <c r="A8669" t="s">
        <v>2753</v>
      </c>
      <c r="B8669" t="s">
        <v>38</v>
      </c>
      <c r="C8669" t="s">
        <v>38</v>
      </c>
      <c r="D8669">
        <v>249</v>
      </c>
    </row>
    <row r="8670" spans="1:4" ht="15.75" customHeight="1">
      <c r="A8670" t="s">
        <v>4835</v>
      </c>
      <c r="B8670" t="s">
        <v>38</v>
      </c>
      <c r="C8670" t="s">
        <v>38</v>
      </c>
      <c r="D8670">
        <v>249</v>
      </c>
    </row>
    <row r="8671" spans="1:4" ht="15.75" customHeight="1">
      <c r="A8671" t="s">
        <v>1797</v>
      </c>
      <c r="B8671" t="s">
        <v>38</v>
      </c>
      <c r="C8671" t="s">
        <v>38</v>
      </c>
      <c r="D8671">
        <v>248</v>
      </c>
    </row>
    <row r="8672" spans="1:4" ht="15.75" customHeight="1">
      <c r="A8672" t="s">
        <v>3240</v>
      </c>
      <c r="B8672" t="s">
        <v>38</v>
      </c>
      <c r="C8672" t="s">
        <v>38</v>
      </c>
      <c r="D8672">
        <v>247</v>
      </c>
    </row>
    <row r="8673" spans="1:4" ht="15.75" customHeight="1">
      <c r="A8673" t="s">
        <v>477</v>
      </c>
      <c r="B8673" t="s">
        <v>38</v>
      </c>
      <c r="C8673" t="s">
        <v>38</v>
      </c>
      <c r="D8673">
        <v>245</v>
      </c>
    </row>
    <row r="8674" spans="1:4" ht="15.75" customHeight="1">
      <c r="A8674" t="s">
        <v>4412</v>
      </c>
      <c r="B8674" t="s">
        <v>38</v>
      </c>
      <c r="C8674" t="s">
        <v>38</v>
      </c>
      <c r="D8674">
        <v>245</v>
      </c>
    </row>
    <row r="8675" spans="1:4" ht="15.75" customHeight="1">
      <c r="A8675" t="s">
        <v>4113</v>
      </c>
      <c r="B8675" t="s">
        <v>38</v>
      </c>
      <c r="C8675" t="s">
        <v>38</v>
      </c>
      <c r="D8675">
        <v>244</v>
      </c>
    </row>
    <row r="8676" spans="1:4" ht="15.75" customHeight="1">
      <c r="A8676" t="s">
        <v>1323</v>
      </c>
      <c r="B8676" t="s">
        <v>38</v>
      </c>
      <c r="C8676" t="s">
        <v>38</v>
      </c>
      <c r="D8676">
        <v>243</v>
      </c>
    </row>
    <row r="8677" spans="1:4" ht="15.75" customHeight="1">
      <c r="A8677" t="s">
        <v>1386</v>
      </c>
      <c r="B8677" t="s">
        <v>38</v>
      </c>
      <c r="C8677" t="s">
        <v>38</v>
      </c>
      <c r="D8677">
        <v>242</v>
      </c>
    </row>
    <row r="8678" spans="1:4" ht="15.75" customHeight="1">
      <c r="A8678" t="s">
        <v>2776</v>
      </c>
      <c r="B8678" t="s">
        <v>38</v>
      </c>
      <c r="C8678" t="s">
        <v>38</v>
      </c>
      <c r="D8678">
        <v>241</v>
      </c>
    </row>
    <row r="8679" spans="1:4" ht="15.75" customHeight="1">
      <c r="A8679" t="s">
        <v>546</v>
      </c>
      <c r="B8679" t="s">
        <v>38</v>
      </c>
      <c r="C8679" t="s">
        <v>38</v>
      </c>
      <c r="D8679">
        <v>241</v>
      </c>
    </row>
    <row r="8680" spans="1:4" ht="15.75" customHeight="1">
      <c r="A8680" t="s">
        <v>2258</v>
      </c>
      <c r="B8680" t="s">
        <v>38</v>
      </c>
      <c r="C8680" t="s">
        <v>38</v>
      </c>
      <c r="D8680">
        <v>241</v>
      </c>
    </row>
    <row r="8681" spans="1:4" ht="15.75" customHeight="1">
      <c r="A8681" t="s">
        <v>2233</v>
      </c>
      <c r="B8681" t="s">
        <v>38</v>
      </c>
      <c r="C8681" t="s">
        <v>38</v>
      </c>
      <c r="D8681">
        <v>241</v>
      </c>
    </row>
    <row r="8682" spans="1:4" ht="15.75" customHeight="1">
      <c r="A8682" t="s">
        <v>2767</v>
      </c>
      <c r="B8682" t="s">
        <v>38</v>
      </c>
      <c r="C8682" t="s">
        <v>38</v>
      </c>
      <c r="D8682">
        <v>241</v>
      </c>
    </row>
    <row r="8683" spans="1:4" ht="15.75" customHeight="1">
      <c r="A8683" t="s">
        <v>1389</v>
      </c>
      <c r="B8683" t="s">
        <v>38</v>
      </c>
      <c r="C8683" t="s">
        <v>38</v>
      </c>
      <c r="D8683">
        <v>239</v>
      </c>
    </row>
    <row r="8684" spans="1:4" ht="15.75" customHeight="1">
      <c r="A8684" t="s">
        <v>3219</v>
      </c>
      <c r="B8684" t="s">
        <v>38</v>
      </c>
      <c r="C8684" t="s">
        <v>38</v>
      </c>
      <c r="D8684">
        <v>238</v>
      </c>
    </row>
    <row r="8685" spans="1:4" ht="15.75" customHeight="1">
      <c r="A8685" t="s">
        <v>4083</v>
      </c>
      <c r="B8685" t="s">
        <v>38</v>
      </c>
      <c r="C8685" t="s">
        <v>38</v>
      </c>
      <c r="D8685">
        <v>237</v>
      </c>
    </row>
    <row r="8686" spans="1:4" ht="15.75" customHeight="1">
      <c r="A8686" t="s">
        <v>3244</v>
      </c>
      <c r="B8686" t="s">
        <v>38</v>
      </c>
      <c r="C8686" t="s">
        <v>38</v>
      </c>
      <c r="D8686">
        <v>235</v>
      </c>
    </row>
    <row r="8687" spans="1:4" ht="15.75" customHeight="1">
      <c r="A8687" t="s">
        <v>3213</v>
      </c>
      <c r="B8687" t="s">
        <v>38</v>
      </c>
      <c r="C8687" t="s">
        <v>38</v>
      </c>
      <c r="D8687">
        <v>235</v>
      </c>
    </row>
    <row r="8688" spans="1:4" ht="15.75" customHeight="1">
      <c r="A8688" t="s">
        <v>4124</v>
      </c>
      <c r="B8688" t="s">
        <v>38</v>
      </c>
      <c r="C8688" t="s">
        <v>38</v>
      </c>
      <c r="D8688">
        <v>235</v>
      </c>
    </row>
    <row r="8689" spans="1:4" ht="15.75" customHeight="1">
      <c r="A8689" t="s">
        <v>4726</v>
      </c>
      <c r="B8689" t="s">
        <v>38</v>
      </c>
      <c r="C8689" t="s">
        <v>38</v>
      </c>
      <c r="D8689">
        <v>232</v>
      </c>
    </row>
    <row r="8690" spans="1:4" ht="15.75" customHeight="1">
      <c r="A8690" t="s">
        <v>1785</v>
      </c>
      <c r="B8690" t="s">
        <v>38</v>
      </c>
      <c r="C8690" t="s">
        <v>38</v>
      </c>
      <c r="D8690">
        <v>231</v>
      </c>
    </row>
    <row r="8691" spans="1:4" ht="15.75" customHeight="1">
      <c r="A8691" t="s">
        <v>2697</v>
      </c>
      <c r="B8691" t="s">
        <v>38</v>
      </c>
      <c r="C8691" t="s">
        <v>38</v>
      </c>
      <c r="D8691">
        <v>230</v>
      </c>
    </row>
    <row r="8692" spans="1:4" ht="15.75" customHeight="1">
      <c r="A8692" t="s">
        <v>2801</v>
      </c>
      <c r="B8692" t="s">
        <v>38</v>
      </c>
      <c r="C8692" t="s">
        <v>38</v>
      </c>
      <c r="D8692">
        <v>230</v>
      </c>
    </row>
    <row r="8693" spans="1:4" ht="15.75" customHeight="1">
      <c r="A8693" t="s">
        <v>3699</v>
      </c>
      <c r="B8693" t="s">
        <v>38</v>
      </c>
      <c r="C8693" t="s">
        <v>38</v>
      </c>
      <c r="D8693">
        <v>229</v>
      </c>
    </row>
    <row r="8694" spans="1:4" ht="15.75" customHeight="1">
      <c r="A8694" t="s">
        <v>2206</v>
      </c>
      <c r="B8694" t="s">
        <v>38</v>
      </c>
      <c r="C8694" t="s">
        <v>38</v>
      </c>
      <c r="D8694">
        <v>228</v>
      </c>
    </row>
    <row r="8695" spans="1:4" ht="15.75" customHeight="1">
      <c r="A8695" t="s">
        <v>4779</v>
      </c>
      <c r="B8695" t="s">
        <v>38</v>
      </c>
      <c r="C8695" t="s">
        <v>38</v>
      </c>
      <c r="D8695">
        <v>227</v>
      </c>
    </row>
    <row r="8696" spans="1:4" ht="15.75" customHeight="1">
      <c r="A8696" t="s">
        <v>3649</v>
      </c>
      <c r="B8696" t="s">
        <v>38</v>
      </c>
      <c r="C8696" t="s">
        <v>38</v>
      </c>
      <c r="D8696">
        <v>225</v>
      </c>
    </row>
    <row r="8697" spans="1:4" ht="15.75" customHeight="1">
      <c r="A8697" t="s">
        <v>4379</v>
      </c>
      <c r="B8697" t="s">
        <v>38</v>
      </c>
      <c r="C8697" t="s">
        <v>38</v>
      </c>
      <c r="D8697">
        <v>223</v>
      </c>
    </row>
    <row r="8698" spans="1:4" ht="15.75" customHeight="1">
      <c r="A8698" t="s">
        <v>3201</v>
      </c>
      <c r="B8698" t="s">
        <v>38</v>
      </c>
      <c r="C8698" t="s">
        <v>38</v>
      </c>
      <c r="D8698">
        <v>223</v>
      </c>
    </row>
    <row r="8699" spans="1:4" ht="15.75" customHeight="1">
      <c r="A8699" t="s">
        <v>2106</v>
      </c>
      <c r="B8699" t="s">
        <v>38</v>
      </c>
      <c r="C8699" t="s">
        <v>38</v>
      </c>
      <c r="D8699">
        <v>220</v>
      </c>
    </row>
    <row r="8700" spans="1:4" ht="15.75" customHeight="1">
      <c r="A8700" t="s">
        <v>4426</v>
      </c>
      <c r="B8700" t="s">
        <v>38</v>
      </c>
      <c r="C8700" t="s">
        <v>38</v>
      </c>
      <c r="D8700">
        <v>219</v>
      </c>
    </row>
    <row r="8701" spans="1:4" ht="15.75" customHeight="1">
      <c r="A8701" t="s">
        <v>3238</v>
      </c>
      <c r="B8701" t="s">
        <v>38</v>
      </c>
      <c r="C8701" t="s">
        <v>38</v>
      </c>
      <c r="D8701">
        <v>218</v>
      </c>
    </row>
    <row r="8702" spans="1:4" ht="15.75" customHeight="1">
      <c r="A8702" t="s">
        <v>2740</v>
      </c>
      <c r="B8702" t="s">
        <v>38</v>
      </c>
      <c r="C8702" t="s">
        <v>38</v>
      </c>
      <c r="D8702">
        <v>218</v>
      </c>
    </row>
    <row r="8703" spans="1:4" ht="15.75" customHeight="1">
      <c r="A8703" t="s">
        <v>2866</v>
      </c>
      <c r="B8703" t="s">
        <v>38</v>
      </c>
      <c r="C8703" t="s">
        <v>38</v>
      </c>
      <c r="D8703">
        <v>218</v>
      </c>
    </row>
    <row r="8704" spans="1:4" ht="15.75" customHeight="1">
      <c r="A8704" t="s">
        <v>4134</v>
      </c>
      <c r="B8704" t="s">
        <v>38</v>
      </c>
      <c r="C8704" t="s">
        <v>38</v>
      </c>
      <c r="D8704">
        <v>218</v>
      </c>
    </row>
    <row r="8705" spans="1:4" ht="15.75" customHeight="1">
      <c r="A8705" t="s">
        <v>4089</v>
      </c>
      <c r="B8705" t="s">
        <v>38</v>
      </c>
      <c r="C8705" t="s">
        <v>38</v>
      </c>
      <c r="D8705">
        <v>218</v>
      </c>
    </row>
    <row r="8706" spans="1:4" ht="15.75" customHeight="1">
      <c r="A8706" t="s">
        <v>3726</v>
      </c>
      <c r="B8706" t="s">
        <v>38</v>
      </c>
      <c r="C8706" t="s">
        <v>38</v>
      </c>
      <c r="D8706">
        <v>216</v>
      </c>
    </row>
    <row r="8707" spans="1:4" ht="15.75" customHeight="1">
      <c r="A8707" t="s">
        <v>4138</v>
      </c>
      <c r="B8707" t="s">
        <v>38</v>
      </c>
      <c r="C8707" t="s">
        <v>38</v>
      </c>
      <c r="D8707">
        <v>216</v>
      </c>
    </row>
    <row r="8708" spans="1:4" ht="15.75" customHeight="1">
      <c r="A8708" t="s">
        <v>3205</v>
      </c>
      <c r="B8708" t="s">
        <v>38</v>
      </c>
      <c r="C8708" t="s">
        <v>38</v>
      </c>
      <c r="D8708">
        <v>215</v>
      </c>
    </row>
    <row r="8709" spans="1:4" ht="15.75" customHeight="1">
      <c r="A8709" t="s">
        <v>485</v>
      </c>
      <c r="B8709" t="s">
        <v>38</v>
      </c>
      <c r="C8709" t="s">
        <v>38</v>
      </c>
      <c r="D8709">
        <v>214</v>
      </c>
    </row>
    <row r="8710" spans="1:4" ht="15.75" customHeight="1">
      <c r="A8710" t="s">
        <v>2793</v>
      </c>
      <c r="B8710" t="s">
        <v>38</v>
      </c>
      <c r="C8710" t="s">
        <v>38</v>
      </c>
      <c r="D8710">
        <v>212</v>
      </c>
    </row>
    <row r="8711" spans="1:4" ht="15.75" customHeight="1">
      <c r="A8711" t="s">
        <v>675</v>
      </c>
      <c r="B8711" t="s">
        <v>38</v>
      </c>
      <c r="C8711" t="s">
        <v>38</v>
      </c>
      <c r="D8711">
        <v>212</v>
      </c>
    </row>
    <row r="8712" spans="1:4" ht="15.75" customHeight="1">
      <c r="A8712" t="s">
        <v>1285</v>
      </c>
      <c r="B8712" t="s">
        <v>38</v>
      </c>
      <c r="C8712" t="s">
        <v>38</v>
      </c>
      <c r="D8712">
        <v>211</v>
      </c>
    </row>
    <row r="8713" spans="1:4" ht="15.75" customHeight="1">
      <c r="A8713" t="s">
        <v>2778</v>
      </c>
      <c r="B8713" t="s">
        <v>38</v>
      </c>
      <c r="C8713" t="s">
        <v>38</v>
      </c>
      <c r="D8713">
        <v>210</v>
      </c>
    </row>
    <row r="8714" spans="1:4" ht="15.75" customHeight="1">
      <c r="A8714" t="s">
        <v>4823</v>
      </c>
      <c r="B8714" t="s">
        <v>38</v>
      </c>
      <c r="C8714" t="s">
        <v>38</v>
      </c>
      <c r="D8714">
        <v>209</v>
      </c>
    </row>
    <row r="8715" spans="1:4" ht="15.75" customHeight="1">
      <c r="A8715" t="s">
        <v>4105</v>
      </c>
      <c r="B8715" t="s">
        <v>38</v>
      </c>
      <c r="C8715" t="s">
        <v>38</v>
      </c>
      <c r="D8715">
        <v>208</v>
      </c>
    </row>
    <row r="8716" spans="1:4" ht="15.75" customHeight="1">
      <c r="A8716" t="s">
        <v>3194</v>
      </c>
      <c r="B8716" t="s">
        <v>38</v>
      </c>
      <c r="C8716" t="s">
        <v>38</v>
      </c>
      <c r="D8716">
        <v>207</v>
      </c>
    </row>
    <row r="8717" spans="1:4" ht="15.75" customHeight="1">
      <c r="A8717" t="s">
        <v>1391</v>
      </c>
      <c r="B8717" t="s">
        <v>38</v>
      </c>
      <c r="C8717" t="s">
        <v>38</v>
      </c>
      <c r="D8717">
        <v>206</v>
      </c>
    </row>
    <row r="8718" spans="1:4" ht="15.75" customHeight="1">
      <c r="A8718" t="s">
        <v>4016</v>
      </c>
      <c r="B8718" t="s">
        <v>38</v>
      </c>
      <c r="C8718" t="s">
        <v>38</v>
      </c>
      <c r="D8718">
        <v>206</v>
      </c>
    </row>
    <row r="8719" spans="1:4" ht="15.75" customHeight="1">
      <c r="A8719" t="s">
        <v>4794</v>
      </c>
      <c r="B8719" t="s">
        <v>38</v>
      </c>
      <c r="C8719" t="s">
        <v>38</v>
      </c>
      <c r="D8719">
        <v>205</v>
      </c>
    </row>
    <row r="8720" spans="1:4" ht="15.75" customHeight="1">
      <c r="A8720" t="s">
        <v>1744</v>
      </c>
      <c r="B8720" t="s">
        <v>38</v>
      </c>
      <c r="C8720" t="s">
        <v>38</v>
      </c>
      <c r="D8720">
        <v>205</v>
      </c>
    </row>
    <row r="8721" spans="1:4" ht="15.75" customHeight="1">
      <c r="A8721" t="s">
        <v>2219</v>
      </c>
      <c r="B8721" t="s">
        <v>38</v>
      </c>
      <c r="C8721" t="s">
        <v>38</v>
      </c>
      <c r="D8721">
        <v>205</v>
      </c>
    </row>
    <row r="8722" spans="1:4" ht="15.75" customHeight="1">
      <c r="A8722" t="s">
        <v>4406</v>
      </c>
      <c r="B8722" t="s">
        <v>38</v>
      </c>
      <c r="C8722" t="s">
        <v>38</v>
      </c>
      <c r="D8722">
        <v>204</v>
      </c>
    </row>
    <row r="8723" spans="1:4" ht="15.75" customHeight="1">
      <c r="A8723" t="s">
        <v>1347</v>
      </c>
      <c r="B8723" t="s">
        <v>38</v>
      </c>
      <c r="C8723" t="s">
        <v>38</v>
      </c>
      <c r="D8723">
        <v>203</v>
      </c>
    </row>
    <row r="8724" spans="1:4" ht="15.75" customHeight="1">
      <c r="A8724" t="s">
        <v>1738</v>
      </c>
      <c r="B8724" t="s">
        <v>38</v>
      </c>
      <c r="C8724" t="s">
        <v>38</v>
      </c>
      <c r="D8724">
        <v>202</v>
      </c>
    </row>
    <row r="8725" spans="1:4" ht="15.75" customHeight="1">
      <c r="A8725" t="s">
        <v>2703</v>
      </c>
      <c r="B8725" t="s">
        <v>38</v>
      </c>
      <c r="C8725" t="s">
        <v>38</v>
      </c>
      <c r="D8725">
        <v>201</v>
      </c>
    </row>
    <row r="8726" spans="1:4" ht="15.75" customHeight="1">
      <c r="A8726" t="s">
        <v>2264</v>
      </c>
      <c r="B8726" t="s">
        <v>38</v>
      </c>
      <c r="C8726" t="s">
        <v>38</v>
      </c>
      <c r="D8726">
        <v>199</v>
      </c>
    </row>
    <row r="8727" spans="1:4" ht="15.75" customHeight="1">
      <c r="A8727" t="s">
        <v>3215</v>
      </c>
      <c r="B8727" t="s">
        <v>38</v>
      </c>
      <c r="C8727" t="s">
        <v>38</v>
      </c>
      <c r="D8727">
        <v>198</v>
      </c>
    </row>
    <row r="8728" spans="1:4" ht="15.75" customHeight="1">
      <c r="A8728" t="s">
        <v>2650</v>
      </c>
      <c r="B8728" t="s">
        <v>38</v>
      </c>
      <c r="C8728" t="s">
        <v>38</v>
      </c>
      <c r="D8728">
        <v>193</v>
      </c>
    </row>
    <row r="8729" spans="1:4" ht="15.75" customHeight="1">
      <c r="A8729" t="s">
        <v>1395</v>
      </c>
      <c r="B8729" t="s">
        <v>38</v>
      </c>
      <c r="C8729" t="s">
        <v>38</v>
      </c>
      <c r="D8729">
        <v>193</v>
      </c>
    </row>
    <row r="8730" spans="1:4" ht="15.75" customHeight="1">
      <c r="A8730" t="s">
        <v>626</v>
      </c>
      <c r="B8730" t="s">
        <v>38</v>
      </c>
      <c r="C8730" t="s">
        <v>38</v>
      </c>
      <c r="D8730">
        <v>192</v>
      </c>
    </row>
    <row r="8731" spans="1:4" ht="15.75" customHeight="1">
      <c r="A8731" t="s">
        <v>4837</v>
      </c>
      <c r="B8731" t="s">
        <v>38</v>
      </c>
      <c r="C8731" t="s">
        <v>38</v>
      </c>
      <c r="D8731">
        <v>189</v>
      </c>
    </row>
    <row r="8732" spans="1:4" ht="15.75" customHeight="1">
      <c r="A8732" t="s">
        <v>2229</v>
      </c>
      <c r="B8732" t="s">
        <v>38</v>
      </c>
      <c r="C8732" t="s">
        <v>38</v>
      </c>
      <c r="D8732">
        <v>187</v>
      </c>
    </row>
    <row r="8733" spans="1:4" ht="15.75" customHeight="1">
      <c r="A8733" t="s">
        <v>483</v>
      </c>
      <c r="B8733" t="s">
        <v>38</v>
      </c>
      <c r="C8733" t="s">
        <v>38</v>
      </c>
      <c r="D8733">
        <v>186</v>
      </c>
    </row>
    <row r="8734" spans="1:4" ht="15.75" customHeight="1">
      <c r="A8734" t="s">
        <v>3156</v>
      </c>
      <c r="B8734" t="s">
        <v>38</v>
      </c>
      <c r="C8734" t="s">
        <v>38</v>
      </c>
      <c r="D8734">
        <v>184</v>
      </c>
    </row>
    <row r="8735" spans="1:4" ht="15.75" customHeight="1">
      <c r="A8735" t="s">
        <v>448</v>
      </c>
      <c r="B8735" t="s">
        <v>38</v>
      </c>
      <c r="C8735" t="s">
        <v>38</v>
      </c>
      <c r="D8735">
        <v>182</v>
      </c>
    </row>
    <row r="8736" spans="1:4" ht="15.75" customHeight="1">
      <c r="A8736" t="s">
        <v>4740</v>
      </c>
      <c r="B8736" t="s">
        <v>38</v>
      </c>
      <c r="C8736" t="s">
        <v>38</v>
      </c>
      <c r="D8736">
        <v>182</v>
      </c>
    </row>
    <row r="8737" spans="1:4" ht="15.75" customHeight="1">
      <c r="A8737" t="s">
        <v>488</v>
      </c>
      <c r="B8737" t="s">
        <v>38</v>
      </c>
      <c r="C8737" t="s">
        <v>38</v>
      </c>
      <c r="D8737">
        <v>181</v>
      </c>
    </row>
    <row r="8738" spans="1:4" ht="15.75" customHeight="1">
      <c r="A8738" t="s">
        <v>4059</v>
      </c>
      <c r="B8738" t="s">
        <v>38</v>
      </c>
      <c r="C8738" t="s">
        <v>38</v>
      </c>
      <c r="D8738">
        <v>181</v>
      </c>
    </row>
    <row r="8739" spans="1:4" ht="15.75" customHeight="1">
      <c r="A8739" t="s">
        <v>2840</v>
      </c>
      <c r="B8739" t="s">
        <v>38</v>
      </c>
      <c r="C8739" t="s">
        <v>38</v>
      </c>
      <c r="D8739">
        <v>180</v>
      </c>
    </row>
    <row r="8740" spans="1:4" ht="15.75" customHeight="1">
      <c r="A8740" t="s">
        <v>1402</v>
      </c>
      <c r="B8740" t="s">
        <v>38</v>
      </c>
      <c r="C8740" t="s">
        <v>38</v>
      </c>
      <c r="D8740">
        <v>180</v>
      </c>
    </row>
    <row r="8741" spans="1:4" ht="15.75" customHeight="1">
      <c r="A8741" t="s">
        <v>2721</v>
      </c>
      <c r="B8741" t="s">
        <v>38</v>
      </c>
      <c r="C8741" t="s">
        <v>38</v>
      </c>
      <c r="D8741">
        <v>180</v>
      </c>
    </row>
    <row r="8742" spans="1:4" ht="15.75" customHeight="1">
      <c r="A8742" t="s">
        <v>3705</v>
      </c>
      <c r="B8742" t="s">
        <v>38</v>
      </c>
      <c r="C8742" t="s">
        <v>38</v>
      </c>
      <c r="D8742">
        <v>179</v>
      </c>
    </row>
    <row r="8743" spans="1:4" ht="15.75" customHeight="1">
      <c r="A8743" t="s">
        <v>2827</v>
      </c>
      <c r="B8743" t="s">
        <v>38</v>
      </c>
      <c r="C8743" t="s">
        <v>38</v>
      </c>
      <c r="D8743">
        <v>179</v>
      </c>
    </row>
    <row r="8744" spans="1:4" ht="15.75" customHeight="1">
      <c r="A8744" t="s">
        <v>601</v>
      </c>
      <c r="B8744" t="s">
        <v>38</v>
      </c>
      <c r="C8744" t="s">
        <v>38</v>
      </c>
      <c r="D8744">
        <v>179</v>
      </c>
    </row>
    <row r="8745" spans="1:4" ht="15.75" customHeight="1">
      <c r="A8745" t="s">
        <v>3203</v>
      </c>
      <c r="B8745" t="s">
        <v>38</v>
      </c>
      <c r="C8745" t="s">
        <v>38</v>
      </c>
      <c r="D8745">
        <v>179</v>
      </c>
    </row>
    <row r="8746" spans="1:4" ht="15.75" customHeight="1">
      <c r="A8746" t="s">
        <v>1774</v>
      </c>
      <c r="B8746" t="s">
        <v>38</v>
      </c>
      <c r="C8746" t="s">
        <v>38</v>
      </c>
      <c r="D8746">
        <v>177</v>
      </c>
    </row>
    <row r="8747" spans="1:4" ht="15.75" customHeight="1">
      <c r="A8747" t="s">
        <v>3196</v>
      </c>
      <c r="B8747" t="s">
        <v>38</v>
      </c>
      <c r="C8747" t="s">
        <v>38</v>
      </c>
      <c r="D8747">
        <v>177</v>
      </c>
    </row>
    <row r="8748" spans="1:4" ht="15.75" customHeight="1">
      <c r="A8748" t="s">
        <v>2681</v>
      </c>
      <c r="B8748" t="s">
        <v>38</v>
      </c>
      <c r="C8748" t="s">
        <v>38</v>
      </c>
      <c r="D8748">
        <v>176</v>
      </c>
    </row>
    <row r="8749" spans="1:4" ht="15.75" customHeight="1">
      <c r="A8749" t="s">
        <v>502</v>
      </c>
      <c r="B8749" t="s">
        <v>38</v>
      </c>
      <c r="C8749" t="s">
        <v>38</v>
      </c>
      <c r="D8749">
        <v>174</v>
      </c>
    </row>
    <row r="8750" spans="1:4" ht="15.75" customHeight="1">
      <c r="A8750" t="s">
        <v>3720</v>
      </c>
      <c r="B8750" t="s">
        <v>38</v>
      </c>
      <c r="C8750" t="s">
        <v>38</v>
      </c>
      <c r="D8750">
        <v>174</v>
      </c>
    </row>
    <row r="8751" spans="1:4" ht="15.75" customHeight="1">
      <c r="A8751" t="s">
        <v>2837</v>
      </c>
      <c r="B8751" t="s">
        <v>38</v>
      </c>
      <c r="C8751" t="s">
        <v>38</v>
      </c>
      <c r="D8751">
        <v>173</v>
      </c>
    </row>
    <row r="8752" spans="1:4" ht="15.75" customHeight="1">
      <c r="A8752" t="s">
        <v>3165</v>
      </c>
      <c r="B8752" t="s">
        <v>38</v>
      </c>
      <c r="C8752" t="s">
        <v>38</v>
      </c>
      <c r="D8752">
        <v>170</v>
      </c>
    </row>
    <row r="8753" spans="1:4" ht="15.75" customHeight="1">
      <c r="A8753" t="s">
        <v>4376</v>
      </c>
      <c r="B8753" t="s">
        <v>38</v>
      </c>
      <c r="C8753" t="s">
        <v>38</v>
      </c>
      <c r="D8753">
        <v>169</v>
      </c>
    </row>
    <row r="8754" spans="1:4" ht="15.75" customHeight="1">
      <c r="A8754" t="s">
        <v>496</v>
      </c>
      <c r="B8754" t="s">
        <v>38</v>
      </c>
      <c r="C8754" t="s">
        <v>38</v>
      </c>
      <c r="D8754">
        <v>168</v>
      </c>
    </row>
    <row r="8755" spans="1:4" ht="15.75" customHeight="1">
      <c r="A8755" t="s">
        <v>3589</v>
      </c>
      <c r="B8755" t="s">
        <v>38</v>
      </c>
      <c r="C8755" t="s">
        <v>38</v>
      </c>
      <c r="D8755">
        <v>168</v>
      </c>
    </row>
    <row r="8756" spans="1:4" ht="15.75" customHeight="1">
      <c r="A8756" t="s">
        <v>1393</v>
      </c>
      <c r="B8756" t="s">
        <v>38</v>
      </c>
      <c r="C8756" t="s">
        <v>38</v>
      </c>
      <c r="D8756">
        <v>168</v>
      </c>
    </row>
    <row r="8757" spans="1:4" ht="15.75" customHeight="1">
      <c r="A8757" t="s">
        <v>4420</v>
      </c>
      <c r="B8757" t="s">
        <v>38</v>
      </c>
      <c r="C8757" t="s">
        <v>38</v>
      </c>
      <c r="D8757">
        <v>166</v>
      </c>
    </row>
    <row r="8758" spans="1:4" ht="15.75" customHeight="1">
      <c r="A8758" t="s">
        <v>4410</v>
      </c>
      <c r="B8758" t="s">
        <v>38</v>
      </c>
      <c r="C8758" t="s">
        <v>38</v>
      </c>
      <c r="D8758">
        <v>166</v>
      </c>
    </row>
    <row r="8759" spans="1:4" ht="15.75" customHeight="1">
      <c r="A8759" t="s">
        <v>3293</v>
      </c>
      <c r="B8759" t="s">
        <v>38</v>
      </c>
      <c r="C8759" t="s">
        <v>38</v>
      </c>
      <c r="D8759">
        <v>165</v>
      </c>
    </row>
    <row r="8760" spans="1:4" ht="15.75" customHeight="1">
      <c r="A8760" t="s">
        <v>2756</v>
      </c>
      <c r="B8760" t="s">
        <v>38</v>
      </c>
      <c r="C8760" t="s">
        <v>38</v>
      </c>
      <c r="D8760">
        <v>162</v>
      </c>
    </row>
    <row r="8761" spans="1:4" ht="15.75" customHeight="1">
      <c r="A8761" t="s">
        <v>4401</v>
      </c>
      <c r="B8761" t="s">
        <v>38</v>
      </c>
      <c r="C8761" t="s">
        <v>38</v>
      </c>
      <c r="D8761">
        <v>161</v>
      </c>
    </row>
    <row r="8762" spans="1:4" ht="15.75" customHeight="1">
      <c r="A8762" t="s">
        <v>4422</v>
      </c>
      <c r="B8762" t="s">
        <v>38</v>
      </c>
      <c r="C8762" t="s">
        <v>38</v>
      </c>
      <c r="D8762">
        <v>161</v>
      </c>
    </row>
    <row r="8763" spans="1:4" ht="15.75" customHeight="1">
      <c r="A8763" t="s">
        <v>3279</v>
      </c>
      <c r="B8763" t="s">
        <v>38</v>
      </c>
      <c r="C8763" t="s">
        <v>38</v>
      </c>
      <c r="D8763">
        <v>160</v>
      </c>
    </row>
    <row r="8764" spans="1:4" ht="15.75" customHeight="1">
      <c r="A8764" t="s">
        <v>4817</v>
      </c>
      <c r="B8764" t="s">
        <v>38</v>
      </c>
      <c r="C8764" t="s">
        <v>38</v>
      </c>
      <c r="D8764">
        <v>160</v>
      </c>
    </row>
    <row r="8765" spans="1:4" ht="15.75" customHeight="1">
      <c r="A8765" t="s">
        <v>3152</v>
      </c>
      <c r="B8765" t="s">
        <v>38</v>
      </c>
      <c r="C8765" t="s">
        <v>38</v>
      </c>
      <c r="D8765">
        <v>159</v>
      </c>
    </row>
    <row r="8766" spans="1:4" ht="15.75" customHeight="1">
      <c r="A8766" t="s">
        <v>4117</v>
      </c>
      <c r="B8766" t="s">
        <v>38</v>
      </c>
      <c r="C8766" t="s">
        <v>38</v>
      </c>
      <c r="D8766">
        <v>158</v>
      </c>
    </row>
    <row r="8767" spans="1:4" ht="15.75" customHeight="1">
      <c r="A8767" t="s">
        <v>2276</v>
      </c>
      <c r="B8767" t="s">
        <v>38</v>
      </c>
      <c r="C8767" t="s">
        <v>38</v>
      </c>
      <c r="D8767">
        <v>156</v>
      </c>
    </row>
    <row r="8768" spans="1:4" ht="15.75" customHeight="1">
      <c r="A8768" t="s">
        <v>1693</v>
      </c>
      <c r="B8768" t="s">
        <v>38</v>
      </c>
      <c r="C8768" t="s">
        <v>38</v>
      </c>
      <c r="D8768">
        <v>156</v>
      </c>
    </row>
    <row r="8769" spans="1:4" ht="15.75" customHeight="1">
      <c r="A8769" t="s">
        <v>1345</v>
      </c>
      <c r="B8769" t="s">
        <v>38</v>
      </c>
      <c r="C8769" t="s">
        <v>38</v>
      </c>
      <c r="D8769">
        <v>156</v>
      </c>
    </row>
    <row r="8770" spans="1:4" ht="15.75" customHeight="1">
      <c r="A8770" t="s">
        <v>3224</v>
      </c>
      <c r="B8770" t="s">
        <v>38</v>
      </c>
      <c r="C8770" t="s">
        <v>38</v>
      </c>
      <c r="D8770">
        <v>156</v>
      </c>
    </row>
    <row r="8771" spans="1:4" ht="15.75" customHeight="1">
      <c r="A8771" t="s">
        <v>2790</v>
      </c>
      <c r="B8771" t="s">
        <v>38</v>
      </c>
      <c r="C8771" t="s">
        <v>38</v>
      </c>
      <c r="D8771">
        <v>154</v>
      </c>
    </row>
    <row r="8772" spans="1:4" ht="15.75" customHeight="1">
      <c r="A8772" t="s">
        <v>594</v>
      </c>
      <c r="B8772" t="s">
        <v>38</v>
      </c>
      <c r="C8772" t="s">
        <v>38</v>
      </c>
      <c r="D8772">
        <v>154</v>
      </c>
    </row>
    <row r="8773" spans="1:4" ht="15.75" customHeight="1">
      <c r="A8773" t="s">
        <v>551</v>
      </c>
      <c r="B8773" t="s">
        <v>38</v>
      </c>
      <c r="C8773" t="s">
        <v>38</v>
      </c>
      <c r="D8773">
        <v>151</v>
      </c>
    </row>
    <row r="8774" spans="1:4" ht="15.75" customHeight="1">
      <c r="A8774" t="s">
        <v>3221</v>
      </c>
      <c r="B8774" t="s">
        <v>38</v>
      </c>
      <c r="C8774" t="s">
        <v>38</v>
      </c>
      <c r="D8774">
        <v>149</v>
      </c>
    </row>
    <row r="8775" spans="1:4" ht="15.75" customHeight="1">
      <c r="A8775" t="s">
        <v>611</v>
      </c>
      <c r="B8775" t="s">
        <v>38</v>
      </c>
      <c r="C8775" t="s">
        <v>38</v>
      </c>
      <c r="D8775">
        <v>149</v>
      </c>
    </row>
    <row r="8776" spans="1:4" ht="15.75" customHeight="1">
      <c r="A8776" t="s">
        <v>3272</v>
      </c>
      <c r="B8776" t="s">
        <v>38</v>
      </c>
      <c r="C8776" t="s">
        <v>38</v>
      </c>
      <c r="D8776">
        <v>148</v>
      </c>
    </row>
    <row r="8777" spans="1:4" ht="15.75" customHeight="1">
      <c r="A8777" t="s">
        <v>2278</v>
      </c>
      <c r="B8777" t="s">
        <v>38</v>
      </c>
      <c r="C8777" t="s">
        <v>38</v>
      </c>
      <c r="D8777">
        <v>148</v>
      </c>
    </row>
    <row r="8778" spans="1:4" ht="15.75" customHeight="1">
      <c r="A8778" t="s">
        <v>3710</v>
      </c>
      <c r="B8778" t="s">
        <v>38</v>
      </c>
      <c r="C8778" t="s">
        <v>38</v>
      </c>
      <c r="D8778">
        <v>148</v>
      </c>
    </row>
    <row r="8779" spans="1:4" ht="15.75" customHeight="1">
      <c r="A8779" t="s">
        <v>2745</v>
      </c>
      <c r="B8779" t="s">
        <v>38</v>
      </c>
      <c r="C8779" t="s">
        <v>38</v>
      </c>
      <c r="D8779">
        <v>146</v>
      </c>
    </row>
    <row r="8780" spans="1:4" ht="15.75" customHeight="1">
      <c r="A8780" t="s">
        <v>2181</v>
      </c>
      <c r="B8780" t="s">
        <v>38</v>
      </c>
      <c r="C8780" t="s">
        <v>38</v>
      </c>
      <c r="D8780">
        <v>144</v>
      </c>
    </row>
    <row r="8781" spans="1:4" ht="15.75" customHeight="1">
      <c r="A8781" t="s">
        <v>2166</v>
      </c>
      <c r="B8781" t="s">
        <v>38</v>
      </c>
      <c r="C8781" t="s">
        <v>38</v>
      </c>
      <c r="D8781">
        <v>143</v>
      </c>
    </row>
    <row r="8782" spans="1:4" ht="15.75" customHeight="1">
      <c r="A8782" t="s">
        <v>4815</v>
      </c>
      <c r="B8782" t="s">
        <v>38</v>
      </c>
      <c r="C8782" t="s">
        <v>38</v>
      </c>
      <c r="D8782">
        <v>142</v>
      </c>
    </row>
    <row r="8783" spans="1:4" ht="15.75" customHeight="1">
      <c r="A8783" t="s">
        <v>539</v>
      </c>
      <c r="B8783" t="s">
        <v>38</v>
      </c>
      <c r="C8783" t="s">
        <v>38</v>
      </c>
      <c r="D8783">
        <v>142</v>
      </c>
    </row>
    <row r="8784" spans="1:4" ht="15.75" customHeight="1">
      <c r="A8784" t="s">
        <v>609</v>
      </c>
      <c r="B8784" t="s">
        <v>38</v>
      </c>
      <c r="C8784" t="s">
        <v>38</v>
      </c>
      <c r="D8784">
        <v>141</v>
      </c>
    </row>
    <row r="8785" spans="1:4" ht="15.75" customHeight="1">
      <c r="A8785" t="s">
        <v>1762</v>
      </c>
      <c r="B8785" t="s">
        <v>38</v>
      </c>
      <c r="C8785" t="s">
        <v>38</v>
      </c>
      <c r="D8785">
        <v>140</v>
      </c>
    </row>
    <row r="8786" spans="1:4" ht="15.75" customHeight="1">
      <c r="A8786" t="s">
        <v>3304</v>
      </c>
      <c r="B8786" t="s">
        <v>38</v>
      </c>
      <c r="C8786" t="s">
        <v>38</v>
      </c>
      <c r="D8786">
        <v>140</v>
      </c>
    </row>
    <row r="8787" spans="1:4" ht="15.75" customHeight="1">
      <c r="A8787" t="s">
        <v>1758</v>
      </c>
      <c r="B8787" t="s">
        <v>38</v>
      </c>
      <c r="C8787" t="s">
        <v>38</v>
      </c>
      <c r="D8787">
        <v>138</v>
      </c>
    </row>
    <row r="8788" spans="1:4" ht="15.75" customHeight="1">
      <c r="A8788" t="s">
        <v>3232</v>
      </c>
      <c r="B8788" t="s">
        <v>38</v>
      </c>
      <c r="C8788" t="s">
        <v>38</v>
      </c>
      <c r="D8788">
        <v>137</v>
      </c>
    </row>
    <row r="8789" spans="1:4" ht="15.75" customHeight="1">
      <c r="A8789" t="s">
        <v>4354</v>
      </c>
      <c r="B8789" t="s">
        <v>38</v>
      </c>
      <c r="C8789" t="s">
        <v>38</v>
      </c>
      <c r="D8789">
        <v>136</v>
      </c>
    </row>
    <row r="8790" spans="1:4" ht="15.75" customHeight="1">
      <c r="A8790" t="s">
        <v>1789</v>
      </c>
      <c r="B8790" t="s">
        <v>38</v>
      </c>
      <c r="C8790" t="s">
        <v>38</v>
      </c>
      <c r="D8790">
        <v>136</v>
      </c>
    </row>
    <row r="8791" spans="1:4" ht="15.75" customHeight="1">
      <c r="A8791" t="s">
        <v>4733</v>
      </c>
      <c r="B8791" t="s">
        <v>38</v>
      </c>
      <c r="C8791" t="s">
        <v>38</v>
      </c>
      <c r="D8791">
        <v>136</v>
      </c>
    </row>
    <row r="8792" spans="1:4" ht="15.75" customHeight="1">
      <c r="A8792" t="s">
        <v>1754</v>
      </c>
      <c r="B8792" t="s">
        <v>38</v>
      </c>
      <c r="C8792" t="s">
        <v>38</v>
      </c>
      <c r="D8792">
        <v>135</v>
      </c>
    </row>
    <row r="8793" spans="1:4" ht="15.75" customHeight="1">
      <c r="A8793" t="s">
        <v>4101</v>
      </c>
      <c r="B8793" t="s">
        <v>38</v>
      </c>
      <c r="C8793" t="s">
        <v>38</v>
      </c>
      <c r="D8793">
        <v>134</v>
      </c>
    </row>
    <row r="8794" spans="1:4" ht="15.75" customHeight="1">
      <c r="A8794" t="s">
        <v>4025</v>
      </c>
      <c r="B8794" t="s">
        <v>38</v>
      </c>
      <c r="C8794" t="s">
        <v>38</v>
      </c>
      <c r="D8794">
        <v>131</v>
      </c>
    </row>
    <row r="8795" spans="1:4" ht="15.75" customHeight="1">
      <c r="A8795" t="s">
        <v>3629</v>
      </c>
      <c r="B8795" t="s">
        <v>38</v>
      </c>
      <c r="C8795" t="s">
        <v>38</v>
      </c>
      <c r="D8795">
        <v>131</v>
      </c>
    </row>
    <row r="8796" spans="1:4" ht="15.75" customHeight="1">
      <c r="A8796" t="s">
        <v>1223</v>
      </c>
      <c r="B8796" t="s">
        <v>38</v>
      </c>
      <c r="C8796" t="s">
        <v>38</v>
      </c>
      <c r="D8796">
        <v>130</v>
      </c>
    </row>
    <row r="8797" spans="1:4" ht="15.75" customHeight="1">
      <c r="A8797" t="s">
        <v>2225</v>
      </c>
      <c r="B8797" t="s">
        <v>38</v>
      </c>
      <c r="C8797" t="s">
        <v>38</v>
      </c>
      <c r="D8797">
        <v>130</v>
      </c>
    </row>
    <row r="8798" spans="1:4" ht="15.75" customHeight="1">
      <c r="A8798" t="s">
        <v>2654</v>
      </c>
      <c r="B8798" t="s">
        <v>38</v>
      </c>
      <c r="C8798" t="s">
        <v>38</v>
      </c>
      <c r="D8798">
        <v>130</v>
      </c>
    </row>
    <row r="8799" spans="1:4" ht="15.75" customHeight="1">
      <c r="A8799" t="s">
        <v>4736</v>
      </c>
      <c r="B8799" t="s">
        <v>38</v>
      </c>
      <c r="C8799" t="s">
        <v>38</v>
      </c>
      <c r="D8799">
        <v>129</v>
      </c>
    </row>
    <row r="8800" spans="1:4" ht="15.75" customHeight="1">
      <c r="A8800" t="s">
        <v>4753</v>
      </c>
      <c r="B8800" t="s">
        <v>38</v>
      </c>
      <c r="C8800" t="s">
        <v>38</v>
      </c>
      <c r="D8800">
        <v>129</v>
      </c>
    </row>
    <row r="8801" spans="1:4" ht="15.75" customHeight="1">
      <c r="A8801" t="s">
        <v>509</v>
      </c>
      <c r="B8801" t="s">
        <v>38</v>
      </c>
      <c r="C8801" t="s">
        <v>38</v>
      </c>
      <c r="D8801">
        <v>129</v>
      </c>
    </row>
    <row r="8802" spans="1:4" ht="15.75" customHeight="1">
      <c r="A8802" t="s">
        <v>3261</v>
      </c>
      <c r="B8802" t="s">
        <v>38</v>
      </c>
      <c r="C8802" t="s">
        <v>38</v>
      </c>
      <c r="D8802">
        <v>129</v>
      </c>
    </row>
    <row r="8803" spans="1:4" ht="15.75" customHeight="1">
      <c r="A8803" t="s">
        <v>2769</v>
      </c>
      <c r="B8803" t="s">
        <v>38</v>
      </c>
      <c r="C8803" t="s">
        <v>38</v>
      </c>
      <c r="D8803">
        <v>128</v>
      </c>
    </row>
    <row r="8804" spans="1:4" ht="15.75" customHeight="1">
      <c r="A8804" t="s">
        <v>559</v>
      </c>
      <c r="B8804" t="s">
        <v>38</v>
      </c>
      <c r="C8804" t="s">
        <v>38</v>
      </c>
      <c r="D8804">
        <v>127</v>
      </c>
    </row>
    <row r="8805" spans="1:4" ht="15.75" customHeight="1">
      <c r="A8805" t="s">
        <v>2832</v>
      </c>
      <c r="B8805" t="s">
        <v>38</v>
      </c>
      <c r="C8805" t="s">
        <v>38</v>
      </c>
      <c r="D8805">
        <v>127</v>
      </c>
    </row>
    <row r="8806" spans="1:4" ht="15.75" customHeight="1">
      <c r="A8806" t="s">
        <v>2795</v>
      </c>
      <c r="B8806" t="s">
        <v>38</v>
      </c>
      <c r="C8806" t="s">
        <v>38</v>
      </c>
      <c r="D8806">
        <v>126</v>
      </c>
    </row>
    <row r="8807" spans="1:4" ht="15.75" customHeight="1">
      <c r="A8807" t="s">
        <v>1341</v>
      </c>
      <c r="B8807" t="s">
        <v>38</v>
      </c>
      <c r="C8807" t="s">
        <v>38</v>
      </c>
      <c r="D8807">
        <v>126</v>
      </c>
    </row>
    <row r="8808" spans="1:4" ht="15.75" customHeight="1">
      <c r="A8808" t="s">
        <v>2153</v>
      </c>
      <c r="B8808" t="s">
        <v>38</v>
      </c>
      <c r="C8808" t="s">
        <v>38</v>
      </c>
      <c r="D8808">
        <v>125</v>
      </c>
    </row>
    <row r="8809" spans="1:4" ht="15.75" customHeight="1">
      <c r="A8809" t="s">
        <v>3217</v>
      </c>
      <c r="B8809" t="s">
        <v>38</v>
      </c>
      <c r="C8809" t="s">
        <v>38</v>
      </c>
      <c r="D8809">
        <v>122</v>
      </c>
    </row>
    <row r="8810" spans="1:4" ht="15.75" customHeight="1">
      <c r="A8810" t="s">
        <v>2231</v>
      </c>
      <c r="B8810" t="s">
        <v>38</v>
      </c>
      <c r="C8810" t="s">
        <v>38</v>
      </c>
      <c r="D8810">
        <v>122</v>
      </c>
    </row>
    <row r="8811" spans="1:4" ht="15.75" customHeight="1">
      <c r="A8811" t="s">
        <v>4843</v>
      </c>
      <c r="B8811" t="s">
        <v>38</v>
      </c>
      <c r="C8811" t="s">
        <v>38</v>
      </c>
      <c r="D8811">
        <v>121</v>
      </c>
    </row>
    <row r="8812" spans="1:4" ht="15.75" customHeight="1">
      <c r="A8812" t="s">
        <v>2099</v>
      </c>
      <c r="B8812" t="s">
        <v>38</v>
      </c>
      <c r="C8812" t="s">
        <v>38</v>
      </c>
      <c r="D8812">
        <v>120</v>
      </c>
    </row>
    <row r="8813" spans="1:4" ht="15.75" customHeight="1">
      <c r="A8813" t="s">
        <v>2805</v>
      </c>
      <c r="B8813" t="s">
        <v>38</v>
      </c>
      <c r="C8813" t="s">
        <v>38</v>
      </c>
      <c r="D8813">
        <v>119</v>
      </c>
    </row>
    <row r="8814" spans="1:4" ht="15.75" customHeight="1">
      <c r="A8814" t="s">
        <v>3660</v>
      </c>
      <c r="B8814" t="s">
        <v>38</v>
      </c>
      <c r="C8814" t="s">
        <v>38</v>
      </c>
      <c r="D8814">
        <v>118</v>
      </c>
    </row>
    <row r="8815" spans="1:4" ht="15.75" customHeight="1">
      <c r="A8815" t="s">
        <v>1770</v>
      </c>
      <c r="B8815" t="s">
        <v>38</v>
      </c>
      <c r="C8815" t="s">
        <v>38</v>
      </c>
      <c r="D8815">
        <v>117</v>
      </c>
    </row>
    <row r="8816" spans="1:4" ht="15.75" customHeight="1">
      <c r="A8816" t="s">
        <v>4773</v>
      </c>
      <c r="B8816" t="s">
        <v>38</v>
      </c>
      <c r="C8816" t="s">
        <v>38</v>
      </c>
      <c r="D8816">
        <v>114</v>
      </c>
    </row>
    <row r="8817" spans="1:4" ht="15.75" customHeight="1">
      <c r="A8817" t="s">
        <v>2675</v>
      </c>
      <c r="B8817" t="s">
        <v>38</v>
      </c>
      <c r="C8817" t="s">
        <v>38</v>
      </c>
      <c r="D8817">
        <v>114</v>
      </c>
    </row>
    <row r="8818" spans="1:4" ht="15.75" customHeight="1">
      <c r="A8818" t="s">
        <v>3681</v>
      </c>
      <c r="B8818" t="s">
        <v>38</v>
      </c>
      <c r="C8818" t="s">
        <v>38</v>
      </c>
      <c r="D8818">
        <v>114</v>
      </c>
    </row>
    <row r="8819" spans="1:4" ht="15.75" customHeight="1">
      <c r="A8819" t="s">
        <v>3692</v>
      </c>
      <c r="B8819" t="s">
        <v>38</v>
      </c>
      <c r="C8819" t="s">
        <v>38</v>
      </c>
      <c r="D8819">
        <v>112</v>
      </c>
    </row>
    <row r="8820" spans="1:4" ht="15.75" customHeight="1">
      <c r="A8820" t="s">
        <v>3686</v>
      </c>
      <c r="B8820" t="s">
        <v>38</v>
      </c>
      <c r="C8820" t="s">
        <v>38</v>
      </c>
      <c r="D8820">
        <v>110</v>
      </c>
    </row>
    <row r="8821" spans="1:4" ht="15.75" customHeight="1">
      <c r="A8821" t="s">
        <v>2797</v>
      </c>
      <c r="B8821" t="s">
        <v>38</v>
      </c>
      <c r="C8821" t="s">
        <v>38</v>
      </c>
      <c r="D8821">
        <v>108</v>
      </c>
    </row>
    <row r="8822" spans="1:4" ht="15.75" customHeight="1">
      <c r="A8822" t="s">
        <v>2783</v>
      </c>
      <c r="B8822" t="s">
        <v>38</v>
      </c>
      <c r="C8822" t="s">
        <v>38</v>
      </c>
      <c r="D8822">
        <v>108</v>
      </c>
    </row>
    <row r="8823" spans="1:4" ht="15.75" customHeight="1">
      <c r="A8823" t="s">
        <v>2128</v>
      </c>
      <c r="B8823" t="s">
        <v>38</v>
      </c>
      <c r="C8823" t="s">
        <v>38</v>
      </c>
      <c r="D8823">
        <v>107</v>
      </c>
    </row>
    <row r="8824" spans="1:4" ht="15.75" customHeight="1">
      <c r="A8824" t="s">
        <v>3600</v>
      </c>
      <c r="B8824" t="s">
        <v>38</v>
      </c>
      <c r="C8824" t="s">
        <v>38</v>
      </c>
      <c r="D8824">
        <v>106</v>
      </c>
    </row>
    <row r="8825" spans="1:4" ht="15.75" customHeight="1">
      <c r="A8825" t="s">
        <v>4428</v>
      </c>
      <c r="B8825" t="s">
        <v>38</v>
      </c>
      <c r="C8825" t="s">
        <v>38</v>
      </c>
      <c r="D8825">
        <v>106</v>
      </c>
    </row>
    <row r="8826" spans="1:4" ht="15.75" customHeight="1">
      <c r="A8826" t="s">
        <v>4108</v>
      </c>
      <c r="B8826" t="s">
        <v>38</v>
      </c>
      <c r="C8826" t="s">
        <v>38</v>
      </c>
      <c r="D8826">
        <v>105</v>
      </c>
    </row>
    <row r="8827" spans="1:4" ht="15.75" customHeight="1">
      <c r="A8827" t="s">
        <v>3192</v>
      </c>
      <c r="B8827" t="s">
        <v>38</v>
      </c>
      <c r="C8827" t="s">
        <v>38</v>
      </c>
      <c r="D8827">
        <v>104</v>
      </c>
    </row>
    <row r="8828" spans="1:4" ht="15.75" customHeight="1">
      <c r="A8828" t="s">
        <v>3728</v>
      </c>
      <c r="B8828" t="s">
        <v>38</v>
      </c>
      <c r="C8828" t="s">
        <v>38</v>
      </c>
      <c r="D8828">
        <v>104</v>
      </c>
    </row>
    <row r="8829" spans="1:4" ht="15.75" customHeight="1">
      <c r="A8829" t="s">
        <v>1241</v>
      </c>
      <c r="B8829" t="s">
        <v>38</v>
      </c>
      <c r="C8829" t="s">
        <v>38</v>
      </c>
      <c r="D8829">
        <v>103</v>
      </c>
    </row>
    <row r="8830" spans="1:4" ht="15.75" customHeight="1">
      <c r="A8830" t="s">
        <v>3724</v>
      </c>
      <c r="B8830" t="s">
        <v>38</v>
      </c>
      <c r="C8830" t="s">
        <v>38</v>
      </c>
      <c r="D8830">
        <v>103</v>
      </c>
    </row>
    <row r="8831" spans="1:4" ht="15.75" customHeight="1">
      <c r="A8831" t="s">
        <v>565</v>
      </c>
      <c r="B8831" t="s">
        <v>38</v>
      </c>
      <c r="C8831" t="s">
        <v>38</v>
      </c>
      <c r="D8831">
        <v>103</v>
      </c>
    </row>
    <row r="8832" spans="1:4" ht="15.75" customHeight="1">
      <c r="A8832" t="s">
        <v>3174</v>
      </c>
      <c r="B8832" t="s">
        <v>38</v>
      </c>
      <c r="C8832" t="s">
        <v>38</v>
      </c>
      <c r="D8832">
        <v>102</v>
      </c>
    </row>
    <row r="8833" spans="1:4" ht="15.75" customHeight="1">
      <c r="A8833" t="s">
        <v>4765</v>
      </c>
      <c r="B8833" t="s">
        <v>38</v>
      </c>
      <c r="C8833" t="s">
        <v>38</v>
      </c>
      <c r="D8833">
        <v>101</v>
      </c>
    </row>
    <row r="8834" spans="1:4" ht="15.75" customHeight="1">
      <c r="A8834" t="s">
        <v>3690</v>
      </c>
      <c r="B8834" t="s">
        <v>38</v>
      </c>
      <c r="C8834" t="s">
        <v>38</v>
      </c>
      <c r="D8834">
        <v>99</v>
      </c>
    </row>
    <row r="8835" spans="1:4" ht="15.75" customHeight="1">
      <c r="A8835" t="s">
        <v>544</v>
      </c>
      <c r="B8835" t="s">
        <v>38</v>
      </c>
      <c r="C8835" t="s">
        <v>38</v>
      </c>
      <c r="D8835">
        <v>97</v>
      </c>
    </row>
    <row r="8836" spans="1:4" ht="15.75" customHeight="1">
      <c r="A8836" t="s">
        <v>524</v>
      </c>
      <c r="B8836" t="s">
        <v>38</v>
      </c>
      <c r="C8836" t="s">
        <v>38</v>
      </c>
      <c r="D8836">
        <v>96</v>
      </c>
    </row>
    <row r="8837" spans="1:4" ht="15.75" customHeight="1">
      <c r="A8837" t="s">
        <v>563</v>
      </c>
      <c r="B8837" t="s">
        <v>38</v>
      </c>
      <c r="C8837" t="s">
        <v>38</v>
      </c>
      <c r="D8837">
        <v>96</v>
      </c>
    </row>
    <row r="8838" spans="1:4" ht="15.75" customHeight="1">
      <c r="A8838" t="s">
        <v>4738</v>
      </c>
      <c r="B8838" t="s">
        <v>38</v>
      </c>
      <c r="C8838" t="s">
        <v>38</v>
      </c>
      <c r="D8838">
        <v>95</v>
      </c>
    </row>
    <row r="8839" spans="1:4" ht="15.75" customHeight="1">
      <c r="A8839" t="s">
        <v>1270</v>
      </c>
      <c r="B8839" t="s">
        <v>38</v>
      </c>
      <c r="C8839" t="s">
        <v>38</v>
      </c>
      <c r="D8839">
        <v>95</v>
      </c>
    </row>
    <row r="8840" spans="1:4" ht="15.75" customHeight="1">
      <c r="A8840" t="s">
        <v>4839</v>
      </c>
      <c r="B8840" t="s">
        <v>38</v>
      </c>
      <c r="C8840" t="s">
        <v>38</v>
      </c>
      <c r="D8840">
        <v>94</v>
      </c>
    </row>
    <row r="8841" spans="1:4" ht="15.75" customHeight="1">
      <c r="A8841" t="s">
        <v>3300</v>
      </c>
      <c r="B8841" t="s">
        <v>38</v>
      </c>
      <c r="C8841" t="s">
        <v>38</v>
      </c>
      <c r="D8841">
        <v>92</v>
      </c>
    </row>
    <row r="8842" spans="1:4" ht="15.75" customHeight="1">
      <c r="A8842" t="s">
        <v>1291</v>
      </c>
      <c r="B8842" t="s">
        <v>38</v>
      </c>
      <c r="C8842" t="s">
        <v>38</v>
      </c>
      <c r="D8842">
        <v>92</v>
      </c>
    </row>
    <row r="8843" spans="1:4" ht="15.75" customHeight="1">
      <c r="A8843" t="s">
        <v>3647</v>
      </c>
      <c r="B8843" t="s">
        <v>38</v>
      </c>
      <c r="C8843" t="s">
        <v>38</v>
      </c>
      <c r="D8843">
        <v>89</v>
      </c>
    </row>
    <row r="8844" spans="1:4" ht="15.75" customHeight="1">
      <c r="A8844" t="s">
        <v>2208</v>
      </c>
      <c r="B8844" t="s">
        <v>38</v>
      </c>
      <c r="C8844" t="s">
        <v>38</v>
      </c>
      <c r="D8844">
        <v>88</v>
      </c>
    </row>
    <row r="8845" spans="1:4" ht="15.75" customHeight="1">
      <c r="A8845" t="s">
        <v>4775</v>
      </c>
      <c r="B8845" t="s">
        <v>38</v>
      </c>
      <c r="C8845" t="s">
        <v>38</v>
      </c>
      <c r="D8845">
        <v>86</v>
      </c>
    </row>
    <row r="8846" spans="1:4" ht="15.75" customHeight="1">
      <c r="A8846" t="s">
        <v>1278</v>
      </c>
      <c r="B8846" t="s">
        <v>38</v>
      </c>
      <c r="C8846" t="s">
        <v>38</v>
      </c>
      <c r="D8846">
        <v>83</v>
      </c>
    </row>
    <row r="8847" spans="1:4" ht="15.75" customHeight="1">
      <c r="A8847" t="s">
        <v>1793</v>
      </c>
      <c r="B8847" t="s">
        <v>38</v>
      </c>
      <c r="C8847" t="s">
        <v>38</v>
      </c>
      <c r="D8847">
        <v>83</v>
      </c>
    </row>
    <row r="8848" spans="1:4" ht="15.75" customHeight="1">
      <c r="A8848" t="s">
        <v>4362</v>
      </c>
      <c r="B8848" t="s">
        <v>38</v>
      </c>
      <c r="C8848" t="s">
        <v>38</v>
      </c>
      <c r="D8848">
        <v>80</v>
      </c>
    </row>
    <row r="8849" spans="1:4" ht="15.75" customHeight="1">
      <c r="A8849" t="s">
        <v>2223</v>
      </c>
      <c r="B8849" t="s">
        <v>38</v>
      </c>
      <c r="C8849" t="s">
        <v>38</v>
      </c>
      <c r="D8849">
        <v>79</v>
      </c>
    </row>
    <row r="8850" spans="1:4" ht="15.75" customHeight="1">
      <c r="A8850" t="s">
        <v>451</v>
      </c>
      <c r="B8850" t="s">
        <v>38</v>
      </c>
      <c r="C8850" t="s">
        <v>38</v>
      </c>
      <c r="D8850">
        <v>79</v>
      </c>
    </row>
    <row r="8851" spans="1:4" ht="15.75" customHeight="1">
      <c r="A8851" t="s">
        <v>1264</v>
      </c>
      <c r="B8851" t="s">
        <v>38</v>
      </c>
      <c r="C8851" t="s">
        <v>38</v>
      </c>
      <c r="D8851">
        <v>79</v>
      </c>
    </row>
    <row r="8852" spans="1:4" ht="15.75" customHeight="1">
      <c r="A8852" t="s">
        <v>2678</v>
      </c>
      <c r="B8852" t="s">
        <v>38</v>
      </c>
      <c r="C8852" t="s">
        <v>38</v>
      </c>
      <c r="D8852">
        <v>79</v>
      </c>
    </row>
    <row r="8853" spans="1:4" ht="15.75" customHeight="1">
      <c r="A8853" t="s">
        <v>2149</v>
      </c>
      <c r="B8853" t="s">
        <v>38</v>
      </c>
      <c r="C8853" t="s">
        <v>38</v>
      </c>
      <c r="D8853">
        <v>76</v>
      </c>
    </row>
    <row r="8854" spans="1:4" ht="15.75" customHeight="1">
      <c r="A8854" t="s">
        <v>3642</v>
      </c>
      <c r="B8854" t="s">
        <v>38</v>
      </c>
      <c r="C8854" t="s">
        <v>38</v>
      </c>
      <c r="D8854">
        <v>76</v>
      </c>
    </row>
    <row r="8855" spans="1:4" ht="15.75" customHeight="1">
      <c r="A8855" t="s">
        <v>511</v>
      </c>
      <c r="B8855" t="s">
        <v>38</v>
      </c>
      <c r="C8855" t="s">
        <v>38</v>
      </c>
      <c r="D8855">
        <v>76</v>
      </c>
    </row>
    <row r="8856" spans="1:4" ht="15.75" customHeight="1">
      <c r="A8856" t="s">
        <v>549</v>
      </c>
      <c r="B8856" t="s">
        <v>38</v>
      </c>
      <c r="C8856" t="s">
        <v>38</v>
      </c>
      <c r="D8856">
        <v>76</v>
      </c>
    </row>
    <row r="8857" spans="1:4" ht="15.75" customHeight="1">
      <c r="A8857" t="s">
        <v>1776</v>
      </c>
      <c r="B8857" t="s">
        <v>38</v>
      </c>
      <c r="C8857" t="s">
        <v>38</v>
      </c>
      <c r="D8857">
        <v>74</v>
      </c>
    </row>
    <row r="8858" spans="1:4" ht="15.75" customHeight="1">
      <c r="A8858" t="s">
        <v>2694</v>
      </c>
      <c r="B8858" t="s">
        <v>38</v>
      </c>
      <c r="C8858" t="s">
        <v>38</v>
      </c>
      <c r="D8858">
        <v>73</v>
      </c>
    </row>
    <row r="8859" spans="1:4" ht="15.75" customHeight="1">
      <c r="A8859" t="s">
        <v>4051</v>
      </c>
      <c r="B8859" t="s">
        <v>38</v>
      </c>
      <c r="C8859" t="s">
        <v>38</v>
      </c>
      <c r="D8859">
        <v>72</v>
      </c>
    </row>
    <row r="8860" spans="1:4" ht="15.75" customHeight="1">
      <c r="A8860" t="s">
        <v>3269</v>
      </c>
      <c r="B8860" t="s">
        <v>38</v>
      </c>
      <c r="C8860" t="s">
        <v>38</v>
      </c>
      <c r="D8860">
        <v>69</v>
      </c>
    </row>
    <row r="8861" spans="1:4" ht="15.75" customHeight="1">
      <c r="A8861" t="s">
        <v>3714</v>
      </c>
      <c r="B8861" t="s">
        <v>38</v>
      </c>
      <c r="C8861" t="s">
        <v>38</v>
      </c>
      <c r="D8861">
        <v>69</v>
      </c>
    </row>
    <row r="8862" spans="1:4" ht="15.75" customHeight="1">
      <c r="A8862" t="s">
        <v>1295</v>
      </c>
      <c r="B8862" t="s">
        <v>38</v>
      </c>
      <c r="C8862" t="s">
        <v>38</v>
      </c>
      <c r="D8862">
        <v>68</v>
      </c>
    </row>
    <row r="8863" spans="1:4" ht="15.75" customHeight="1">
      <c r="A8863" t="s">
        <v>3291</v>
      </c>
      <c r="B8863" t="s">
        <v>38</v>
      </c>
      <c r="C8863" t="s">
        <v>38</v>
      </c>
      <c r="D8863">
        <v>67</v>
      </c>
    </row>
    <row r="8864" spans="1:4" ht="15.75" customHeight="1">
      <c r="A8864" t="s">
        <v>1337</v>
      </c>
      <c r="B8864" t="s">
        <v>38</v>
      </c>
      <c r="C8864" t="s">
        <v>38</v>
      </c>
      <c r="D8864">
        <v>66</v>
      </c>
    </row>
    <row r="8865" spans="1:4" ht="15.75" customHeight="1">
      <c r="A8865" t="s">
        <v>4416</v>
      </c>
      <c r="B8865" t="s">
        <v>38</v>
      </c>
      <c r="C8865" t="s">
        <v>38</v>
      </c>
      <c r="D8865">
        <v>65</v>
      </c>
    </row>
    <row r="8866" spans="1:4" ht="15.75" customHeight="1">
      <c r="A8866" t="s">
        <v>3718</v>
      </c>
      <c r="B8866" t="s">
        <v>38</v>
      </c>
      <c r="C8866" t="s">
        <v>38</v>
      </c>
      <c r="D8866">
        <v>64</v>
      </c>
    </row>
    <row r="8867" spans="1:4" ht="15.75" customHeight="1">
      <c r="A8867" t="s">
        <v>2799</v>
      </c>
      <c r="B8867" t="s">
        <v>38</v>
      </c>
      <c r="C8867" t="s">
        <v>38</v>
      </c>
      <c r="D8867">
        <v>64</v>
      </c>
    </row>
    <row r="8868" spans="1:4" ht="15.75" customHeight="1">
      <c r="A8868" t="s">
        <v>2196</v>
      </c>
      <c r="B8868" t="s">
        <v>38</v>
      </c>
      <c r="C8868" t="s">
        <v>38</v>
      </c>
      <c r="D8868">
        <v>63</v>
      </c>
    </row>
    <row r="8869" spans="1:4" ht="15.75" customHeight="1">
      <c r="A8869" t="s">
        <v>3168</v>
      </c>
      <c r="B8869" t="s">
        <v>38</v>
      </c>
      <c r="C8869" t="s">
        <v>38</v>
      </c>
      <c r="D8869">
        <v>60</v>
      </c>
    </row>
    <row r="8870" spans="1:4" ht="15.75" customHeight="1">
      <c r="A8870" t="s">
        <v>4719</v>
      </c>
      <c r="B8870" t="s">
        <v>38</v>
      </c>
      <c r="C8870" t="s">
        <v>38</v>
      </c>
      <c r="D8870">
        <v>60</v>
      </c>
    </row>
    <row r="8871" spans="1:4" ht="15.75" customHeight="1">
      <c r="A8871" t="s">
        <v>2221</v>
      </c>
      <c r="B8871" t="s">
        <v>38</v>
      </c>
      <c r="C8871" t="s">
        <v>38</v>
      </c>
      <c r="D8871">
        <v>59</v>
      </c>
    </row>
    <row r="8872" spans="1:4" ht="15.75" customHeight="1">
      <c r="A8872" t="s">
        <v>2847</v>
      </c>
      <c r="B8872" t="s">
        <v>38</v>
      </c>
      <c r="C8872" t="s">
        <v>38</v>
      </c>
      <c r="D8872">
        <v>58</v>
      </c>
    </row>
    <row r="8873" spans="1:4" ht="15.75" customHeight="1">
      <c r="A8873" t="s">
        <v>504</v>
      </c>
      <c r="B8873" t="s">
        <v>38</v>
      </c>
      <c r="C8873" t="s">
        <v>38</v>
      </c>
      <c r="D8873">
        <v>57</v>
      </c>
    </row>
    <row r="8874" spans="1:4" ht="15.75" customHeight="1">
      <c r="A8874" t="s">
        <v>4804</v>
      </c>
      <c r="B8874" t="s">
        <v>38</v>
      </c>
      <c r="C8874" t="s">
        <v>38</v>
      </c>
      <c r="D8874">
        <v>56</v>
      </c>
    </row>
    <row r="8875" spans="1:4" ht="15.75" customHeight="1">
      <c r="A8875" t="s">
        <v>4424</v>
      </c>
      <c r="B8875" t="s">
        <v>38</v>
      </c>
      <c r="C8875" t="s">
        <v>38</v>
      </c>
      <c r="D8875">
        <v>54</v>
      </c>
    </row>
    <row r="8876" spans="1:4" ht="15.75" customHeight="1">
      <c r="A8876" t="s">
        <v>2718</v>
      </c>
      <c r="B8876" t="s">
        <v>38</v>
      </c>
      <c r="C8876" t="s">
        <v>38</v>
      </c>
      <c r="D8876">
        <v>54</v>
      </c>
    </row>
    <row r="8877" spans="1:4" ht="15.75" customHeight="1">
      <c r="A8877" t="s">
        <v>1398</v>
      </c>
      <c r="B8877" t="s">
        <v>38</v>
      </c>
      <c r="C8877" t="s">
        <v>38</v>
      </c>
      <c r="D8877">
        <v>52</v>
      </c>
    </row>
    <row r="8878" spans="1:4" ht="15.75" customHeight="1">
      <c r="A8878" t="s">
        <v>2829</v>
      </c>
      <c r="B8878" t="s">
        <v>38</v>
      </c>
      <c r="C8878" t="s">
        <v>38</v>
      </c>
      <c r="D8878">
        <v>52</v>
      </c>
    </row>
    <row r="8879" spans="1:4" ht="15.75" customHeight="1">
      <c r="A8879" t="s">
        <v>4799</v>
      </c>
      <c r="B8879" t="s">
        <v>38</v>
      </c>
      <c r="C8879" t="s">
        <v>38</v>
      </c>
      <c r="D8879">
        <v>51</v>
      </c>
    </row>
    <row r="8880" spans="1:4" ht="15.75" customHeight="1">
      <c r="A8880" t="s">
        <v>4136</v>
      </c>
      <c r="B8880" t="s">
        <v>38</v>
      </c>
      <c r="C8880" t="s">
        <v>38</v>
      </c>
      <c r="D8880">
        <v>49</v>
      </c>
    </row>
    <row r="8881" spans="1:4" ht="15.75" customHeight="1">
      <c r="A8881" t="s">
        <v>4797</v>
      </c>
      <c r="B8881" t="s">
        <v>38</v>
      </c>
      <c r="C8881" t="s">
        <v>38</v>
      </c>
      <c r="D8881">
        <v>48</v>
      </c>
    </row>
    <row r="8882" spans="1:4" ht="15.75" customHeight="1">
      <c r="A8882" t="s">
        <v>4787</v>
      </c>
      <c r="B8882" t="s">
        <v>38</v>
      </c>
      <c r="C8882" t="s">
        <v>38</v>
      </c>
      <c r="D8882">
        <v>47</v>
      </c>
    </row>
    <row r="8883" spans="1:4" ht="15.75" customHeight="1">
      <c r="A8883" t="s">
        <v>2834</v>
      </c>
      <c r="B8883" t="s">
        <v>38</v>
      </c>
      <c r="C8883" t="s">
        <v>38</v>
      </c>
      <c r="D8883">
        <v>47</v>
      </c>
    </row>
    <row r="8884" spans="1:4" ht="15.75" customHeight="1">
      <c r="A8884" t="s">
        <v>4767</v>
      </c>
      <c r="B8884" t="s">
        <v>38</v>
      </c>
      <c r="C8884" t="s">
        <v>38</v>
      </c>
      <c r="D8884">
        <v>43</v>
      </c>
    </row>
    <row r="8885" spans="1:4" ht="15.75" customHeight="1">
      <c r="A8885" t="s">
        <v>4049</v>
      </c>
      <c r="B8885" t="s">
        <v>38</v>
      </c>
      <c r="C8885" t="s">
        <v>38</v>
      </c>
      <c r="D8885">
        <v>40</v>
      </c>
    </row>
    <row r="8886" spans="1:4" ht="15.75" customHeight="1">
      <c r="A8886" t="s">
        <v>4369</v>
      </c>
      <c r="B8886" t="s">
        <v>38</v>
      </c>
      <c r="C8886" t="s">
        <v>38</v>
      </c>
      <c r="D8886">
        <v>35</v>
      </c>
    </row>
    <row r="8887" spans="1:4" ht="15.75" customHeight="1">
      <c r="A8887" t="s">
        <v>2684</v>
      </c>
      <c r="B8887" t="s">
        <v>38</v>
      </c>
      <c r="C8887" t="s">
        <v>38</v>
      </c>
      <c r="D8887">
        <v>33</v>
      </c>
    </row>
    <row r="8888" spans="1:4" ht="15.75" customHeight="1">
      <c r="A8888" t="s">
        <v>491</v>
      </c>
      <c r="B8888" t="s">
        <v>38</v>
      </c>
      <c r="C8888" t="s">
        <v>38</v>
      </c>
      <c r="D8888">
        <v>33</v>
      </c>
    </row>
    <row r="8889" spans="1:4" ht="15.75" customHeight="1">
      <c r="A8889" t="s">
        <v>1289</v>
      </c>
      <c r="B8889" t="s">
        <v>38</v>
      </c>
      <c r="C8889" t="s">
        <v>38</v>
      </c>
      <c r="D8889">
        <v>31</v>
      </c>
    </row>
    <row r="8890" spans="1:4" ht="15.75" customHeight="1">
      <c r="A8890" t="s">
        <v>2102</v>
      </c>
      <c r="B8890" t="s">
        <v>38</v>
      </c>
      <c r="C8890" t="s">
        <v>38</v>
      </c>
      <c r="D8890">
        <v>29</v>
      </c>
    </row>
    <row r="8891" spans="1:4" ht="15.75" customHeight="1">
      <c r="A8891" t="s">
        <v>2164</v>
      </c>
      <c r="B8891" t="s">
        <v>38</v>
      </c>
      <c r="C8891" t="s">
        <v>38</v>
      </c>
      <c r="D8891">
        <v>28</v>
      </c>
    </row>
    <row r="8892" spans="1:4" ht="15.75" customHeight="1">
      <c r="A8892" t="s">
        <v>2817</v>
      </c>
      <c r="B8892" t="s">
        <v>38</v>
      </c>
      <c r="C8892" t="s">
        <v>38</v>
      </c>
      <c r="D8892">
        <v>27</v>
      </c>
    </row>
    <row r="8893" spans="1:4" ht="15.75" customHeight="1">
      <c r="A8893" t="s">
        <v>4829</v>
      </c>
      <c r="B8893" t="s">
        <v>38</v>
      </c>
      <c r="C8893" t="s">
        <v>38</v>
      </c>
      <c r="D8893">
        <v>27</v>
      </c>
    </row>
    <row r="8894" spans="1:4" ht="15.75" customHeight="1">
      <c r="A8894" t="s">
        <v>3141</v>
      </c>
      <c r="B8894" t="s">
        <v>38</v>
      </c>
      <c r="C8894" t="s">
        <v>38</v>
      </c>
      <c r="D8894">
        <v>24</v>
      </c>
    </row>
    <row r="8895" spans="1:4" ht="15.75" customHeight="1">
      <c r="A8895" t="s">
        <v>557</v>
      </c>
      <c r="B8895" t="s">
        <v>38</v>
      </c>
      <c r="C8895" t="s">
        <v>38</v>
      </c>
      <c r="D8895">
        <v>23</v>
      </c>
    </row>
    <row r="8896" spans="1:4" ht="15.75" customHeight="1">
      <c r="A8896" t="s">
        <v>2274</v>
      </c>
      <c r="B8896" t="s">
        <v>38</v>
      </c>
      <c r="C8896" t="s">
        <v>38</v>
      </c>
      <c r="D8896">
        <v>21</v>
      </c>
    </row>
    <row r="8897" spans="1:4" ht="15.75" customHeight="1">
      <c r="A8897" t="s">
        <v>561</v>
      </c>
      <c r="B8897" t="s">
        <v>38</v>
      </c>
      <c r="C8897" t="s">
        <v>38</v>
      </c>
      <c r="D8897">
        <v>19</v>
      </c>
    </row>
    <row r="8898" spans="1:4" ht="15.75" customHeight="1">
      <c r="A8898" t="s">
        <v>3662</v>
      </c>
      <c r="B8898" t="s">
        <v>38</v>
      </c>
      <c r="C8898" t="s">
        <v>38</v>
      </c>
      <c r="D8898">
        <v>17</v>
      </c>
    </row>
    <row r="8899" spans="1:4" ht="15.75" customHeight="1">
      <c r="A8899" t="s">
        <v>4731</v>
      </c>
      <c r="B8899" t="s">
        <v>38</v>
      </c>
      <c r="C8899" t="s">
        <v>38</v>
      </c>
      <c r="D8899">
        <v>16</v>
      </c>
    </row>
    <row r="8900" spans="1:4" ht="15.75" customHeight="1">
      <c r="A8900" t="s">
        <v>2819</v>
      </c>
      <c r="B8900" t="s">
        <v>38</v>
      </c>
      <c r="C8900" t="s">
        <v>38</v>
      </c>
      <c r="D8900">
        <v>15</v>
      </c>
    </row>
    <row r="8901" spans="1:4" ht="15.75" customHeight="1">
      <c r="A8901" t="s">
        <v>2136</v>
      </c>
      <c r="B8901" t="s">
        <v>38</v>
      </c>
      <c r="C8901" t="s">
        <v>38</v>
      </c>
      <c r="D8901">
        <v>14</v>
      </c>
    </row>
    <row r="8902" spans="1:4" ht="15.75" customHeight="1">
      <c r="A8902" t="s">
        <v>2213</v>
      </c>
      <c r="B8902" t="s">
        <v>38</v>
      </c>
      <c r="C8902" t="s">
        <v>38</v>
      </c>
      <c r="D8902">
        <v>14</v>
      </c>
    </row>
    <row r="8903" spans="1:4" ht="15.75" customHeight="1">
      <c r="A8903" t="s">
        <v>3595</v>
      </c>
      <c r="B8903" t="s">
        <v>38</v>
      </c>
      <c r="C8903" t="s">
        <v>38</v>
      </c>
      <c r="D8903">
        <v>14</v>
      </c>
    </row>
    <row r="8904" spans="1:4" ht="15.75" customHeight="1">
      <c r="A8904" t="s">
        <v>613</v>
      </c>
      <c r="B8904" t="s">
        <v>38</v>
      </c>
      <c r="C8904" t="s">
        <v>38</v>
      </c>
      <c r="D8904">
        <v>12</v>
      </c>
    </row>
    <row r="8905" spans="1:4" ht="15.75" customHeight="1">
      <c r="A8905" t="s">
        <v>1287</v>
      </c>
      <c r="B8905" t="s">
        <v>38</v>
      </c>
      <c r="C8905" t="s">
        <v>38</v>
      </c>
      <c r="D8905">
        <v>11</v>
      </c>
    </row>
    <row r="8906" spans="1:4" ht="15.75" customHeight="1">
      <c r="A8906" t="s">
        <v>3285</v>
      </c>
      <c r="B8906" t="s">
        <v>38</v>
      </c>
      <c r="C8906" t="s">
        <v>38</v>
      </c>
      <c r="D8906">
        <v>10</v>
      </c>
    </row>
    <row r="8907" spans="1:4" ht="15.75" customHeight="1">
      <c r="A8907" t="s">
        <v>3621</v>
      </c>
      <c r="B8907" t="s">
        <v>38</v>
      </c>
      <c r="C8907" t="s">
        <v>38</v>
      </c>
      <c r="D8907">
        <v>10</v>
      </c>
    </row>
    <row r="8908" spans="1:4" ht="15.75" customHeight="1">
      <c r="A8908" t="s">
        <v>2808</v>
      </c>
      <c r="B8908" t="s">
        <v>38</v>
      </c>
      <c r="C8908" t="s">
        <v>38</v>
      </c>
      <c r="D8908">
        <v>9</v>
      </c>
    </row>
    <row r="8909" spans="1:4" ht="15.75" customHeight="1">
      <c r="A8909" t="s">
        <v>2692</v>
      </c>
      <c r="B8909" t="s">
        <v>38</v>
      </c>
      <c r="C8909" t="s">
        <v>38</v>
      </c>
      <c r="D8909">
        <v>9</v>
      </c>
    </row>
    <row r="8910" spans="1:4" ht="15.75" customHeight="1">
      <c r="A8910" t="s">
        <v>2815</v>
      </c>
      <c r="B8910" t="s">
        <v>38</v>
      </c>
      <c r="C8910" t="s">
        <v>38</v>
      </c>
      <c r="D8910">
        <v>9</v>
      </c>
    </row>
    <row r="8911" spans="1:4" ht="15.75" customHeight="1">
      <c r="A8911" t="s">
        <v>3283</v>
      </c>
      <c r="B8911" t="s">
        <v>38</v>
      </c>
      <c r="C8911" t="s">
        <v>38</v>
      </c>
      <c r="D8911">
        <v>8</v>
      </c>
    </row>
    <row r="8912" spans="1:4" ht="15.75" customHeight="1">
      <c r="A8912" t="s">
        <v>2157</v>
      </c>
      <c r="B8912" t="s">
        <v>38</v>
      </c>
      <c r="C8912" t="s">
        <v>38</v>
      </c>
      <c r="D8912">
        <v>8</v>
      </c>
    </row>
    <row r="8913" spans="1:4" ht="15.75" customHeight="1">
      <c r="A8913" t="s">
        <v>2139</v>
      </c>
      <c r="B8913" t="s">
        <v>38</v>
      </c>
      <c r="C8913" t="s">
        <v>38</v>
      </c>
      <c r="D8913">
        <v>8</v>
      </c>
    </row>
    <row r="8914" spans="1:4" ht="15.75" customHeight="1">
      <c r="A8914" t="s">
        <v>1247</v>
      </c>
      <c r="B8914" t="s">
        <v>38</v>
      </c>
      <c r="C8914" t="s">
        <v>38</v>
      </c>
      <c r="D8914">
        <v>8</v>
      </c>
    </row>
    <row r="8915" spans="1:4" ht="15.75" customHeight="1">
      <c r="A8915" t="s">
        <v>2227</v>
      </c>
      <c r="B8915" t="s">
        <v>38</v>
      </c>
      <c r="C8915" t="s">
        <v>38</v>
      </c>
      <c r="D8915">
        <v>8</v>
      </c>
    </row>
    <row r="8916" spans="1:4" ht="15.75" customHeight="1">
      <c r="A8916" t="s">
        <v>2659</v>
      </c>
      <c r="B8916" t="s">
        <v>38</v>
      </c>
      <c r="C8916" t="s">
        <v>38</v>
      </c>
      <c r="D8916">
        <v>7</v>
      </c>
    </row>
    <row r="8917" spans="1:4" ht="15.75" customHeight="1">
      <c r="A8917" t="s">
        <v>454</v>
      </c>
      <c r="B8917" t="s">
        <v>38</v>
      </c>
      <c r="C8917" t="s">
        <v>38</v>
      </c>
      <c r="D8917">
        <v>6</v>
      </c>
    </row>
    <row r="8918" spans="1:4" ht="15.75" customHeight="1">
      <c r="A8918" t="s">
        <v>2155</v>
      </c>
      <c r="B8918" t="s">
        <v>38</v>
      </c>
      <c r="C8918" t="s">
        <v>38</v>
      </c>
      <c r="D8918">
        <v>5</v>
      </c>
    </row>
    <row r="8919" spans="1:4" ht="15.75" customHeight="1">
      <c r="A8919" t="s">
        <v>3652</v>
      </c>
      <c r="B8919" t="s">
        <v>38</v>
      </c>
      <c r="C8919" t="s">
        <v>38</v>
      </c>
      <c r="D8919">
        <v>5</v>
      </c>
    </row>
    <row r="8920" spans="1:4" ht="15.75" customHeight="1">
      <c r="A8920" t="s">
        <v>3605</v>
      </c>
      <c r="B8920" t="s">
        <v>38</v>
      </c>
      <c r="C8920" t="s">
        <v>38</v>
      </c>
      <c r="D8920">
        <v>5</v>
      </c>
    </row>
    <row r="8921" spans="1:4" ht="15.75" customHeight="1">
      <c r="A8921" t="s">
        <v>2108</v>
      </c>
      <c r="B8921" t="s">
        <v>38</v>
      </c>
      <c r="C8921" t="s">
        <v>38</v>
      </c>
      <c r="D8921">
        <v>5</v>
      </c>
    </row>
    <row r="8922" spans="1:4" ht="15.75" customHeight="1">
      <c r="A8922" t="s">
        <v>3287</v>
      </c>
      <c r="B8922" t="s">
        <v>38</v>
      </c>
      <c r="C8922" t="s">
        <v>38</v>
      </c>
      <c r="D8922">
        <v>4</v>
      </c>
    </row>
    <row r="8923" spans="1:4" ht="15.75" customHeight="1">
      <c r="A8923" t="s">
        <v>554</v>
      </c>
      <c r="B8923" t="s">
        <v>38</v>
      </c>
      <c r="C8923" t="s">
        <v>38</v>
      </c>
      <c r="D8923">
        <v>4</v>
      </c>
    </row>
    <row r="8924" spans="1:4" ht="15.75" customHeight="1">
      <c r="A8924" t="s">
        <v>3654</v>
      </c>
      <c r="B8924" t="s">
        <v>38</v>
      </c>
      <c r="C8924" t="s">
        <v>38</v>
      </c>
      <c r="D8924">
        <v>4</v>
      </c>
    </row>
    <row r="8925" spans="1:4" ht="15.75" customHeight="1">
      <c r="A8925" t="s">
        <v>2141</v>
      </c>
      <c r="B8925" t="s">
        <v>38</v>
      </c>
      <c r="C8925" t="s">
        <v>38</v>
      </c>
      <c r="D8925">
        <v>4</v>
      </c>
    </row>
    <row r="8926" spans="1:4" ht="15.75" customHeight="1">
      <c r="A8926" t="s">
        <v>1281</v>
      </c>
      <c r="B8926" t="s">
        <v>38</v>
      </c>
      <c r="C8926" t="s">
        <v>38</v>
      </c>
      <c r="D8926">
        <v>3</v>
      </c>
    </row>
    <row r="8927" spans="1:4" ht="15.75" customHeight="1">
      <c r="A8927" t="s">
        <v>3198</v>
      </c>
      <c r="B8927" t="s">
        <v>38</v>
      </c>
      <c r="C8927" t="s">
        <v>38</v>
      </c>
      <c r="D8927">
        <v>3</v>
      </c>
    </row>
    <row r="8928" spans="1:4" ht="15.75" customHeight="1">
      <c r="A8928" t="s">
        <v>2160</v>
      </c>
      <c r="B8928" t="s">
        <v>38</v>
      </c>
      <c r="C8928" t="s">
        <v>38</v>
      </c>
      <c r="D8928">
        <v>3</v>
      </c>
    </row>
    <row r="8929" spans="1:4" ht="15.75" customHeight="1">
      <c r="A8929" t="s">
        <v>3627</v>
      </c>
      <c r="B8929" t="s">
        <v>38</v>
      </c>
      <c r="C8929" t="s">
        <v>38</v>
      </c>
      <c r="D8929">
        <v>3</v>
      </c>
    </row>
    <row r="8930" spans="1:4" ht="15.75" customHeight="1">
      <c r="A8930" t="s">
        <v>2825</v>
      </c>
      <c r="B8930" t="s">
        <v>38</v>
      </c>
      <c r="C8930" t="s">
        <v>38</v>
      </c>
      <c r="D8930">
        <v>3</v>
      </c>
    </row>
    <row r="8931" spans="1:4" ht="15.75" customHeight="1">
      <c r="A8931" t="s">
        <v>3306</v>
      </c>
      <c r="B8931" t="s">
        <v>38</v>
      </c>
      <c r="C8931" t="s">
        <v>38</v>
      </c>
      <c r="D8931">
        <v>3</v>
      </c>
    </row>
    <row r="8932" spans="1:4" ht="15.75" customHeight="1">
      <c r="A8932" t="s">
        <v>2270</v>
      </c>
      <c r="B8932" t="s">
        <v>38</v>
      </c>
      <c r="C8932" t="s">
        <v>38</v>
      </c>
      <c r="D8932">
        <v>2</v>
      </c>
    </row>
    <row r="8933" spans="1:4" ht="15.75" customHeight="1">
      <c r="A8933" t="s">
        <v>2215</v>
      </c>
      <c r="B8933" t="s">
        <v>38</v>
      </c>
      <c r="C8933" t="s">
        <v>38</v>
      </c>
      <c r="D8933">
        <v>1</v>
      </c>
    </row>
    <row r="8934" spans="1:4" ht="15.75" customHeight="1">
      <c r="A8934" t="s">
        <v>3592</v>
      </c>
      <c r="B8934" t="s">
        <v>38</v>
      </c>
      <c r="C8934" t="s">
        <v>38</v>
      </c>
      <c r="D8934">
        <v>1</v>
      </c>
    </row>
    <row r="8935" spans="1:4" ht="15.75" customHeight="1">
      <c r="A8935" t="s">
        <v>2812</v>
      </c>
      <c r="B8935" t="s">
        <v>38</v>
      </c>
      <c r="C8935" t="s">
        <v>38</v>
      </c>
      <c r="D8935">
        <v>1</v>
      </c>
    </row>
    <row r="8936" spans="1:4" ht="15.75" customHeight="1">
      <c r="A8936" t="s">
        <v>644</v>
      </c>
      <c r="B8936" t="s">
        <v>38</v>
      </c>
      <c r="C8936" t="s">
        <v>37</v>
      </c>
      <c r="D8936">
        <v>386</v>
      </c>
    </row>
    <row r="8937" spans="1:4" ht="15.75" customHeight="1">
      <c r="A8937" t="s">
        <v>618</v>
      </c>
      <c r="B8937" t="s">
        <v>38</v>
      </c>
      <c r="C8937" t="s">
        <v>37</v>
      </c>
      <c r="D8937">
        <v>385</v>
      </c>
    </row>
    <row r="8938" spans="1:4" ht="15.75" customHeight="1">
      <c r="A8938" t="s">
        <v>615</v>
      </c>
      <c r="B8938" t="s">
        <v>38</v>
      </c>
      <c r="C8938" t="s">
        <v>37</v>
      </c>
      <c r="D8938">
        <v>383</v>
      </c>
    </row>
    <row r="8939" spans="1:4" ht="15.75" customHeight="1">
      <c r="A8939" t="s">
        <v>1432</v>
      </c>
      <c r="B8939" t="s">
        <v>38</v>
      </c>
      <c r="C8939" t="s">
        <v>37</v>
      </c>
      <c r="D8939">
        <v>365</v>
      </c>
    </row>
    <row r="8940" spans="1:4" ht="15.75" customHeight="1">
      <c r="A8940" t="s">
        <v>1416</v>
      </c>
      <c r="B8940" t="s">
        <v>38</v>
      </c>
      <c r="C8940" t="s">
        <v>37</v>
      </c>
      <c r="D8940">
        <v>363</v>
      </c>
    </row>
    <row r="8941" spans="1:4" ht="15.75" customHeight="1">
      <c r="A8941" t="s">
        <v>1748</v>
      </c>
      <c r="B8941" t="s">
        <v>38</v>
      </c>
      <c r="C8941" t="s">
        <v>37</v>
      </c>
      <c r="D8941">
        <v>361</v>
      </c>
    </row>
    <row r="8942" spans="1:4" ht="15.75" customHeight="1">
      <c r="A8942" t="s">
        <v>641</v>
      </c>
      <c r="B8942" t="s">
        <v>38</v>
      </c>
      <c r="C8942" t="s">
        <v>37</v>
      </c>
      <c r="D8942">
        <v>358</v>
      </c>
    </row>
    <row r="8943" spans="1:4" ht="15.75" customHeight="1">
      <c r="A8943" t="s">
        <v>638</v>
      </c>
      <c r="B8943" t="s">
        <v>38</v>
      </c>
      <c r="C8943" t="s">
        <v>37</v>
      </c>
      <c r="D8943">
        <v>353</v>
      </c>
    </row>
    <row r="8944" spans="1:4" ht="15.75" customHeight="1">
      <c r="A8944" t="s">
        <v>658</v>
      </c>
      <c r="B8944" t="s">
        <v>38</v>
      </c>
      <c r="C8944" t="s">
        <v>37</v>
      </c>
      <c r="D8944">
        <v>350</v>
      </c>
    </row>
    <row r="8945" spans="1:4" ht="15.75" customHeight="1">
      <c r="A8945" t="s">
        <v>518</v>
      </c>
      <c r="B8945" t="s">
        <v>38</v>
      </c>
      <c r="C8945" t="s">
        <v>37</v>
      </c>
      <c r="D8945">
        <v>345</v>
      </c>
    </row>
    <row r="8946" spans="1:4" ht="15.75" customHeight="1">
      <c r="A8946" t="s">
        <v>567</v>
      </c>
      <c r="B8946" t="s">
        <v>38</v>
      </c>
      <c r="C8946" t="s">
        <v>37</v>
      </c>
      <c r="D8946">
        <v>344</v>
      </c>
    </row>
    <row r="8947" spans="1:4" ht="15.75" customHeight="1">
      <c r="A8947" t="s">
        <v>1380</v>
      </c>
      <c r="B8947" t="s">
        <v>38</v>
      </c>
      <c r="C8947" t="s">
        <v>37</v>
      </c>
      <c r="D8947">
        <v>342</v>
      </c>
    </row>
    <row r="8948" spans="1:4" ht="15.75" customHeight="1">
      <c r="A8948" t="s">
        <v>1377</v>
      </c>
      <c r="B8948" t="s">
        <v>38</v>
      </c>
      <c r="C8948" t="s">
        <v>37</v>
      </c>
      <c r="D8948">
        <v>342</v>
      </c>
    </row>
    <row r="8949" spans="1:4" ht="15.75" customHeight="1">
      <c r="A8949" t="s">
        <v>1373</v>
      </c>
      <c r="B8949" t="s">
        <v>38</v>
      </c>
      <c r="C8949" t="s">
        <v>37</v>
      </c>
      <c r="D8949">
        <v>339</v>
      </c>
    </row>
    <row r="8950" spans="1:4" ht="15.75" customHeight="1">
      <c r="A8950" t="s">
        <v>1752</v>
      </c>
      <c r="B8950" t="s">
        <v>38</v>
      </c>
      <c r="C8950" t="s">
        <v>37</v>
      </c>
      <c r="D8950">
        <v>339</v>
      </c>
    </row>
    <row r="8951" spans="1:4" ht="15.75" customHeight="1">
      <c r="A8951" t="s">
        <v>1434</v>
      </c>
      <c r="B8951" t="s">
        <v>38</v>
      </c>
      <c r="C8951" t="s">
        <v>37</v>
      </c>
      <c r="D8951">
        <v>335</v>
      </c>
    </row>
    <row r="8952" spans="1:4" ht="15.75" customHeight="1">
      <c r="A8952" t="s">
        <v>1732</v>
      </c>
      <c r="B8952" t="s">
        <v>38</v>
      </c>
      <c r="C8952" t="s">
        <v>37</v>
      </c>
      <c r="D8952">
        <v>330</v>
      </c>
    </row>
    <row r="8953" spans="1:4" ht="15.75" customHeight="1">
      <c r="A8953" t="s">
        <v>697</v>
      </c>
      <c r="B8953" t="s">
        <v>38</v>
      </c>
      <c r="C8953" t="s">
        <v>37</v>
      </c>
      <c r="D8953">
        <v>330</v>
      </c>
    </row>
    <row r="8954" spans="1:4" ht="15.75" customHeight="1">
      <c r="A8954" t="s">
        <v>471</v>
      </c>
      <c r="B8954" t="s">
        <v>38</v>
      </c>
      <c r="C8954" t="s">
        <v>37</v>
      </c>
      <c r="D8954">
        <v>330</v>
      </c>
    </row>
    <row r="8955" spans="1:4" ht="15.75" customHeight="1">
      <c r="A8955" t="s">
        <v>678</v>
      </c>
      <c r="B8955" t="s">
        <v>38</v>
      </c>
      <c r="C8955" t="s">
        <v>37</v>
      </c>
      <c r="D8955">
        <v>329</v>
      </c>
    </row>
    <row r="8956" spans="1:4" ht="15.75" customHeight="1">
      <c r="A8956" t="s">
        <v>3668</v>
      </c>
      <c r="B8956" t="s">
        <v>38</v>
      </c>
      <c r="C8956" t="s">
        <v>37</v>
      </c>
      <c r="D8956">
        <v>328</v>
      </c>
    </row>
    <row r="8957" spans="1:4" ht="15.75" customHeight="1">
      <c r="A8957" t="s">
        <v>655</v>
      </c>
      <c r="B8957" t="s">
        <v>38</v>
      </c>
      <c r="C8957" t="s">
        <v>37</v>
      </c>
      <c r="D8957">
        <v>327</v>
      </c>
    </row>
    <row r="8958" spans="1:4" ht="15.75" customHeight="1">
      <c r="A8958" t="s">
        <v>653</v>
      </c>
      <c r="B8958" t="s">
        <v>38</v>
      </c>
      <c r="C8958" t="s">
        <v>37</v>
      </c>
      <c r="D8958">
        <v>327</v>
      </c>
    </row>
    <row r="8959" spans="1:4" ht="15.75" customHeight="1">
      <c r="A8959" t="s">
        <v>2710</v>
      </c>
      <c r="B8959" t="s">
        <v>38</v>
      </c>
      <c r="C8959" t="s">
        <v>37</v>
      </c>
      <c r="D8959">
        <v>324</v>
      </c>
    </row>
    <row r="8960" spans="1:4" ht="15.75" customHeight="1">
      <c r="A8960" t="s">
        <v>684</v>
      </c>
      <c r="B8960" t="s">
        <v>38</v>
      </c>
      <c r="C8960" t="s">
        <v>37</v>
      </c>
      <c r="D8960">
        <v>322</v>
      </c>
    </row>
    <row r="8961" spans="1:4" ht="15.75" customHeight="1">
      <c r="A8961" t="s">
        <v>4103</v>
      </c>
      <c r="B8961" t="s">
        <v>38</v>
      </c>
      <c r="C8961" t="s">
        <v>37</v>
      </c>
      <c r="D8961">
        <v>318</v>
      </c>
    </row>
    <row r="8962" spans="1:4" ht="15.75" customHeight="1">
      <c r="A8962" t="s">
        <v>621</v>
      </c>
      <c r="B8962" t="s">
        <v>38</v>
      </c>
      <c r="C8962" t="s">
        <v>37</v>
      </c>
      <c r="D8962">
        <v>317</v>
      </c>
    </row>
    <row r="8963" spans="1:4" ht="15.75" customHeight="1">
      <c r="A8963" t="s">
        <v>648</v>
      </c>
      <c r="B8963" t="s">
        <v>38</v>
      </c>
      <c r="C8963" t="s">
        <v>37</v>
      </c>
      <c r="D8963">
        <v>317</v>
      </c>
    </row>
    <row r="8964" spans="1:4" ht="15.75" customHeight="1">
      <c r="A8964" t="s">
        <v>629</v>
      </c>
      <c r="B8964" t="s">
        <v>38</v>
      </c>
      <c r="C8964" t="s">
        <v>37</v>
      </c>
      <c r="D8964">
        <v>315</v>
      </c>
    </row>
    <row r="8965" spans="1:4" ht="15.75" customHeight="1">
      <c r="A8965" t="s">
        <v>1453</v>
      </c>
      <c r="B8965" t="s">
        <v>38</v>
      </c>
      <c r="C8965" t="s">
        <v>37</v>
      </c>
      <c r="D8965">
        <v>315</v>
      </c>
    </row>
    <row r="8966" spans="1:4" ht="15.75" customHeight="1">
      <c r="A8966" t="s">
        <v>695</v>
      </c>
      <c r="B8966" t="s">
        <v>38</v>
      </c>
      <c r="C8966" t="s">
        <v>37</v>
      </c>
      <c r="D8966">
        <v>314</v>
      </c>
    </row>
    <row r="8967" spans="1:4" ht="15.75" customHeight="1">
      <c r="A8967" t="s">
        <v>4128</v>
      </c>
      <c r="B8967" t="s">
        <v>38</v>
      </c>
      <c r="C8967" t="s">
        <v>37</v>
      </c>
      <c r="D8967">
        <v>312</v>
      </c>
    </row>
    <row r="8968" spans="1:4" ht="15.75" customHeight="1">
      <c r="A8968" t="s">
        <v>688</v>
      </c>
      <c r="B8968" t="s">
        <v>38</v>
      </c>
      <c r="C8968" t="s">
        <v>37</v>
      </c>
      <c r="D8968">
        <v>311</v>
      </c>
    </row>
    <row r="8969" spans="1:4" ht="15.75" customHeight="1">
      <c r="A8969" t="s">
        <v>4831</v>
      </c>
      <c r="B8969" t="s">
        <v>38</v>
      </c>
      <c r="C8969" t="s">
        <v>37</v>
      </c>
      <c r="D8969">
        <v>309</v>
      </c>
    </row>
    <row r="8970" spans="1:4" ht="15.75" customHeight="1">
      <c r="A8970" t="s">
        <v>4077</v>
      </c>
      <c r="B8970" t="s">
        <v>38</v>
      </c>
      <c r="C8970" t="s">
        <v>37</v>
      </c>
      <c r="D8970">
        <v>309</v>
      </c>
    </row>
    <row r="8971" spans="1:4" ht="15.75" customHeight="1">
      <c r="A8971" t="s">
        <v>661</v>
      </c>
      <c r="B8971" t="s">
        <v>38</v>
      </c>
      <c r="C8971" t="s">
        <v>37</v>
      </c>
      <c r="D8971">
        <v>308</v>
      </c>
    </row>
    <row r="8972" spans="1:4" ht="15.75" customHeight="1">
      <c r="A8972" t="s">
        <v>4813</v>
      </c>
      <c r="B8972" t="s">
        <v>38</v>
      </c>
      <c r="C8972" t="s">
        <v>37</v>
      </c>
      <c r="D8972">
        <v>308</v>
      </c>
    </row>
    <row r="8973" spans="1:4" ht="15.75" customHeight="1">
      <c r="A8973" t="s">
        <v>465</v>
      </c>
      <c r="B8973" t="s">
        <v>38</v>
      </c>
      <c r="C8973" t="s">
        <v>37</v>
      </c>
      <c r="D8973">
        <v>307</v>
      </c>
    </row>
    <row r="8974" spans="1:4" ht="15.75" customHeight="1">
      <c r="A8974" t="s">
        <v>1414</v>
      </c>
      <c r="B8974" t="s">
        <v>38</v>
      </c>
      <c r="C8974" t="s">
        <v>37</v>
      </c>
      <c r="D8974">
        <v>307</v>
      </c>
    </row>
    <row r="8975" spans="1:4" ht="15.75" customHeight="1">
      <c r="A8975" t="s">
        <v>1730</v>
      </c>
      <c r="B8975" t="s">
        <v>38</v>
      </c>
      <c r="C8975" t="s">
        <v>37</v>
      </c>
      <c r="D8975">
        <v>306</v>
      </c>
    </row>
    <row r="8976" spans="1:4" ht="15.75" customHeight="1">
      <c r="A8976" t="s">
        <v>666</v>
      </c>
      <c r="B8976" t="s">
        <v>38</v>
      </c>
      <c r="C8976" t="s">
        <v>37</v>
      </c>
      <c r="D8976">
        <v>305</v>
      </c>
    </row>
    <row r="8977" spans="1:4" ht="15.75" customHeight="1">
      <c r="A8977" t="s">
        <v>2188</v>
      </c>
      <c r="B8977" t="s">
        <v>38</v>
      </c>
      <c r="C8977" t="s">
        <v>37</v>
      </c>
      <c r="D8977">
        <v>303</v>
      </c>
    </row>
    <row r="8978" spans="1:4" ht="15.75" customHeight="1">
      <c r="A8978" t="s">
        <v>690</v>
      </c>
      <c r="B8978" t="s">
        <v>38</v>
      </c>
      <c r="C8978" t="s">
        <v>37</v>
      </c>
      <c r="D8978">
        <v>303</v>
      </c>
    </row>
    <row r="8979" spans="1:4" ht="15.75" customHeight="1">
      <c r="A8979" t="s">
        <v>1711</v>
      </c>
      <c r="B8979" t="s">
        <v>38</v>
      </c>
      <c r="C8979" t="s">
        <v>37</v>
      </c>
      <c r="D8979">
        <v>303</v>
      </c>
    </row>
    <row r="8980" spans="1:4" ht="15.75" customHeight="1">
      <c r="A8980" t="s">
        <v>4430</v>
      </c>
      <c r="B8980" t="s">
        <v>38</v>
      </c>
      <c r="C8980" t="s">
        <v>37</v>
      </c>
      <c r="D8980">
        <v>300</v>
      </c>
    </row>
    <row r="8981" spans="1:4" ht="15.75" customHeight="1">
      <c r="A8981" t="s">
        <v>4807</v>
      </c>
      <c r="B8981" t="s">
        <v>38</v>
      </c>
      <c r="C8981" t="s">
        <v>37</v>
      </c>
      <c r="D8981">
        <v>299</v>
      </c>
    </row>
    <row r="8982" spans="1:4" ht="15.75" customHeight="1">
      <c r="A8982" t="s">
        <v>3695</v>
      </c>
      <c r="B8982" t="s">
        <v>38</v>
      </c>
      <c r="C8982" t="s">
        <v>37</v>
      </c>
      <c r="D8982">
        <v>298</v>
      </c>
    </row>
    <row r="8983" spans="1:4" ht="15.75" customHeight="1">
      <c r="A8983" t="s">
        <v>4093</v>
      </c>
      <c r="B8983" t="s">
        <v>38</v>
      </c>
      <c r="C8983" t="s">
        <v>37</v>
      </c>
      <c r="D8983">
        <v>297</v>
      </c>
    </row>
    <row r="8984" spans="1:4" ht="15.75" customHeight="1">
      <c r="A8984" t="s">
        <v>4386</v>
      </c>
      <c r="B8984" t="s">
        <v>38</v>
      </c>
      <c r="C8984" t="s">
        <v>37</v>
      </c>
      <c r="D8984">
        <v>296</v>
      </c>
    </row>
    <row r="8985" spans="1:4" ht="15.75" customHeight="1">
      <c r="A8985" t="s">
        <v>635</v>
      </c>
      <c r="B8985" t="s">
        <v>38</v>
      </c>
      <c r="C8985" t="s">
        <v>37</v>
      </c>
      <c r="D8985">
        <v>295</v>
      </c>
    </row>
    <row r="8986" spans="1:4" ht="15.75" customHeight="1">
      <c r="A8986" t="s">
        <v>693</v>
      </c>
      <c r="B8986" t="s">
        <v>38</v>
      </c>
      <c r="C8986" t="s">
        <v>37</v>
      </c>
      <c r="D8986">
        <v>295</v>
      </c>
    </row>
    <row r="8987" spans="1:4" ht="15.75" customHeight="1">
      <c r="A8987" t="s">
        <v>4095</v>
      </c>
      <c r="B8987" t="s">
        <v>38</v>
      </c>
      <c r="C8987" t="s">
        <v>37</v>
      </c>
      <c r="D8987">
        <v>294</v>
      </c>
    </row>
    <row r="8988" spans="1:4" ht="15.75" customHeight="1">
      <c r="A8988" t="s">
        <v>4833</v>
      </c>
      <c r="B8988" t="s">
        <v>38</v>
      </c>
      <c r="C8988" t="s">
        <v>37</v>
      </c>
      <c r="D8988">
        <v>294</v>
      </c>
    </row>
    <row r="8989" spans="1:4" ht="15.75" customHeight="1">
      <c r="A8989" t="s">
        <v>651</v>
      </c>
      <c r="B8989" t="s">
        <v>38</v>
      </c>
      <c r="C8989" t="s">
        <v>37</v>
      </c>
      <c r="D8989">
        <v>294</v>
      </c>
    </row>
    <row r="8990" spans="1:4" ht="15.75" customHeight="1">
      <c r="A8990" t="s">
        <v>2737</v>
      </c>
      <c r="B8990" t="s">
        <v>38</v>
      </c>
      <c r="C8990" t="s">
        <v>37</v>
      </c>
      <c r="D8990">
        <v>293</v>
      </c>
    </row>
    <row r="8991" spans="1:4" ht="15.75" customHeight="1">
      <c r="A8991" t="s">
        <v>4081</v>
      </c>
      <c r="B8991" t="s">
        <v>38</v>
      </c>
      <c r="C8991" t="s">
        <v>37</v>
      </c>
      <c r="D8991">
        <v>289</v>
      </c>
    </row>
    <row r="8992" spans="1:4" ht="15.75" customHeight="1">
      <c r="A8992" t="s">
        <v>3701</v>
      </c>
      <c r="B8992" t="s">
        <v>38</v>
      </c>
      <c r="C8992" t="s">
        <v>37</v>
      </c>
      <c r="D8992">
        <v>289</v>
      </c>
    </row>
    <row r="8993" spans="1:4" ht="15.75" customHeight="1">
      <c r="A8993" t="s">
        <v>632</v>
      </c>
      <c r="B8993" t="s">
        <v>38</v>
      </c>
      <c r="C8993" t="s">
        <v>37</v>
      </c>
      <c r="D8993">
        <v>288</v>
      </c>
    </row>
    <row r="8994" spans="1:4" ht="15.75" customHeight="1">
      <c r="A8994" t="s">
        <v>1708</v>
      </c>
      <c r="B8994" t="s">
        <v>38</v>
      </c>
      <c r="C8994" t="s">
        <v>37</v>
      </c>
      <c r="D8994">
        <v>288</v>
      </c>
    </row>
    <row r="8995" spans="1:4" ht="15.75" customHeight="1">
      <c r="A8995" t="s">
        <v>4399</v>
      </c>
      <c r="B8995" t="s">
        <v>38</v>
      </c>
      <c r="C8995" t="s">
        <v>37</v>
      </c>
      <c r="D8995">
        <v>286</v>
      </c>
    </row>
    <row r="8996" spans="1:4" ht="15.75" customHeight="1">
      <c r="A8996" t="s">
        <v>699</v>
      </c>
      <c r="B8996" t="s">
        <v>38</v>
      </c>
      <c r="C8996" t="s">
        <v>37</v>
      </c>
      <c r="D8996">
        <v>286</v>
      </c>
    </row>
    <row r="8997" spans="1:4" ht="15.75" customHeight="1">
      <c r="A8997" t="s">
        <v>3188</v>
      </c>
      <c r="B8997" t="s">
        <v>38</v>
      </c>
      <c r="C8997" t="s">
        <v>37</v>
      </c>
      <c r="D8997">
        <v>286</v>
      </c>
    </row>
    <row r="8998" spans="1:4" ht="15.75" customHeight="1">
      <c r="A8998" t="s">
        <v>1409</v>
      </c>
      <c r="B8998" t="s">
        <v>38</v>
      </c>
      <c r="C8998" t="s">
        <v>37</v>
      </c>
      <c r="D8998">
        <v>285</v>
      </c>
    </row>
    <row r="8999" spans="1:4" ht="15.75" customHeight="1">
      <c r="A8999" t="s">
        <v>1750</v>
      </c>
      <c r="B8999" t="s">
        <v>38</v>
      </c>
      <c r="C8999" t="s">
        <v>37</v>
      </c>
      <c r="D8999">
        <v>285</v>
      </c>
    </row>
    <row r="9000" spans="1:4" ht="15.75" customHeight="1">
      <c r="A9000" t="s">
        <v>1360</v>
      </c>
      <c r="B9000" t="s">
        <v>38</v>
      </c>
      <c r="C9000" t="s">
        <v>37</v>
      </c>
      <c r="D9000">
        <v>285</v>
      </c>
    </row>
    <row r="9001" spans="1:4" ht="15.75" customHeight="1">
      <c r="A9001" t="s">
        <v>1316</v>
      </c>
      <c r="B9001" t="s">
        <v>38</v>
      </c>
      <c r="C9001" t="s">
        <v>37</v>
      </c>
      <c r="D9001">
        <v>284</v>
      </c>
    </row>
    <row r="9002" spans="1:4" ht="15.75" customHeight="1">
      <c r="A9002" t="s">
        <v>2243</v>
      </c>
      <c r="B9002" t="s">
        <v>38</v>
      </c>
      <c r="C9002" t="s">
        <v>37</v>
      </c>
      <c r="D9002">
        <v>283</v>
      </c>
    </row>
    <row r="9003" spans="1:4" ht="15.75" customHeight="1">
      <c r="A9003" t="s">
        <v>2857</v>
      </c>
      <c r="B9003" t="s">
        <v>38</v>
      </c>
      <c r="C9003" t="s">
        <v>37</v>
      </c>
      <c r="D9003">
        <v>282</v>
      </c>
    </row>
    <row r="9004" spans="1:4" ht="15.75" customHeight="1">
      <c r="A9004" t="s">
        <v>2191</v>
      </c>
      <c r="B9004" t="s">
        <v>38</v>
      </c>
      <c r="C9004" t="s">
        <v>37</v>
      </c>
      <c r="D9004">
        <v>282</v>
      </c>
    </row>
    <row r="9005" spans="1:4" ht="15.75" customHeight="1">
      <c r="A9005" t="s">
        <v>4063</v>
      </c>
      <c r="B9005" t="s">
        <v>38</v>
      </c>
      <c r="C9005" t="s">
        <v>37</v>
      </c>
      <c r="D9005">
        <v>279</v>
      </c>
    </row>
    <row r="9006" spans="1:4" ht="15.75" customHeight="1">
      <c r="A9006" t="s">
        <v>3312</v>
      </c>
      <c r="B9006" t="s">
        <v>38</v>
      </c>
      <c r="C9006" t="s">
        <v>37</v>
      </c>
      <c r="D9006">
        <v>277</v>
      </c>
    </row>
    <row r="9007" spans="1:4" ht="15.75" customHeight="1">
      <c r="A9007" t="s">
        <v>2860</v>
      </c>
      <c r="B9007" t="s">
        <v>38</v>
      </c>
      <c r="C9007" t="s">
        <v>37</v>
      </c>
      <c r="D9007">
        <v>276</v>
      </c>
    </row>
    <row r="9008" spans="1:4" ht="15.75" customHeight="1">
      <c r="A9008" t="s">
        <v>4408</v>
      </c>
      <c r="B9008" t="s">
        <v>38</v>
      </c>
      <c r="C9008" t="s">
        <v>37</v>
      </c>
      <c r="D9008">
        <v>276</v>
      </c>
    </row>
    <row r="9009" spans="1:4" ht="15.75" customHeight="1">
      <c r="A9009" t="s">
        <v>1366</v>
      </c>
      <c r="B9009" t="s">
        <v>38</v>
      </c>
      <c r="C9009" t="s">
        <v>37</v>
      </c>
      <c r="D9009">
        <v>275</v>
      </c>
    </row>
    <row r="9010" spans="1:4" ht="15.75" customHeight="1">
      <c r="A9010" t="s">
        <v>1261</v>
      </c>
      <c r="B9010" t="s">
        <v>38</v>
      </c>
      <c r="C9010" t="s">
        <v>37</v>
      </c>
      <c r="D9010">
        <v>275</v>
      </c>
    </row>
    <row r="9011" spans="1:4" ht="15.75" customHeight="1">
      <c r="A9011" t="s">
        <v>1425</v>
      </c>
      <c r="B9011" t="s">
        <v>38</v>
      </c>
      <c r="C9011" t="s">
        <v>37</v>
      </c>
      <c r="D9011">
        <v>275</v>
      </c>
    </row>
    <row r="9012" spans="1:4" ht="15.75" customHeight="1">
      <c r="A9012" t="s">
        <v>515</v>
      </c>
      <c r="B9012" t="s">
        <v>38</v>
      </c>
      <c r="C9012" t="s">
        <v>37</v>
      </c>
      <c r="D9012">
        <v>275</v>
      </c>
    </row>
    <row r="9013" spans="1:4" ht="15.75" customHeight="1">
      <c r="A9013" t="s">
        <v>1766</v>
      </c>
      <c r="B9013" t="s">
        <v>38</v>
      </c>
      <c r="C9013" t="s">
        <v>37</v>
      </c>
      <c r="D9013">
        <v>275</v>
      </c>
    </row>
    <row r="9014" spans="1:4" ht="15.75" customHeight="1">
      <c r="A9014" t="s">
        <v>2750</v>
      </c>
      <c r="B9014" t="s">
        <v>38</v>
      </c>
      <c r="C9014" t="s">
        <v>37</v>
      </c>
      <c r="D9014">
        <v>274</v>
      </c>
    </row>
    <row r="9015" spans="1:4" ht="15.75" customHeight="1">
      <c r="A9015" t="s">
        <v>2764</v>
      </c>
      <c r="B9015" t="s">
        <v>38</v>
      </c>
      <c r="C9015" t="s">
        <v>37</v>
      </c>
      <c r="D9015">
        <v>273</v>
      </c>
    </row>
    <row r="9016" spans="1:4" ht="15.75" customHeight="1">
      <c r="A9016" t="s">
        <v>4414</v>
      </c>
      <c r="B9016" t="s">
        <v>38</v>
      </c>
      <c r="C9016" t="s">
        <v>37</v>
      </c>
      <c r="D9016">
        <v>269</v>
      </c>
    </row>
    <row r="9017" spans="1:4" ht="15.75" customHeight="1">
      <c r="A9017" t="s">
        <v>672</v>
      </c>
      <c r="B9017" t="s">
        <v>38</v>
      </c>
      <c r="C9017" t="s">
        <v>37</v>
      </c>
      <c r="D9017">
        <v>267</v>
      </c>
    </row>
    <row r="9018" spans="1:4" ht="15.75" customHeight="1">
      <c r="A9018" t="s">
        <v>1760</v>
      </c>
      <c r="B9018" t="s">
        <v>38</v>
      </c>
      <c r="C9018" t="s">
        <v>37</v>
      </c>
      <c r="D9018">
        <v>266</v>
      </c>
    </row>
    <row r="9019" spans="1:4" ht="15.75" customHeight="1">
      <c r="A9019" t="s">
        <v>3136</v>
      </c>
      <c r="B9019" t="s">
        <v>38</v>
      </c>
      <c r="C9019" t="s">
        <v>37</v>
      </c>
      <c r="D9019">
        <v>265</v>
      </c>
    </row>
    <row r="9020" spans="1:4" ht="15.75" customHeight="1">
      <c r="A9020" t="s">
        <v>1421</v>
      </c>
      <c r="B9020" t="s">
        <v>38</v>
      </c>
      <c r="C9020" t="s">
        <v>37</v>
      </c>
      <c r="D9020">
        <v>265</v>
      </c>
    </row>
    <row r="9021" spans="1:4" ht="15.75" customHeight="1">
      <c r="A9021" t="s">
        <v>669</v>
      </c>
      <c r="B9021" t="s">
        <v>38</v>
      </c>
      <c r="C9021" t="s">
        <v>37</v>
      </c>
      <c r="D9021">
        <v>265</v>
      </c>
    </row>
    <row r="9022" spans="1:4" ht="15.75" customHeight="1">
      <c r="A9022" t="s">
        <v>4130</v>
      </c>
      <c r="B9022" t="s">
        <v>38</v>
      </c>
      <c r="C9022" t="s">
        <v>37</v>
      </c>
      <c r="D9022">
        <v>263</v>
      </c>
    </row>
    <row r="9023" spans="1:4" ht="15.75" customHeight="1">
      <c r="A9023" t="s">
        <v>1430</v>
      </c>
      <c r="B9023" t="s">
        <v>38</v>
      </c>
      <c r="C9023" t="s">
        <v>37</v>
      </c>
      <c r="D9023">
        <v>262</v>
      </c>
    </row>
    <row r="9024" spans="1:4" ht="15.75" customHeight="1">
      <c r="A9024" t="s">
        <v>702</v>
      </c>
      <c r="B9024" t="s">
        <v>38</v>
      </c>
      <c r="C9024" t="s">
        <v>37</v>
      </c>
      <c r="D9024">
        <v>262</v>
      </c>
    </row>
    <row r="9025" spans="1:4" ht="15.75" customHeight="1">
      <c r="A9025" t="s">
        <v>623</v>
      </c>
      <c r="B9025" t="s">
        <v>38</v>
      </c>
      <c r="C9025" t="s">
        <v>37</v>
      </c>
      <c r="D9025">
        <v>262</v>
      </c>
    </row>
    <row r="9026" spans="1:4" ht="15.75" customHeight="1">
      <c r="A9026" t="s">
        <v>3266</v>
      </c>
      <c r="B9026" t="s">
        <v>38</v>
      </c>
      <c r="C9026" t="s">
        <v>37</v>
      </c>
      <c r="D9026">
        <v>261</v>
      </c>
    </row>
    <row r="9027" spans="1:4" ht="15.75" customHeight="1">
      <c r="A9027" t="s">
        <v>4790</v>
      </c>
      <c r="B9027" t="s">
        <v>38</v>
      </c>
      <c r="C9027" t="s">
        <v>37</v>
      </c>
      <c r="D9027">
        <v>259</v>
      </c>
    </row>
    <row r="9028" spans="1:4" ht="15.75" customHeight="1">
      <c r="A9028" t="s">
        <v>2742</v>
      </c>
      <c r="B9028" t="s">
        <v>38</v>
      </c>
      <c r="C9028" t="s">
        <v>37</v>
      </c>
      <c r="D9028">
        <v>259</v>
      </c>
    </row>
    <row r="9029" spans="1:4" ht="15.75" customHeight="1">
      <c r="A9029" t="s">
        <v>2251</v>
      </c>
      <c r="B9029" t="s">
        <v>38</v>
      </c>
      <c r="C9029" t="s">
        <v>37</v>
      </c>
      <c r="D9029">
        <v>258</v>
      </c>
    </row>
    <row r="9030" spans="1:4" ht="15.75" customHeight="1">
      <c r="A9030" t="s">
        <v>1764</v>
      </c>
      <c r="B9030" t="s">
        <v>38</v>
      </c>
      <c r="C9030" t="s">
        <v>37</v>
      </c>
      <c r="D9030">
        <v>257</v>
      </c>
    </row>
    <row r="9031" spans="1:4" ht="15.75" customHeight="1">
      <c r="A9031" t="s">
        <v>4111</v>
      </c>
      <c r="B9031" t="s">
        <v>38</v>
      </c>
      <c r="C9031" t="s">
        <v>37</v>
      </c>
      <c r="D9031">
        <v>257</v>
      </c>
    </row>
    <row r="9032" spans="1:4" ht="15.75" customHeight="1">
      <c r="A9032" t="s">
        <v>1725</v>
      </c>
      <c r="B9032" t="s">
        <v>38</v>
      </c>
      <c r="C9032" t="s">
        <v>37</v>
      </c>
      <c r="D9032">
        <v>256</v>
      </c>
    </row>
    <row r="9033" spans="1:4" ht="15.75" customHeight="1">
      <c r="A9033" t="s">
        <v>2186</v>
      </c>
      <c r="B9033" t="s">
        <v>38</v>
      </c>
      <c r="C9033" t="s">
        <v>37</v>
      </c>
      <c r="D9033">
        <v>254</v>
      </c>
    </row>
    <row r="9034" spans="1:4" ht="15.75" customHeight="1">
      <c r="A9034" t="s">
        <v>4724</v>
      </c>
      <c r="B9034" t="s">
        <v>38</v>
      </c>
      <c r="C9034" t="s">
        <v>37</v>
      </c>
      <c r="D9034">
        <v>254</v>
      </c>
    </row>
    <row r="9035" spans="1:4" ht="15.75" customHeight="1">
      <c r="A9035" t="s">
        <v>1444</v>
      </c>
      <c r="B9035" t="s">
        <v>38</v>
      </c>
      <c r="C9035" t="s">
        <v>37</v>
      </c>
      <c r="D9035">
        <v>253</v>
      </c>
    </row>
    <row r="9036" spans="1:4" ht="15.75" customHeight="1">
      <c r="A9036" t="s">
        <v>1791</v>
      </c>
      <c r="B9036" t="s">
        <v>38</v>
      </c>
      <c r="C9036" t="s">
        <v>37</v>
      </c>
      <c r="D9036">
        <v>252</v>
      </c>
    </row>
    <row r="9037" spans="1:4" ht="15.75" customHeight="1">
      <c r="A9037" t="s">
        <v>4132</v>
      </c>
      <c r="B9037" t="s">
        <v>38</v>
      </c>
      <c r="C9037" t="s">
        <v>37</v>
      </c>
      <c r="D9037">
        <v>250</v>
      </c>
    </row>
    <row r="9038" spans="1:4" ht="15.75" customHeight="1">
      <c r="A9038" t="s">
        <v>4777</v>
      </c>
      <c r="B9038" t="s">
        <v>38</v>
      </c>
      <c r="C9038" t="s">
        <v>37</v>
      </c>
      <c r="D9038">
        <v>250</v>
      </c>
    </row>
    <row r="9039" spans="1:4" ht="15.75" customHeight="1">
      <c r="A9039" t="s">
        <v>2730</v>
      </c>
      <c r="B9039" t="s">
        <v>38</v>
      </c>
      <c r="C9039" t="s">
        <v>37</v>
      </c>
      <c r="D9039">
        <v>246</v>
      </c>
    </row>
    <row r="9040" spans="1:4" ht="15.75" customHeight="1">
      <c r="A9040" t="s">
        <v>1275</v>
      </c>
      <c r="B9040" t="s">
        <v>38</v>
      </c>
      <c r="C9040" t="s">
        <v>37</v>
      </c>
      <c r="D9040">
        <v>244</v>
      </c>
    </row>
    <row r="9041" spans="1:4" ht="15.75" customHeight="1">
      <c r="A9041" t="s">
        <v>2853</v>
      </c>
      <c r="B9041" t="s">
        <v>38</v>
      </c>
      <c r="C9041" t="s">
        <v>37</v>
      </c>
      <c r="D9041">
        <v>244</v>
      </c>
    </row>
    <row r="9042" spans="1:4" ht="15.75" customHeight="1">
      <c r="A9042" t="s">
        <v>2113</v>
      </c>
      <c r="B9042" t="s">
        <v>38</v>
      </c>
      <c r="C9042" t="s">
        <v>37</v>
      </c>
      <c r="D9042">
        <v>241</v>
      </c>
    </row>
    <row r="9043" spans="1:4" ht="15.75" customHeight="1">
      <c r="A9043" t="s">
        <v>4065</v>
      </c>
      <c r="B9043" t="s">
        <v>38</v>
      </c>
      <c r="C9043" t="s">
        <v>37</v>
      </c>
      <c r="D9043">
        <v>240</v>
      </c>
    </row>
    <row r="9044" spans="1:4" ht="15.75" customHeight="1">
      <c r="A9044" t="s">
        <v>1449</v>
      </c>
      <c r="B9044" t="s">
        <v>38</v>
      </c>
      <c r="C9044" t="s">
        <v>37</v>
      </c>
      <c r="D9044">
        <v>239</v>
      </c>
    </row>
    <row r="9045" spans="1:4" ht="15.75" customHeight="1">
      <c r="A9045" t="s">
        <v>4821</v>
      </c>
      <c r="B9045" t="s">
        <v>38</v>
      </c>
      <c r="C9045" t="s">
        <v>37</v>
      </c>
      <c r="D9045">
        <v>239</v>
      </c>
    </row>
    <row r="9046" spans="1:4" ht="15.75" customHeight="1">
      <c r="A9046" t="s">
        <v>1320</v>
      </c>
      <c r="B9046" t="s">
        <v>38</v>
      </c>
      <c r="C9046" t="s">
        <v>37</v>
      </c>
      <c r="D9046">
        <v>238</v>
      </c>
    </row>
    <row r="9047" spans="1:4" ht="15.75" customHeight="1">
      <c r="A9047" t="s">
        <v>1226</v>
      </c>
      <c r="B9047" t="s">
        <v>38</v>
      </c>
      <c r="C9047" t="s">
        <v>37</v>
      </c>
      <c r="D9047">
        <v>237</v>
      </c>
    </row>
    <row r="9048" spans="1:4" ht="15.75" customHeight="1">
      <c r="A9048" t="s">
        <v>2172</v>
      </c>
      <c r="B9048" t="s">
        <v>38</v>
      </c>
      <c r="C9048" t="s">
        <v>37</v>
      </c>
      <c r="D9048">
        <v>237</v>
      </c>
    </row>
    <row r="9049" spans="1:4" ht="15.75" customHeight="1">
      <c r="A9049" t="s">
        <v>4819</v>
      </c>
      <c r="B9049" t="s">
        <v>38</v>
      </c>
      <c r="C9049" t="s">
        <v>37</v>
      </c>
      <c r="D9049">
        <v>236</v>
      </c>
    </row>
    <row r="9050" spans="1:4" ht="15.75" customHeight="1">
      <c r="A9050" t="s">
        <v>2117</v>
      </c>
      <c r="B9050" t="s">
        <v>38</v>
      </c>
      <c r="C9050" t="s">
        <v>37</v>
      </c>
      <c r="D9050">
        <v>236</v>
      </c>
    </row>
    <row r="9051" spans="1:4" ht="15.75" customHeight="1">
      <c r="A9051" t="s">
        <v>1369</v>
      </c>
      <c r="B9051" t="s">
        <v>38</v>
      </c>
      <c r="C9051" t="s">
        <v>37</v>
      </c>
      <c r="D9051">
        <v>234</v>
      </c>
    </row>
    <row r="9052" spans="1:4" ht="15.75" customHeight="1">
      <c r="A9052" t="s">
        <v>4811</v>
      </c>
      <c r="B9052" t="s">
        <v>38</v>
      </c>
      <c r="C9052" t="s">
        <v>37</v>
      </c>
      <c r="D9052">
        <v>234</v>
      </c>
    </row>
    <row r="9053" spans="1:4" ht="15.75" customHeight="1">
      <c r="A9053" t="s">
        <v>2866</v>
      </c>
      <c r="B9053" t="s">
        <v>38</v>
      </c>
      <c r="C9053" t="s">
        <v>37</v>
      </c>
      <c r="D9053">
        <v>234</v>
      </c>
    </row>
    <row r="9054" spans="1:4" ht="15.75" customHeight="1">
      <c r="A9054" t="s">
        <v>2267</v>
      </c>
      <c r="B9054" t="s">
        <v>38</v>
      </c>
      <c r="C9054" t="s">
        <v>37</v>
      </c>
      <c r="D9054">
        <v>233</v>
      </c>
    </row>
    <row r="9055" spans="1:4" ht="15.75" customHeight="1">
      <c r="A9055" t="s">
        <v>1716</v>
      </c>
      <c r="B9055" t="s">
        <v>38</v>
      </c>
      <c r="C9055" t="s">
        <v>37</v>
      </c>
      <c r="D9055">
        <v>232</v>
      </c>
    </row>
    <row r="9056" spans="1:4" ht="15.75" customHeight="1">
      <c r="A9056" t="s">
        <v>576</v>
      </c>
      <c r="B9056" t="s">
        <v>38</v>
      </c>
      <c r="C9056" t="s">
        <v>37</v>
      </c>
      <c r="D9056">
        <v>232</v>
      </c>
    </row>
    <row r="9057" spans="1:4" ht="15.75" customHeight="1">
      <c r="A9057" t="s">
        <v>1744</v>
      </c>
      <c r="B9057" t="s">
        <v>38</v>
      </c>
      <c r="C9057" t="s">
        <v>37</v>
      </c>
      <c r="D9057">
        <v>231</v>
      </c>
    </row>
    <row r="9058" spans="1:4" ht="15.75" customHeight="1">
      <c r="A9058" t="s">
        <v>3678</v>
      </c>
      <c r="B9058" t="s">
        <v>38</v>
      </c>
      <c r="C9058" t="s">
        <v>37</v>
      </c>
      <c r="D9058">
        <v>226</v>
      </c>
    </row>
    <row r="9059" spans="1:4" ht="15.75" customHeight="1">
      <c r="A9059" t="s">
        <v>3171</v>
      </c>
      <c r="B9059" t="s">
        <v>38</v>
      </c>
      <c r="C9059" t="s">
        <v>37</v>
      </c>
      <c r="D9059">
        <v>223</v>
      </c>
    </row>
    <row r="9060" spans="1:4" ht="15.75" customHeight="1">
      <c r="A9060" t="s">
        <v>3252</v>
      </c>
      <c r="B9060" t="s">
        <v>38</v>
      </c>
      <c r="C9060" t="s">
        <v>37</v>
      </c>
      <c r="D9060">
        <v>223</v>
      </c>
    </row>
    <row r="9061" spans="1:4" ht="15.75" customHeight="1">
      <c r="A9061" t="s">
        <v>2261</v>
      </c>
      <c r="B9061" t="s">
        <v>38</v>
      </c>
      <c r="C9061" t="s">
        <v>37</v>
      </c>
      <c r="D9061">
        <v>222</v>
      </c>
    </row>
    <row r="9062" spans="1:4" ht="15.75" customHeight="1">
      <c r="A9062" t="s">
        <v>1428</v>
      </c>
      <c r="B9062" t="s">
        <v>38</v>
      </c>
      <c r="C9062" t="s">
        <v>37</v>
      </c>
      <c r="D9062">
        <v>219</v>
      </c>
    </row>
    <row r="9063" spans="1:4" ht="15.75" customHeight="1">
      <c r="A9063" t="s">
        <v>2256</v>
      </c>
      <c r="B9063" t="s">
        <v>38</v>
      </c>
      <c r="C9063" t="s">
        <v>37</v>
      </c>
      <c r="D9063">
        <v>218</v>
      </c>
    </row>
    <row r="9064" spans="1:4" ht="15.75" customHeight="1">
      <c r="A9064" t="s">
        <v>4397</v>
      </c>
      <c r="B9064" t="s">
        <v>38</v>
      </c>
      <c r="C9064" t="s">
        <v>37</v>
      </c>
      <c r="D9064">
        <v>218</v>
      </c>
    </row>
    <row r="9065" spans="1:4" ht="15.75" customHeight="1">
      <c r="A9065" t="s">
        <v>2700</v>
      </c>
      <c r="B9065" t="s">
        <v>38</v>
      </c>
      <c r="C9065" t="s">
        <v>37</v>
      </c>
      <c r="D9065">
        <v>217</v>
      </c>
    </row>
    <row r="9066" spans="1:4" ht="15.75" customHeight="1">
      <c r="A9066" t="s">
        <v>4085</v>
      </c>
      <c r="B9066" t="s">
        <v>38</v>
      </c>
      <c r="C9066" t="s">
        <v>37</v>
      </c>
      <c r="D9066">
        <v>217</v>
      </c>
    </row>
    <row r="9067" spans="1:4" ht="15.75" customHeight="1">
      <c r="A9067" t="s">
        <v>1742</v>
      </c>
      <c r="B9067" t="s">
        <v>38</v>
      </c>
      <c r="C9067" t="s">
        <v>37</v>
      </c>
      <c r="D9067">
        <v>215</v>
      </c>
    </row>
    <row r="9068" spans="1:4" ht="15.75" customHeight="1">
      <c r="A9068" t="s">
        <v>2707</v>
      </c>
      <c r="B9068" t="s">
        <v>38</v>
      </c>
      <c r="C9068" t="s">
        <v>37</v>
      </c>
      <c r="D9068">
        <v>215</v>
      </c>
    </row>
    <row r="9069" spans="1:4" ht="15.75" customHeight="1">
      <c r="A9069" t="s">
        <v>2095</v>
      </c>
      <c r="B9069" t="s">
        <v>38</v>
      </c>
      <c r="C9069" t="s">
        <v>37</v>
      </c>
      <c r="D9069">
        <v>214</v>
      </c>
    </row>
    <row r="9070" spans="1:4" ht="15.75" customHeight="1">
      <c r="A9070" t="s">
        <v>2732</v>
      </c>
      <c r="B9070" t="s">
        <v>38</v>
      </c>
      <c r="C9070" t="s">
        <v>37</v>
      </c>
      <c r="D9070">
        <v>213</v>
      </c>
    </row>
    <row r="9071" spans="1:4" ht="15.75" customHeight="1">
      <c r="A9071" t="s">
        <v>4758</v>
      </c>
      <c r="B9071" t="s">
        <v>38</v>
      </c>
      <c r="C9071" t="s">
        <v>37</v>
      </c>
      <c r="D9071">
        <v>213</v>
      </c>
    </row>
    <row r="9072" spans="1:4" ht="15.75" customHeight="1">
      <c r="A9072" t="s">
        <v>4389</v>
      </c>
      <c r="B9072" t="s">
        <v>38</v>
      </c>
      <c r="C9072" t="s">
        <v>37</v>
      </c>
      <c r="D9072">
        <v>212</v>
      </c>
    </row>
    <row r="9073" spans="1:4" ht="15.75" customHeight="1">
      <c r="A9073" t="s">
        <v>2201</v>
      </c>
      <c r="B9073" t="s">
        <v>38</v>
      </c>
      <c r="C9073" t="s">
        <v>37</v>
      </c>
      <c r="D9073">
        <v>210</v>
      </c>
    </row>
    <row r="9074" spans="1:4" ht="15.75" customHeight="1">
      <c r="A9074" t="s">
        <v>1436</v>
      </c>
      <c r="B9074" t="s">
        <v>38</v>
      </c>
      <c r="C9074" t="s">
        <v>37</v>
      </c>
      <c r="D9074">
        <v>210</v>
      </c>
    </row>
    <row r="9075" spans="1:4" ht="15.75" customHeight="1">
      <c r="A9075" t="s">
        <v>1351</v>
      </c>
      <c r="B9075" t="s">
        <v>38</v>
      </c>
      <c r="C9075" t="s">
        <v>37</v>
      </c>
      <c r="D9075">
        <v>208</v>
      </c>
    </row>
    <row r="9076" spans="1:4" ht="15.75" customHeight="1">
      <c r="A9076" t="s">
        <v>3310</v>
      </c>
      <c r="B9076" t="s">
        <v>38</v>
      </c>
      <c r="C9076" t="s">
        <v>37</v>
      </c>
      <c r="D9076">
        <v>207</v>
      </c>
    </row>
    <row r="9077" spans="1:4" ht="15.75" customHeight="1">
      <c r="A9077" t="s">
        <v>1349</v>
      </c>
      <c r="B9077" t="s">
        <v>38</v>
      </c>
      <c r="C9077" t="s">
        <v>37</v>
      </c>
      <c r="D9077">
        <v>206</v>
      </c>
    </row>
    <row r="9078" spans="1:4" ht="15.75" customHeight="1">
      <c r="A9078" t="s">
        <v>4122</v>
      </c>
      <c r="B9078" t="s">
        <v>38</v>
      </c>
      <c r="C9078" t="s">
        <v>37</v>
      </c>
      <c r="D9078">
        <v>205</v>
      </c>
    </row>
    <row r="9079" spans="1:4" ht="15.75" customHeight="1">
      <c r="A9079" t="s">
        <v>3722</v>
      </c>
      <c r="B9079" t="s">
        <v>38</v>
      </c>
      <c r="C9079" t="s">
        <v>37</v>
      </c>
      <c r="D9079">
        <v>204</v>
      </c>
    </row>
    <row r="9080" spans="1:4" ht="15.75" customHeight="1">
      <c r="A9080" t="s">
        <v>4712</v>
      </c>
      <c r="B9080" t="s">
        <v>38</v>
      </c>
      <c r="C9080" t="s">
        <v>37</v>
      </c>
      <c r="D9080">
        <v>202</v>
      </c>
    </row>
    <row r="9081" spans="1:4" ht="15.75" customHeight="1">
      <c r="A9081" t="s">
        <v>4751</v>
      </c>
      <c r="B9081" t="s">
        <v>38</v>
      </c>
      <c r="C9081" t="s">
        <v>37</v>
      </c>
      <c r="D9081">
        <v>201</v>
      </c>
    </row>
    <row r="9082" spans="1:4" ht="15.75" customHeight="1">
      <c r="A9082" t="s">
        <v>2247</v>
      </c>
      <c r="B9082" t="s">
        <v>38</v>
      </c>
      <c r="C9082" t="s">
        <v>37</v>
      </c>
      <c r="D9082">
        <v>201</v>
      </c>
    </row>
    <row r="9083" spans="1:4" ht="15.75" customHeight="1">
      <c r="A9083" t="s">
        <v>570</v>
      </c>
      <c r="B9083" t="s">
        <v>38</v>
      </c>
      <c r="C9083" t="s">
        <v>37</v>
      </c>
      <c r="D9083">
        <v>200</v>
      </c>
    </row>
    <row r="9084" spans="1:4" ht="15.75" customHeight="1">
      <c r="A9084" t="s">
        <v>3697</v>
      </c>
      <c r="B9084" t="s">
        <v>38</v>
      </c>
      <c r="C9084" t="s">
        <v>37</v>
      </c>
      <c r="D9084">
        <v>197</v>
      </c>
    </row>
    <row r="9085" spans="1:4" ht="15.75" customHeight="1">
      <c r="A9085" t="s">
        <v>3615</v>
      </c>
      <c r="B9085" t="s">
        <v>38</v>
      </c>
      <c r="C9085" t="s">
        <v>37</v>
      </c>
      <c r="D9085">
        <v>197</v>
      </c>
    </row>
    <row r="9086" spans="1:4" ht="15.75" customHeight="1">
      <c r="A9086" t="s">
        <v>2663</v>
      </c>
      <c r="B9086" t="s">
        <v>38</v>
      </c>
      <c r="C9086" t="s">
        <v>37</v>
      </c>
      <c r="D9086">
        <v>196</v>
      </c>
    </row>
    <row r="9087" spans="1:4" ht="15.75" customHeight="1">
      <c r="A9087" t="s">
        <v>582</v>
      </c>
      <c r="B9087" t="s">
        <v>38</v>
      </c>
      <c r="C9087" t="s">
        <v>37</v>
      </c>
      <c r="D9087">
        <v>194</v>
      </c>
    </row>
    <row r="9088" spans="1:4" ht="15.75" customHeight="1">
      <c r="A9088" t="s">
        <v>1404</v>
      </c>
      <c r="B9088" t="s">
        <v>38</v>
      </c>
      <c r="C9088" t="s">
        <v>37</v>
      </c>
      <c r="D9088">
        <v>192</v>
      </c>
    </row>
    <row r="9089" spans="1:4" ht="15.75" customHeight="1">
      <c r="A9089" t="s">
        <v>1721</v>
      </c>
      <c r="B9089" t="s">
        <v>38</v>
      </c>
      <c r="C9089" t="s">
        <v>37</v>
      </c>
      <c r="D9089">
        <v>192</v>
      </c>
    </row>
    <row r="9090" spans="1:4" ht="15.75" customHeight="1">
      <c r="A9090" t="s">
        <v>3181</v>
      </c>
      <c r="B9090" t="s">
        <v>38</v>
      </c>
      <c r="C9090" t="s">
        <v>37</v>
      </c>
      <c r="D9090">
        <v>192</v>
      </c>
    </row>
    <row r="9091" spans="1:4" ht="15.75" customHeight="1">
      <c r="A9091" t="s">
        <v>1407</v>
      </c>
      <c r="B9091" t="s">
        <v>38</v>
      </c>
      <c r="C9091" t="s">
        <v>37</v>
      </c>
      <c r="D9091">
        <v>191</v>
      </c>
    </row>
    <row r="9092" spans="1:4" ht="15.75" customHeight="1">
      <c r="A9092" t="s">
        <v>3263</v>
      </c>
      <c r="B9092" t="s">
        <v>38</v>
      </c>
      <c r="C9092" t="s">
        <v>37</v>
      </c>
      <c r="D9092">
        <v>191</v>
      </c>
    </row>
    <row r="9093" spans="1:4" ht="15.75" customHeight="1">
      <c r="A9093" t="s">
        <v>1795</v>
      </c>
      <c r="B9093" t="s">
        <v>38</v>
      </c>
      <c r="C9093" t="s">
        <v>37</v>
      </c>
      <c r="D9093">
        <v>191</v>
      </c>
    </row>
    <row r="9094" spans="1:4" ht="15.75" customHeight="1">
      <c r="A9094" t="s">
        <v>4089</v>
      </c>
      <c r="B9094" t="s">
        <v>38</v>
      </c>
      <c r="C9094" t="s">
        <v>37</v>
      </c>
      <c r="D9094">
        <v>191</v>
      </c>
    </row>
    <row r="9095" spans="1:4" ht="15.75" customHeight="1">
      <c r="A9095" t="s">
        <v>1304</v>
      </c>
      <c r="B9095" t="s">
        <v>38</v>
      </c>
      <c r="C9095" t="s">
        <v>37</v>
      </c>
      <c r="D9095">
        <v>190</v>
      </c>
    </row>
    <row r="9096" spans="1:4" ht="15.75" customHeight="1">
      <c r="A9096" t="s">
        <v>3178</v>
      </c>
      <c r="B9096" t="s">
        <v>38</v>
      </c>
      <c r="C9096" t="s">
        <v>37</v>
      </c>
      <c r="D9096">
        <v>190</v>
      </c>
    </row>
    <row r="9097" spans="1:4" ht="15.75" customHeight="1">
      <c r="A9097" t="s">
        <v>4087</v>
      </c>
      <c r="B9097" t="s">
        <v>38</v>
      </c>
      <c r="C9097" t="s">
        <v>37</v>
      </c>
      <c r="D9097">
        <v>188</v>
      </c>
    </row>
    <row r="9098" spans="1:4" ht="15.75" customHeight="1">
      <c r="A9098" t="s">
        <v>1734</v>
      </c>
      <c r="B9098" t="s">
        <v>38</v>
      </c>
      <c r="C9098" t="s">
        <v>37</v>
      </c>
      <c r="D9098">
        <v>187</v>
      </c>
    </row>
    <row r="9099" spans="1:4" ht="15.75" customHeight="1">
      <c r="A9099" t="s">
        <v>1423</v>
      </c>
      <c r="B9099" t="s">
        <v>38</v>
      </c>
      <c r="C9099" t="s">
        <v>37</v>
      </c>
      <c r="D9099">
        <v>187</v>
      </c>
    </row>
    <row r="9100" spans="1:4" ht="15.75" customHeight="1">
      <c r="A9100" t="s">
        <v>2110</v>
      </c>
      <c r="B9100" t="s">
        <v>38</v>
      </c>
      <c r="C9100" t="s">
        <v>37</v>
      </c>
      <c r="D9100">
        <v>185</v>
      </c>
    </row>
    <row r="9101" spans="1:4" ht="15.75" customHeight="1">
      <c r="A9101" s="7" t="s">
        <v>436</v>
      </c>
      <c r="B9101" t="s">
        <v>38</v>
      </c>
      <c r="C9101" t="s">
        <v>37</v>
      </c>
      <c r="D9101">
        <v>182</v>
      </c>
    </row>
    <row r="9102" spans="1:4" ht="15.75" customHeight="1">
      <c r="A9102" t="s">
        <v>4403</v>
      </c>
      <c r="B9102" t="s">
        <v>38</v>
      </c>
      <c r="C9102" t="s">
        <v>37</v>
      </c>
      <c r="D9102">
        <v>181</v>
      </c>
    </row>
    <row r="9103" spans="1:4" ht="15.75" customHeight="1">
      <c r="A9103" t="s">
        <v>442</v>
      </c>
      <c r="B9103" t="s">
        <v>38</v>
      </c>
      <c r="C9103" t="s">
        <v>37</v>
      </c>
      <c r="D9103">
        <v>181</v>
      </c>
    </row>
    <row r="9104" spans="1:4" ht="15.75" customHeight="1">
      <c r="A9104" t="s">
        <v>1258</v>
      </c>
      <c r="B9104" t="s">
        <v>38</v>
      </c>
      <c r="C9104" t="s">
        <v>37</v>
      </c>
      <c r="D9104">
        <v>180</v>
      </c>
    </row>
    <row r="9105" spans="1:4" ht="15.75" customHeight="1">
      <c r="A9105" t="s">
        <v>4099</v>
      </c>
      <c r="B9105" t="s">
        <v>38</v>
      </c>
      <c r="C9105" t="s">
        <v>37</v>
      </c>
      <c r="D9105">
        <v>180</v>
      </c>
    </row>
    <row r="9106" spans="1:4" ht="15.75" customHeight="1">
      <c r="A9106" t="s">
        <v>1728</v>
      </c>
      <c r="B9106" t="s">
        <v>38</v>
      </c>
      <c r="C9106" t="s">
        <v>37</v>
      </c>
      <c r="D9106">
        <v>177</v>
      </c>
    </row>
    <row r="9107" spans="1:4" ht="15.75" customHeight="1">
      <c r="A9107" t="s">
        <v>494</v>
      </c>
      <c r="B9107" t="s">
        <v>38</v>
      </c>
      <c r="C9107" t="s">
        <v>37</v>
      </c>
      <c r="D9107">
        <v>176</v>
      </c>
    </row>
    <row r="9108" spans="1:4" ht="15.75" customHeight="1">
      <c r="A9108" t="s">
        <v>2253</v>
      </c>
      <c r="B9108" t="s">
        <v>38</v>
      </c>
      <c r="C9108" t="s">
        <v>37</v>
      </c>
      <c r="D9108">
        <v>174</v>
      </c>
    </row>
    <row r="9109" spans="1:4" ht="15.75" customHeight="1">
      <c r="A9109" t="s">
        <v>3703</v>
      </c>
      <c r="B9109" t="s">
        <v>38</v>
      </c>
      <c r="C9109" t="s">
        <v>37</v>
      </c>
      <c r="D9109">
        <v>174</v>
      </c>
    </row>
    <row r="9110" spans="1:4" ht="15.75" customHeight="1">
      <c r="A9110" t="s">
        <v>4120</v>
      </c>
      <c r="B9110" t="s">
        <v>38</v>
      </c>
      <c r="C9110" t="s">
        <v>37</v>
      </c>
      <c r="D9110">
        <v>174</v>
      </c>
    </row>
    <row r="9111" spans="1:4" ht="15.75" customHeight="1">
      <c r="A9111" t="s">
        <v>4841</v>
      </c>
      <c r="B9111" t="s">
        <v>38</v>
      </c>
      <c r="C9111" t="s">
        <v>37</v>
      </c>
      <c r="D9111">
        <v>173</v>
      </c>
    </row>
    <row r="9112" spans="1:4" ht="15.75" customHeight="1">
      <c r="A9112" t="s">
        <v>1768</v>
      </c>
      <c r="B9112" t="s">
        <v>38</v>
      </c>
      <c r="C9112" t="s">
        <v>37</v>
      </c>
      <c r="D9112">
        <v>173</v>
      </c>
    </row>
    <row r="9113" spans="1:4" ht="15.75" customHeight="1">
      <c r="A9113" t="s">
        <v>2843</v>
      </c>
      <c r="B9113" t="s">
        <v>38</v>
      </c>
      <c r="C9113" t="s">
        <v>37</v>
      </c>
      <c r="D9113">
        <v>172</v>
      </c>
    </row>
    <row r="9114" spans="1:4" ht="15.75" customHeight="1">
      <c r="A9114" t="s">
        <v>1451</v>
      </c>
      <c r="B9114" t="s">
        <v>38</v>
      </c>
      <c r="C9114" t="s">
        <v>37</v>
      </c>
      <c r="D9114">
        <v>172</v>
      </c>
    </row>
    <row r="9115" spans="1:4" ht="15.75" customHeight="1">
      <c r="A9115" t="s">
        <v>4392</v>
      </c>
      <c r="B9115" t="s">
        <v>38</v>
      </c>
      <c r="C9115" t="s">
        <v>37</v>
      </c>
      <c r="D9115">
        <v>172</v>
      </c>
    </row>
    <row r="9116" spans="1:4" ht="15.75" customHeight="1">
      <c r="A9116" t="s">
        <v>4381</v>
      </c>
      <c r="B9116" t="s">
        <v>38</v>
      </c>
      <c r="C9116" t="s">
        <v>37</v>
      </c>
      <c r="D9116">
        <v>171</v>
      </c>
    </row>
    <row r="9117" spans="1:4" ht="15.75" customHeight="1">
      <c r="A9117" t="s">
        <v>4825</v>
      </c>
      <c r="B9117" t="s">
        <v>38</v>
      </c>
      <c r="C9117" t="s">
        <v>37</v>
      </c>
      <c r="D9117">
        <v>170</v>
      </c>
    </row>
    <row r="9118" spans="1:4" ht="15.75" customHeight="1">
      <c r="A9118" t="s">
        <v>4115</v>
      </c>
      <c r="B9118" t="s">
        <v>38</v>
      </c>
      <c r="C9118" t="s">
        <v>37</v>
      </c>
      <c r="D9118">
        <v>170</v>
      </c>
    </row>
    <row r="9119" spans="1:4" ht="15.75" customHeight="1">
      <c r="A9119" t="s">
        <v>663</v>
      </c>
      <c r="B9119" t="s">
        <v>38</v>
      </c>
      <c r="C9119" t="s">
        <v>37</v>
      </c>
      <c r="D9119">
        <v>169</v>
      </c>
    </row>
    <row r="9120" spans="1:4" ht="15.75" customHeight="1">
      <c r="A9120" t="s">
        <v>1419</v>
      </c>
      <c r="B9120" t="s">
        <v>38</v>
      </c>
      <c r="C9120" t="s">
        <v>37</v>
      </c>
      <c r="D9120">
        <v>169</v>
      </c>
    </row>
    <row r="9121" spans="1:4" ht="15.75" customHeight="1">
      <c r="A9121" t="s">
        <v>1787</v>
      </c>
      <c r="B9121" t="s">
        <v>38</v>
      </c>
      <c r="C9121" t="s">
        <v>37</v>
      </c>
      <c r="D9121">
        <v>168</v>
      </c>
    </row>
    <row r="9122" spans="1:4" ht="15.75" customHeight="1">
      <c r="A9122" t="s">
        <v>3255</v>
      </c>
      <c r="B9122" t="s">
        <v>38</v>
      </c>
      <c r="C9122" t="s">
        <v>37</v>
      </c>
      <c r="D9122">
        <v>168</v>
      </c>
    </row>
    <row r="9123" spans="1:4" ht="15.75" customHeight="1">
      <c r="A9123" t="s">
        <v>2773</v>
      </c>
      <c r="B9123" t="s">
        <v>38</v>
      </c>
      <c r="C9123" t="s">
        <v>37</v>
      </c>
      <c r="D9123">
        <v>167</v>
      </c>
    </row>
    <row r="9124" spans="1:4" ht="15.75" customHeight="1">
      <c r="A9124" t="s">
        <v>2272</v>
      </c>
      <c r="B9124" t="s">
        <v>38</v>
      </c>
      <c r="C9124" t="s">
        <v>37</v>
      </c>
      <c r="D9124">
        <v>166</v>
      </c>
    </row>
    <row r="9125" spans="1:4" ht="15.75" customHeight="1">
      <c r="A9125" t="s">
        <v>445</v>
      </c>
      <c r="B9125" t="s">
        <v>38</v>
      </c>
      <c r="C9125" t="s">
        <v>37</v>
      </c>
      <c r="D9125">
        <v>166</v>
      </c>
    </row>
    <row r="9126" spans="1:4" ht="15.75" customHeight="1">
      <c r="A9126" t="s">
        <v>3162</v>
      </c>
      <c r="B9126" t="s">
        <v>38</v>
      </c>
      <c r="C9126" t="s">
        <v>37</v>
      </c>
      <c r="D9126">
        <v>166</v>
      </c>
    </row>
    <row r="9127" spans="1:4" ht="15.75" customHeight="1">
      <c r="A9127" t="s">
        <v>2240</v>
      </c>
      <c r="B9127" t="s">
        <v>38</v>
      </c>
      <c r="C9127" t="s">
        <v>37</v>
      </c>
      <c r="D9127">
        <v>164</v>
      </c>
    </row>
    <row r="9128" spans="1:4" ht="15.75" customHeight="1">
      <c r="A9128" t="s">
        <v>1328</v>
      </c>
      <c r="B9128" t="s">
        <v>38</v>
      </c>
      <c r="C9128" t="s">
        <v>37</v>
      </c>
      <c r="D9128">
        <v>164</v>
      </c>
    </row>
    <row r="9129" spans="1:4" ht="15.75" customHeight="1">
      <c r="A9129" t="s">
        <v>1267</v>
      </c>
      <c r="B9129" t="s">
        <v>38</v>
      </c>
      <c r="C9129" t="s">
        <v>37</v>
      </c>
      <c r="D9129">
        <v>162</v>
      </c>
    </row>
    <row r="9130" spans="1:4" ht="15.75" customHeight="1">
      <c r="A9130" t="s">
        <v>1325</v>
      </c>
      <c r="B9130" t="s">
        <v>38</v>
      </c>
      <c r="C9130" t="s">
        <v>37</v>
      </c>
      <c r="D9130">
        <v>161</v>
      </c>
    </row>
    <row r="9131" spans="1:4" ht="15.75" customHeight="1">
      <c r="A9131" t="s">
        <v>3671</v>
      </c>
      <c r="B9131" t="s">
        <v>38</v>
      </c>
      <c r="C9131" t="s">
        <v>37</v>
      </c>
      <c r="D9131">
        <v>160</v>
      </c>
    </row>
    <row r="9132" spans="1:4" ht="15.75" customHeight="1">
      <c r="A9132" t="s">
        <v>4742</v>
      </c>
      <c r="B9132" t="s">
        <v>38</v>
      </c>
      <c r="C9132" t="s">
        <v>37</v>
      </c>
      <c r="D9132">
        <v>156</v>
      </c>
    </row>
    <row r="9133" spans="1:4" ht="15.75" customHeight="1">
      <c r="A9133" t="s">
        <v>4748</v>
      </c>
      <c r="B9133" t="s">
        <v>38</v>
      </c>
      <c r="C9133" t="s">
        <v>37</v>
      </c>
      <c r="D9133">
        <v>155</v>
      </c>
    </row>
    <row r="9134" spans="1:4" ht="15.75" customHeight="1">
      <c r="A9134" t="s">
        <v>1740</v>
      </c>
      <c r="B9134" t="s">
        <v>38</v>
      </c>
      <c r="C9134" t="s">
        <v>37</v>
      </c>
      <c r="D9134">
        <v>154</v>
      </c>
    </row>
    <row r="9135" spans="1:4" ht="15.75" customHeight="1">
      <c r="A9135" t="s">
        <v>588</v>
      </c>
      <c r="B9135" t="s">
        <v>38</v>
      </c>
      <c r="C9135" t="s">
        <v>37</v>
      </c>
      <c r="D9135">
        <v>151</v>
      </c>
    </row>
    <row r="9136" spans="1:4" ht="15.75" customHeight="1">
      <c r="A9136" t="s">
        <v>3684</v>
      </c>
      <c r="B9136" t="s">
        <v>38</v>
      </c>
      <c r="C9136" t="s">
        <v>37</v>
      </c>
      <c r="D9136">
        <v>151</v>
      </c>
    </row>
    <row r="9137" spans="1:4" ht="15.75" customHeight="1">
      <c r="A9137" t="s">
        <v>4041</v>
      </c>
      <c r="B9137" t="s">
        <v>38</v>
      </c>
      <c r="C9137" t="s">
        <v>37</v>
      </c>
      <c r="D9137">
        <v>150</v>
      </c>
    </row>
    <row r="9138" spans="1:4" ht="15.75" customHeight="1">
      <c r="A9138" t="s">
        <v>3148</v>
      </c>
      <c r="B9138" t="s">
        <v>38</v>
      </c>
      <c r="C9138" t="s">
        <v>37</v>
      </c>
      <c r="D9138">
        <v>150</v>
      </c>
    </row>
    <row r="9139" spans="1:4" ht="15.75" customHeight="1">
      <c r="A9139" t="s">
        <v>1756</v>
      </c>
      <c r="B9139" t="s">
        <v>38</v>
      </c>
      <c r="C9139" t="s">
        <v>37</v>
      </c>
      <c r="D9139">
        <v>149</v>
      </c>
    </row>
    <row r="9140" spans="1:4" ht="15.75" customHeight="1">
      <c r="A9140" t="s">
        <v>1442</v>
      </c>
      <c r="B9140" t="s">
        <v>38</v>
      </c>
      <c r="C9140" t="s">
        <v>37</v>
      </c>
      <c r="D9140">
        <v>148</v>
      </c>
    </row>
    <row r="9141" spans="1:4" ht="15.75" customHeight="1">
      <c r="A9141" t="s">
        <v>573</v>
      </c>
      <c r="B9141" t="s">
        <v>38</v>
      </c>
      <c r="C9141" t="s">
        <v>37</v>
      </c>
      <c r="D9141">
        <v>148</v>
      </c>
    </row>
    <row r="9142" spans="1:4" ht="15.75" customHeight="1">
      <c r="A9142" t="s">
        <v>626</v>
      </c>
      <c r="B9142" t="s">
        <v>38</v>
      </c>
      <c r="C9142" t="s">
        <v>37</v>
      </c>
      <c r="D9142">
        <v>147</v>
      </c>
    </row>
    <row r="9143" spans="1:4" ht="15.75" customHeight="1">
      <c r="A9143" t="s">
        <v>1339</v>
      </c>
      <c r="B9143" t="s">
        <v>38</v>
      </c>
      <c r="C9143" t="s">
        <v>37</v>
      </c>
      <c r="D9143">
        <v>147</v>
      </c>
    </row>
    <row r="9144" spans="1:4" ht="15.75" customHeight="1">
      <c r="A9144" t="s">
        <v>3716</v>
      </c>
      <c r="B9144" t="s">
        <v>38</v>
      </c>
      <c r="C9144" t="s">
        <v>37</v>
      </c>
      <c r="D9144">
        <v>145</v>
      </c>
    </row>
    <row r="9145" spans="1:4" ht="15.75" customHeight="1">
      <c r="A9145" t="s">
        <v>4760</v>
      </c>
      <c r="B9145" t="s">
        <v>38</v>
      </c>
      <c r="C9145" t="s">
        <v>37</v>
      </c>
      <c r="D9145">
        <v>144</v>
      </c>
    </row>
    <row r="9146" spans="1:4" ht="15.75" customHeight="1">
      <c r="A9146" t="s">
        <v>3298</v>
      </c>
      <c r="B9146" t="s">
        <v>38</v>
      </c>
      <c r="C9146" t="s">
        <v>37</v>
      </c>
      <c r="D9146">
        <v>144</v>
      </c>
    </row>
    <row r="9147" spans="1:4" ht="15.75" customHeight="1">
      <c r="A9147" t="s">
        <v>1736</v>
      </c>
      <c r="B9147" t="s">
        <v>38</v>
      </c>
      <c r="C9147" t="s">
        <v>37</v>
      </c>
      <c r="D9147">
        <v>143</v>
      </c>
    </row>
    <row r="9148" spans="1:4" ht="15.75" customHeight="1">
      <c r="A9148" t="s">
        <v>3712</v>
      </c>
      <c r="B9148" t="s">
        <v>38</v>
      </c>
      <c r="C9148" t="s">
        <v>37</v>
      </c>
      <c r="D9148">
        <v>143</v>
      </c>
    </row>
    <row r="9149" spans="1:4" ht="15.75" customHeight="1">
      <c r="A9149" t="s">
        <v>3132</v>
      </c>
      <c r="B9149" t="s">
        <v>38</v>
      </c>
      <c r="C9149" t="s">
        <v>37</v>
      </c>
      <c r="D9149">
        <v>142</v>
      </c>
    </row>
    <row r="9150" spans="1:4" ht="15.75" customHeight="1">
      <c r="A9150" t="s">
        <v>3675</v>
      </c>
      <c r="B9150" t="s">
        <v>38</v>
      </c>
      <c r="C9150" t="s">
        <v>37</v>
      </c>
      <c r="D9150">
        <v>142</v>
      </c>
    </row>
    <row r="9151" spans="1:4" ht="15.75" customHeight="1">
      <c r="A9151" t="s">
        <v>4384</v>
      </c>
      <c r="B9151" t="s">
        <v>38</v>
      </c>
      <c r="C9151" t="s">
        <v>37</v>
      </c>
      <c r="D9151">
        <v>140</v>
      </c>
    </row>
    <row r="9152" spans="1:4" ht="15.75" customHeight="1">
      <c r="A9152" t="s">
        <v>2801</v>
      </c>
      <c r="B9152" t="s">
        <v>38</v>
      </c>
      <c r="C9152" t="s">
        <v>37</v>
      </c>
      <c r="D9152">
        <v>140</v>
      </c>
    </row>
    <row r="9153" spans="1:4" ht="15.75" customHeight="1">
      <c r="A9153" t="s">
        <v>4126</v>
      </c>
      <c r="B9153" t="s">
        <v>38</v>
      </c>
      <c r="C9153" t="s">
        <v>37</v>
      </c>
      <c r="D9153">
        <v>140</v>
      </c>
    </row>
    <row r="9154" spans="1:4" ht="15.75" customHeight="1">
      <c r="A9154" t="s">
        <v>1313</v>
      </c>
      <c r="B9154" t="s">
        <v>38</v>
      </c>
      <c r="C9154" t="s">
        <v>37</v>
      </c>
      <c r="D9154">
        <v>139</v>
      </c>
    </row>
    <row r="9155" spans="1:4" ht="15.75" customHeight="1">
      <c r="A9155" t="s">
        <v>521</v>
      </c>
      <c r="B9155" t="s">
        <v>38</v>
      </c>
      <c r="C9155" t="s">
        <v>37</v>
      </c>
      <c r="D9155">
        <v>139</v>
      </c>
    </row>
    <row r="9156" spans="1:4" ht="15.75" customHeight="1">
      <c r="A9156" t="s">
        <v>3644</v>
      </c>
      <c r="B9156" t="s">
        <v>38</v>
      </c>
      <c r="C9156" t="s">
        <v>37</v>
      </c>
      <c r="D9156">
        <v>139</v>
      </c>
    </row>
    <row r="9157" spans="1:4" ht="15.75" customHeight="1">
      <c r="A9157" t="s">
        <v>468</v>
      </c>
      <c r="B9157" t="s">
        <v>38</v>
      </c>
      <c r="C9157" t="s">
        <v>37</v>
      </c>
      <c r="D9157">
        <v>139</v>
      </c>
    </row>
    <row r="9158" spans="1:4" ht="15.75" customHeight="1">
      <c r="A9158" t="s">
        <v>4792</v>
      </c>
      <c r="B9158" t="s">
        <v>38</v>
      </c>
      <c r="C9158" t="s">
        <v>37</v>
      </c>
      <c r="D9158">
        <v>138</v>
      </c>
    </row>
    <row r="9159" spans="1:4" ht="15.75" customHeight="1">
      <c r="A9159" t="s">
        <v>2837</v>
      </c>
      <c r="B9159" t="s">
        <v>38</v>
      </c>
      <c r="C9159" t="s">
        <v>37</v>
      </c>
      <c r="D9159">
        <v>137</v>
      </c>
    </row>
    <row r="9160" spans="1:4" ht="15.75" customHeight="1">
      <c r="A9160" t="s">
        <v>3707</v>
      </c>
      <c r="B9160" t="s">
        <v>38</v>
      </c>
      <c r="C9160" t="s">
        <v>37</v>
      </c>
      <c r="D9160">
        <v>136</v>
      </c>
    </row>
    <row r="9161" spans="1:4" ht="15.75" customHeight="1">
      <c r="A9161" t="s">
        <v>1772</v>
      </c>
      <c r="B9161" t="s">
        <v>38</v>
      </c>
      <c r="C9161" t="s">
        <v>37</v>
      </c>
      <c r="D9161">
        <v>136</v>
      </c>
    </row>
    <row r="9162" spans="1:4" ht="15.75" customHeight="1">
      <c r="A9162" t="s">
        <v>462</v>
      </c>
      <c r="B9162" t="s">
        <v>38</v>
      </c>
      <c r="C9162" t="s">
        <v>37</v>
      </c>
      <c r="D9162">
        <v>134</v>
      </c>
    </row>
    <row r="9163" spans="1:4" ht="15.75" customHeight="1">
      <c r="A9163" t="s">
        <v>4728</v>
      </c>
      <c r="B9163" t="s">
        <v>38</v>
      </c>
      <c r="C9163" t="s">
        <v>37</v>
      </c>
      <c r="D9163">
        <v>134</v>
      </c>
    </row>
    <row r="9164" spans="1:4" ht="15.75" customHeight="1">
      <c r="A9164" t="s">
        <v>480</v>
      </c>
      <c r="B9164" t="s">
        <v>38</v>
      </c>
      <c r="C9164" t="s">
        <v>37</v>
      </c>
      <c r="D9164">
        <v>134</v>
      </c>
    </row>
    <row r="9165" spans="1:4" ht="15.75" customHeight="1">
      <c r="A9165" t="s">
        <v>1307</v>
      </c>
      <c r="B9165" t="s">
        <v>38</v>
      </c>
      <c r="C9165" t="s">
        <v>37</v>
      </c>
      <c r="D9165">
        <v>134</v>
      </c>
    </row>
    <row r="9166" spans="1:4" ht="15.75" customHeight="1">
      <c r="A9166" t="s">
        <v>2193</v>
      </c>
      <c r="B9166" t="s">
        <v>38</v>
      </c>
      <c r="C9166" t="s">
        <v>37</v>
      </c>
      <c r="D9166">
        <v>132</v>
      </c>
    </row>
    <row r="9167" spans="1:4" ht="15.75" customHeight="1">
      <c r="A9167" t="s">
        <v>4784</v>
      </c>
      <c r="B9167" t="s">
        <v>38</v>
      </c>
      <c r="C9167" t="s">
        <v>37</v>
      </c>
      <c r="D9167">
        <v>132</v>
      </c>
    </row>
    <row r="9168" spans="1:4" ht="15.75" customHeight="1">
      <c r="A9168" t="s">
        <v>1383</v>
      </c>
      <c r="B9168" t="s">
        <v>38</v>
      </c>
      <c r="C9168" t="s">
        <v>37</v>
      </c>
      <c r="D9168">
        <v>131</v>
      </c>
    </row>
    <row r="9169" spans="1:4" ht="15.75" customHeight="1">
      <c r="A9169" t="s">
        <v>3699</v>
      </c>
      <c r="B9169" t="s">
        <v>38</v>
      </c>
      <c r="C9169" t="s">
        <v>37</v>
      </c>
      <c r="D9169">
        <v>131</v>
      </c>
    </row>
    <row r="9170" spans="1:4" ht="15.75" customHeight="1">
      <c r="A9170" t="s">
        <v>4031</v>
      </c>
      <c r="B9170" t="s">
        <v>38</v>
      </c>
      <c r="C9170" t="s">
        <v>37</v>
      </c>
      <c r="D9170">
        <v>130</v>
      </c>
    </row>
    <row r="9171" spans="1:4" ht="15.75" customHeight="1">
      <c r="A9171" t="s">
        <v>1718</v>
      </c>
      <c r="B9171" t="s">
        <v>38</v>
      </c>
      <c r="C9171" t="s">
        <v>37</v>
      </c>
      <c r="D9171">
        <v>129</v>
      </c>
    </row>
    <row r="9172" spans="1:4" ht="15.75" customHeight="1">
      <c r="A9172" t="s">
        <v>3275</v>
      </c>
      <c r="B9172" t="s">
        <v>38</v>
      </c>
      <c r="C9172" t="s">
        <v>37</v>
      </c>
      <c r="D9172">
        <v>129</v>
      </c>
    </row>
    <row r="9173" spans="1:4" ht="15.75" customHeight="1">
      <c r="A9173" t="s">
        <v>1354</v>
      </c>
      <c r="B9173" t="s">
        <v>38</v>
      </c>
      <c r="C9173" t="s">
        <v>37</v>
      </c>
      <c r="D9173">
        <v>127</v>
      </c>
    </row>
    <row r="9174" spans="1:4" ht="15.75" customHeight="1">
      <c r="A9174" t="s">
        <v>1334</v>
      </c>
      <c r="B9174" t="s">
        <v>38</v>
      </c>
      <c r="C9174" t="s">
        <v>37</v>
      </c>
      <c r="D9174">
        <v>127</v>
      </c>
    </row>
    <row r="9175" spans="1:4" ht="15.75" customHeight="1">
      <c r="A9175" t="s">
        <v>4412</v>
      </c>
      <c r="B9175" t="s">
        <v>38</v>
      </c>
      <c r="C9175" t="s">
        <v>37</v>
      </c>
      <c r="D9175">
        <v>127</v>
      </c>
    </row>
    <row r="9176" spans="1:4" ht="15.75" customHeight="1">
      <c r="A9176" t="s">
        <v>1310</v>
      </c>
      <c r="B9176" t="s">
        <v>38</v>
      </c>
      <c r="C9176" t="s">
        <v>37</v>
      </c>
      <c r="D9176">
        <v>124</v>
      </c>
    </row>
    <row r="9177" spans="1:4" ht="15.75" customHeight="1">
      <c r="A9177" t="s">
        <v>3234</v>
      </c>
      <c r="B9177" t="s">
        <v>38</v>
      </c>
      <c r="C9177" t="s">
        <v>37</v>
      </c>
      <c r="D9177">
        <v>124</v>
      </c>
    </row>
    <row r="9178" spans="1:4" ht="15.75" customHeight="1">
      <c r="A9178" t="s">
        <v>2211</v>
      </c>
      <c r="B9178" t="s">
        <v>38</v>
      </c>
      <c r="C9178" t="s">
        <v>37</v>
      </c>
      <c r="D9178">
        <v>124</v>
      </c>
    </row>
    <row r="9179" spans="1:4" ht="15.75" customHeight="1">
      <c r="A9179" t="s">
        <v>2762</v>
      </c>
      <c r="B9179" t="s">
        <v>38</v>
      </c>
      <c r="C9179" t="s">
        <v>37</v>
      </c>
      <c r="D9179">
        <v>123</v>
      </c>
    </row>
    <row r="9180" spans="1:4" ht="15.75" customHeight="1">
      <c r="A9180" t="s">
        <v>2795</v>
      </c>
      <c r="B9180" t="s">
        <v>38</v>
      </c>
      <c r="C9180" t="s">
        <v>37</v>
      </c>
      <c r="D9180">
        <v>123</v>
      </c>
    </row>
    <row r="9181" spans="1:4" ht="15.75" customHeight="1">
      <c r="A9181" t="s">
        <v>3611</v>
      </c>
      <c r="B9181" t="s">
        <v>38</v>
      </c>
      <c r="C9181" t="s">
        <v>37</v>
      </c>
      <c r="D9181">
        <v>123</v>
      </c>
    </row>
    <row r="9182" spans="1:4" ht="15.75" customHeight="1">
      <c r="A9182" t="s">
        <v>4038</v>
      </c>
      <c r="B9182" t="s">
        <v>38</v>
      </c>
      <c r="C9182" t="s">
        <v>37</v>
      </c>
      <c r="D9182">
        <v>123</v>
      </c>
    </row>
    <row r="9183" spans="1:4" ht="15.75" customHeight="1">
      <c r="A9183" t="s">
        <v>1446</v>
      </c>
      <c r="B9183" t="s">
        <v>38</v>
      </c>
      <c r="C9183" t="s">
        <v>37</v>
      </c>
      <c r="D9183">
        <v>122</v>
      </c>
    </row>
    <row r="9184" spans="1:4" ht="15.75" customHeight="1">
      <c r="A9184" t="s">
        <v>4756</v>
      </c>
      <c r="B9184" t="s">
        <v>38</v>
      </c>
      <c r="C9184" t="s">
        <v>37</v>
      </c>
      <c r="D9184">
        <v>122</v>
      </c>
    </row>
    <row r="9185" spans="1:4" ht="15.75" customHeight="1">
      <c r="A9185" t="s">
        <v>2850</v>
      </c>
      <c r="B9185" t="s">
        <v>38</v>
      </c>
      <c r="C9185" t="s">
        <v>37</v>
      </c>
      <c r="D9185">
        <v>121</v>
      </c>
    </row>
    <row r="9186" spans="1:4" ht="15.75" customHeight="1">
      <c r="A9186" t="s">
        <v>2785</v>
      </c>
      <c r="B9186" t="s">
        <v>38</v>
      </c>
      <c r="C9186" t="s">
        <v>37</v>
      </c>
      <c r="D9186">
        <v>120</v>
      </c>
    </row>
    <row r="9187" spans="1:4" ht="15.75" customHeight="1">
      <c r="A9187" t="s">
        <v>3211</v>
      </c>
      <c r="B9187" t="s">
        <v>38</v>
      </c>
      <c r="C9187" t="s">
        <v>37</v>
      </c>
      <c r="D9187">
        <v>120</v>
      </c>
    </row>
    <row r="9188" spans="1:4" ht="15.75" customHeight="1">
      <c r="A9188" t="s">
        <v>4072</v>
      </c>
      <c r="B9188" t="s">
        <v>38</v>
      </c>
      <c r="C9188" t="s">
        <v>37</v>
      </c>
      <c r="D9188">
        <v>119</v>
      </c>
    </row>
    <row r="9189" spans="1:4" ht="15.75" customHeight="1">
      <c r="A9189" t="s">
        <v>2133</v>
      </c>
      <c r="B9189" t="s">
        <v>38</v>
      </c>
      <c r="C9189" t="s">
        <v>37</v>
      </c>
      <c r="D9189">
        <v>118</v>
      </c>
    </row>
    <row r="9190" spans="1:4" ht="15.75" customHeight="1">
      <c r="A9190" t="s">
        <v>4763</v>
      </c>
      <c r="B9190" t="s">
        <v>38</v>
      </c>
      <c r="C9190" t="s">
        <v>37</v>
      </c>
      <c r="D9190">
        <v>117</v>
      </c>
    </row>
    <row r="9191" spans="1:4" ht="15.75" customHeight="1">
      <c r="A9191" t="s">
        <v>3249</v>
      </c>
      <c r="B9191" t="s">
        <v>38</v>
      </c>
      <c r="C9191" t="s">
        <v>37</v>
      </c>
      <c r="D9191">
        <v>116</v>
      </c>
    </row>
    <row r="9192" spans="1:4" ht="15.75" customHeight="1">
      <c r="A9192" t="s">
        <v>4835</v>
      </c>
      <c r="B9192" t="s">
        <v>38</v>
      </c>
      <c r="C9192" t="s">
        <v>37</v>
      </c>
      <c r="D9192">
        <v>116</v>
      </c>
    </row>
    <row r="9193" spans="1:4" ht="15.75" customHeight="1">
      <c r="A9193" t="s">
        <v>1332</v>
      </c>
      <c r="B9193" t="s">
        <v>38</v>
      </c>
      <c r="C9193" t="s">
        <v>37</v>
      </c>
      <c r="D9193">
        <v>115</v>
      </c>
    </row>
    <row r="9194" spans="1:4" ht="15.75" customHeight="1">
      <c r="A9194" t="s">
        <v>2863</v>
      </c>
      <c r="B9194" t="s">
        <v>38</v>
      </c>
      <c r="C9194" t="s">
        <v>37</v>
      </c>
      <c r="D9194">
        <v>115</v>
      </c>
    </row>
    <row r="9195" spans="1:4" ht="15.75" customHeight="1">
      <c r="A9195" t="s">
        <v>1386</v>
      </c>
      <c r="B9195" t="s">
        <v>38</v>
      </c>
      <c r="C9195" t="s">
        <v>37</v>
      </c>
      <c r="D9195">
        <v>113</v>
      </c>
    </row>
    <row r="9196" spans="1:4" ht="15.75" customHeight="1">
      <c r="A9196" t="s">
        <v>4138</v>
      </c>
      <c r="B9196" t="s">
        <v>38</v>
      </c>
      <c r="C9196" t="s">
        <v>37</v>
      </c>
      <c r="D9196">
        <v>112</v>
      </c>
    </row>
    <row r="9197" spans="1:4" ht="15.75" customHeight="1">
      <c r="A9197" t="s">
        <v>2805</v>
      </c>
      <c r="B9197" t="s">
        <v>38</v>
      </c>
      <c r="C9197" t="s">
        <v>37</v>
      </c>
      <c r="D9197">
        <v>111</v>
      </c>
    </row>
    <row r="9198" spans="1:4" ht="15.75" customHeight="1">
      <c r="A9198" t="s">
        <v>1357</v>
      </c>
      <c r="B9198" t="s">
        <v>38</v>
      </c>
      <c r="C9198" t="s">
        <v>37</v>
      </c>
      <c r="D9198">
        <v>111</v>
      </c>
    </row>
    <row r="9199" spans="1:4" ht="15.75" customHeight="1">
      <c r="A9199" t="s">
        <v>4426</v>
      </c>
      <c r="B9199" t="s">
        <v>38</v>
      </c>
      <c r="C9199" t="s">
        <v>37</v>
      </c>
      <c r="D9199">
        <v>110</v>
      </c>
    </row>
    <row r="9200" spans="1:4" ht="15.75" customHeight="1">
      <c r="A9200" t="s">
        <v>1298</v>
      </c>
      <c r="B9200" t="s">
        <v>38</v>
      </c>
      <c r="C9200" t="s">
        <v>37</v>
      </c>
      <c r="D9200">
        <v>109</v>
      </c>
    </row>
    <row r="9201" spans="1:4" ht="15.75" customHeight="1">
      <c r="A9201" t="s">
        <v>2776</v>
      </c>
      <c r="B9201" t="s">
        <v>38</v>
      </c>
      <c r="C9201" t="s">
        <v>37</v>
      </c>
      <c r="D9201">
        <v>108</v>
      </c>
    </row>
    <row r="9202" spans="1:4" ht="15.75" customHeight="1">
      <c r="A9202" t="s">
        <v>1693</v>
      </c>
      <c r="B9202" t="s">
        <v>38</v>
      </c>
      <c r="C9202" t="s">
        <v>37</v>
      </c>
      <c r="D9202">
        <v>107</v>
      </c>
    </row>
    <row r="9203" spans="1:4" ht="15.75" customHeight="1">
      <c r="A9203" t="s">
        <v>1778</v>
      </c>
      <c r="B9203" t="s">
        <v>38</v>
      </c>
      <c r="C9203" t="s">
        <v>37</v>
      </c>
      <c r="D9203">
        <v>107</v>
      </c>
    </row>
    <row r="9204" spans="1:4" ht="15.75" customHeight="1">
      <c r="A9204" t="s">
        <v>3289</v>
      </c>
      <c r="B9204" t="s">
        <v>38</v>
      </c>
      <c r="C9204" t="s">
        <v>37</v>
      </c>
      <c r="D9204">
        <v>106</v>
      </c>
    </row>
    <row r="9205" spans="1:4" ht="15.75" customHeight="1">
      <c r="A9205" t="s">
        <v>3244</v>
      </c>
      <c r="B9205" t="s">
        <v>38</v>
      </c>
      <c r="C9205" t="s">
        <v>37</v>
      </c>
      <c r="D9205">
        <v>106</v>
      </c>
    </row>
    <row r="9206" spans="1:4" ht="15.75" customHeight="1">
      <c r="A9206" t="s">
        <v>4141</v>
      </c>
      <c r="B9206" t="s">
        <v>38</v>
      </c>
      <c r="C9206" t="s">
        <v>37</v>
      </c>
      <c r="D9206">
        <v>106</v>
      </c>
    </row>
    <row r="9207" spans="1:4" ht="15.75" customHeight="1">
      <c r="A9207" t="s">
        <v>1253</v>
      </c>
      <c r="B9207" t="s">
        <v>38</v>
      </c>
      <c r="C9207" t="s">
        <v>37</v>
      </c>
      <c r="D9207">
        <v>103</v>
      </c>
    </row>
    <row r="9208" spans="1:4" ht="15.75" customHeight="1">
      <c r="A9208" t="s">
        <v>2767</v>
      </c>
      <c r="B9208" t="s">
        <v>38</v>
      </c>
      <c r="C9208" t="s">
        <v>37</v>
      </c>
      <c r="D9208">
        <v>103</v>
      </c>
    </row>
    <row r="9209" spans="1:4" ht="15.75" customHeight="1">
      <c r="A9209" t="s">
        <v>4097</v>
      </c>
      <c r="B9209" t="s">
        <v>38</v>
      </c>
      <c r="C9209" t="s">
        <v>37</v>
      </c>
      <c r="D9209">
        <v>102</v>
      </c>
    </row>
    <row r="9210" spans="1:4" ht="15.75" customHeight="1">
      <c r="A9210" t="s">
        <v>3240</v>
      </c>
      <c r="B9210" t="s">
        <v>38</v>
      </c>
      <c r="C9210" t="s">
        <v>37</v>
      </c>
      <c r="D9210">
        <v>102</v>
      </c>
    </row>
    <row r="9211" spans="1:4" ht="15.75" customHeight="1">
      <c r="A9211" t="s">
        <v>2788</v>
      </c>
      <c r="B9211" t="s">
        <v>38</v>
      </c>
      <c r="C9211" t="s">
        <v>37</v>
      </c>
      <c r="D9211">
        <v>102</v>
      </c>
    </row>
    <row r="9212" spans="1:4" ht="15.75" customHeight="1">
      <c r="A9212" t="s">
        <v>2725</v>
      </c>
      <c r="B9212" t="s">
        <v>38</v>
      </c>
      <c r="C9212" t="s">
        <v>37</v>
      </c>
      <c r="D9212">
        <v>102</v>
      </c>
    </row>
    <row r="9213" spans="1:4" ht="15.75" customHeight="1">
      <c r="A9213" t="s">
        <v>1389</v>
      </c>
      <c r="B9213" t="s">
        <v>38</v>
      </c>
      <c r="C9213" t="s">
        <v>37</v>
      </c>
      <c r="D9213">
        <v>101</v>
      </c>
    </row>
    <row r="9214" spans="1:4" ht="15.75" customHeight="1">
      <c r="A9214" t="s">
        <v>579</v>
      </c>
      <c r="B9214" t="s">
        <v>38</v>
      </c>
      <c r="C9214" t="s">
        <v>37</v>
      </c>
      <c r="D9214">
        <v>101</v>
      </c>
    </row>
    <row r="9215" spans="1:4" ht="15.75" customHeight="1">
      <c r="A9215" t="s">
        <v>474</v>
      </c>
      <c r="B9215" t="s">
        <v>38</v>
      </c>
      <c r="C9215" t="s">
        <v>37</v>
      </c>
      <c r="D9215">
        <v>100</v>
      </c>
    </row>
    <row r="9216" spans="1:4" ht="15.75" customHeight="1">
      <c r="A9216" t="s">
        <v>4815</v>
      </c>
      <c r="B9216" t="s">
        <v>38</v>
      </c>
      <c r="C9216" t="s">
        <v>37</v>
      </c>
      <c r="D9216">
        <v>100</v>
      </c>
    </row>
    <row r="9217" spans="1:4" ht="15.75" customHeight="1">
      <c r="A9217" t="s">
        <v>4113</v>
      </c>
      <c r="B9217" t="s">
        <v>38</v>
      </c>
      <c r="C9217" t="s">
        <v>37</v>
      </c>
      <c r="D9217">
        <v>100</v>
      </c>
    </row>
    <row r="9218" spans="1:4" ht="15.75" customHeight="1">
      <c r="A9218" t="s">
        <v>509</v>
      </c>
      <c r="B9218" t="s">
        <v>38</v>
      </c>
      <c r="C9218" t="s">
        <v>37</v>
      </c>
      <c r="D9218">
        <v>100</v>
      </c>
    </row>
    <row r="9219" spans="1:4" ht="15.75" customHeight="1">
      <c r="A9219" t="s">
        <v>3664</v>
      </c>
      <c r="B9219" t="s">
        <v>38</v>
      </c>
      <c r="C9219" t="s">
        <v>37</v>
      </c>
      <c r="D9219">
        <v>100</v>
      </c>
    </row>
    <row r="9220" spans="1:4" ht="15.75" customHeight="1">
      <c r="A9220" t="s">
        <v>3224</v>
      </c>
      <c r="B9220" t="s">
        <v>38</v>
      </c>
      <c r="C9220" t="s">
        <v>37</v>
      </c>
      <c r="D9220">
        <v>100</v>
      </c>
    </row>
    <row r="9221" spans="1:4" ht="15.75" customHeight="1">
      <c r="A9221" t="s">
        <v>3618</v>
      </c>
      <c r="B9221" t="s">
        <v>38</v>
      </c>
      <c r="C9221" t="s">
        <v>37</v>
      </c>
      <c r="D9221">
        <v>99</v>
      </c>
    </row>
    <row r="9222" spans="1:4" ht="15.75" customHeight="1">
      <c r="A9222" t="s">
        <v>4827</v>
      </c>
      <c r="B9222" t="s">
        <v>38</v>
      </c>
      <c r="C9222" t="s">
        <v>37</v>
      </c>
      <c r="D9222">
        <v>98</v>
      </c>
    </row>
    <row r="9223" spans="1:4" ht="15.75" customHeight="1">
      <c r="A9223" t="s">
        <v>1250</v>
      </c>
      <c r="B9223" t="s">
        <v>38</v>
      </c>
      <c r="C9223" t="s">
        <v>37</v>
      </c>
      <c r="D9223">
        <v>98</v>
      </c>
    </row>
    <row r="9224" spans="1:4" ht="15.75" customHeight="1">
      <c r="A9224" t="s">
        <v>433</v>
      </c>
      <c r="B9224" t="s">
        <v>38</v>
      </c>
      <c r="C9224" t="s">
        <v>37</v>
      </c>
      <c r="D9224">
        <v>97</v>
      </c>
    </row>
    <row r="9225" spans="1:4" ht="15.75" customHeight="1">
      <c r="A9225" t="s">
        <v>2781</v>
      </c>
      <c r="B9225" t="s">
        <v>38</v>
      </c>
      <c r="C9225" t="s">
        <v>37</v>
      </c>
      <c r="D9225">
        <v>97</v>
      </c>
    </row>
    <row r="9226" spans="1:4" ht="15.75" customHeight="1">
      <c r="A9226" t="s">
        <v>1391</v>
      </c>
      <c r="B9226" t="s">
        <v>38</v>
      </c>
      <c r="C9226" t="s">
        <v>37</v>
      </c>
      <c r="D9226">
        <v>97</v>
      </c>
    </row>
    <row r="9227" spans="1:4" ht="15.75" customHeight="1">
      <c r="A9227" t="s">
        <v>585</v>
      </c>
      <c r="B9227" t="s">
        <v>38</v>
      </c>
      <c r="C9227" t="s">
        <v>37</v>
      </c>
      <c r="D9227">
        <v>97</v>
      </c>
    </row>
    <row r="9228" spans="1:4" ht="15.75" customHeight="1">
      <c r="A9228" t="s">
        <v>2125</v>
      </c>
      <c r="B9228" t="s">
        <v>38</v>
      </c>
      <c r="C9228" t="s">
        <v>37</v>
      </c>
      <c r="D9228">
        <v>96</v>
      </c>
    </row>
    <row r="9229" spans="1:4" ht="15.75" customHeight="1">
      <c r="A9229" t="s">
        <v>4744</v>
      </c>
      <c r="B9229" t="s">
        <v>38</v>
      </c>
      <c r="C9229" t="s">
        <v>37</v>
      </c>
      <c r="D9229">
        <v>96</v>
      </c>
    </row>
    <row r="9230" spans="1:4" ht="15.75" customHeight="1">
      <c r="A9230" t="s">
        <v>4379</v>
      </c>
      <c r="B9230" t="s">
        <v>38</v>
      </c>
      <c r="C9230" t="s">
        <v>37</v>
      </c>
      <c r="D9230">
        <v>95</v>
      </c>
    </row>
    <row r="9231" spans="1:4" ht="15.75" customHeight="1">
      <c r="A9231" t="s">
        <v>2740</v>
      </c>
      <c r="B9231" t="s">
        <v>38</v>
      </c>
      <c r="C9231" t="s">
        <v>37</v>
      </c>
      <c r="D9231">
        <v>95</v>
      </c>
    </row>
    <row r="9232" spans="1:4" ht="15.75" customHeight="1">
      <c r="A9232" t="s">
        <v>3720</v>
      </c>
      <c r="B9232" t="s">
        <v>38</v>
      </c>
      <c r="C9232" t="s">
        <v>37</v>
      </c>
      <c r="D9232">
        <v>94</v>
      </c>
    </row>
    <row r="9233" spans="1:4" ht="15.75" customHeight="1">
      <c r="A9233" t="s">
        <v>2204</v>
      </c>
      <c r="B9233" t="s">
        <v>38</v>
      </c>
      <c r="C9233" t="s">
        <v>37</v>
      </c>
      <c r="D9233">
        <v>94</v>
      </c>
    </row>
    <row r="9234" spans="1:4" ht="15.75" customHeight="1">
      <c r="A9234" t="s">
        <v>4028</v>
      </c>
      <c r="B9234" t="s">
        <v>38</v>
      </c>
      <c r="C9234" t="s">
        <v>37</v>
      </c>
      <c r="D9234">
        <v>93</v>
      </c>
    </row>
    <row r="9235" spans="1:4" ht="15.75" customHeight="1">
      <c r="A9235" t="s">
        <v>4083</v>
      </c>
      <c r="B9235" t="s">
        <v>38</v>
      </c>
      <c r="C9235" t="s">
        <v>37</v>
      </c>
      <c r="D9235">
        <v>93</v>
      </c>
    </row>
    <row r="9236" spans="1:4" ht="15.75" customHeight="1">
      <c r="A9236" t="s">
        <v>3236</v>
      </c>
      <c r="B9236" t="s">
        <v>38</v>
      </c>
      <c r="C9236" t="s">
        <v>37</v>
      </c>
      <c r="D9236">
        <v>91</v>
      </c>
    </row>
    <row r="9237" spans="1:4" ht="15.75" customHeight="1">
      <c r="A9237" t="s">
        <v>3207</v>
      </c>
      <c r="B9237" t="s">
        <v>38</v>
      </c>
      <c r="C9237" t="s">
        <v>37</v>
      </c>
      <c r="D9237">
        <v>90</v>
      </c>
    </row>
    <row r="9238" spans="1:4" ht="15.75" customHeight="1">
      <c r="A9238" t="s">
        <v>4394</v>
      </c>
      <c r="B9238" t="s">
        <v>38</v>
      </c>
      <c r="C9238" t="s">
        <v>37</v>
      </c>
      <c r="D9238">
        <v>90</v>
      </c>
    </row>
    <row r="9239" spans="1:4" ht="15.75" customHeight="1">
      <c r="A9239" t="s">
        <v>3272</v>
      </c>
      <c r="B9239" t="s">
        <v>38</v>
      </c>
      <c r="C9239" t="s">
        <v>37</v>
      </c>
      <c r="D9239">
        <v>89</v>
      </c>
    </row>
    <row r="9240" spans="1:4" ht="15.75" customHeight="1">
      <c r="A9240" t="s">
        <v>3726</v>
      </c>
      <c r="B9240" t="s">
        <v>38</v>
      </c>
      <c r="C9240" t="s">
        <v>37</v>
      </c>
      <c r="D9240">
        <v>89</v>
      </c>
    </row>
    <row r="9241" spans="1:4" ht="15.75" customHeight="1">
      <c r="A9241" t="s">
        <v>1363</v>
      </c>
      <c r="B9241" t="s">
        <v>38</v>
      </c>
      <c r="C9241" t="s">
        <v>37</v>
      </c>
      <c r="D9241">
        <v>89</v>
      </c>
    </row>
    <row r="9242" spans="1:4" ht="15.75" customHeight="1">
      <c r="A9242" t="s">
        <v>1746</v>
      </c>
      <c r="B9242" t="s">
        <v>38</v>
      </c>
      <c r="C9242" t="s">
        <v>37</v>
      </c>
      <c r="D9242">
        <v>88</v>
      </c>
    </row>
    <row r="9243" spans="1:4" ht="15.75" customHeight="1">
      <c r="A9243" t="s">
        <v>2235</v>
      </c>
      <c r="B9243" t="s">
        <v>38</v>
      </c>
      <c r="C9243" t="s">
        <v>37</v>
      </c>
      <c r="D9243">
        <v>88</v>
      </c>
    </row>
    <row r="9244" spans="1:4" ht="15.75" customHeight="1">
      <c r="A9244" t="s">
        <v>1393</v>
      </c>
      <c r="B9244" t="s">
        <v>38</v>
      </c>
      <c r="C9244" t="s">
        <v>37</v>
      </c>
      <c r="D9244">
        <v>88</v>
      </c>
    </row>
    <row r="9245" spans="1:4" ht="15.75" customHeight="1">
      <c r="A9245" t="s">
        <v>4012</v>
      </c>
      <c r="B9245" t="s">
        <v>38</v>
      </c>
      <c r="C9245" t="s">
        <v>37</v>
      </c>
      <c r="D9245">
        <v>87</v>
      </c>
    </row>
    <row r="9246" spans="1:4" ht="15.75" customHeight="1">
      <c r="A9246" t="s">
        <v>3635</v>
      </c>
      <c r="B9246" t="s">
        <v>38</v>
      </c>
      <c r="C9246" t="s">
        <v>37</v>
      </c>
      <c r="D9246">
        <v>87</v>
      </c>
    </row>
    <row r="9247" spans="1:4" ht="15.75" customHeight="1">
      <c r="A9247" t="s">
        <v>2753</v>
      </c>
      <c r="B9247" t="s">
        <v>38</v>
      </c>
      <c r="C9247" t="s">
        <v>37</v>
      </c>
      <c r="D9247">
        <v>87</v>
      </c>
    </row>
    <row r="9248" spans="1:4" ht="15.75" customHeight="1">
      <c r="A9248" t="s">
        <v>4794</v>
      </c>
      <c r="B9248" t="s">
        <v>38</v>
      </c>
      <c r="C9248" t="s">
        <v>37</v>
      </c>
      <c r="D9248">
        <v>86</v>
      </c>
    </row>
    <row r="9249" spans="1:4" ht="15.75" customHeight="1">
      <c r="A9249" t="s">
        <v>591</v>
      </c>
      <c r="B9249" t="s">
        <v>38</v>
      </c>
      <c r="C9249" t="s">
        <v>37</v>
      </c>
      <c r="D9249">
        <v>86</v>
      </c>
    </row>
    <row r="9250" spans="1:4" ht="15.75" customHeight="1">
      <c r="A9250" t="s">
        <v>1256</v>
      </c>
      <c r="B9250" t="s">
        <v>38</v>
      </c>
      <c r="C9250" t="s">
        <v>37</v>
      </c>
      <c r="D9250">
        <v>85</v>
      </c>
    </row>
    <row r="9251" spans="1:4" ht="15.75" customHeight="1">
      <c r="A9251" t="s">
        <v>4410</v>
      </c>
      <c r="B9251" t="s">
        <v>38</v>
      </c>
      <c r="C9251" t="s">
        <v>37</v>
      </c>
      <c r="D9251">
        <v>85</v>
      </c>
    </row>
    <row r="9252" spans="1:4" ht="15.75" customHeight="1">
      <c r="A9252" t="s">
        <v>513</v>
      </c>
      <c r="B9252" t="s">
        <v>38</v>
      </c>
      <c r="C9252" t="s">
        <v>37</v>
      </c>
      <c r="D9252">
        <v>85</v>
      </c>
    </row>
    <row r="9253" spans="1:4" ht="15.75" customHeight="1">
      <c r="A9253" t="s">
        <v>675</v>
      </c>
      <c r="B9253" t="s">
        <v>38</v>
      </c>
      <c r="C9253" t="s">
        <v>37</v>
      </c>
      <c r="D9253">
        <v>85</v>
      </c>
    </row>
    <row r="9254" spans="1:4" ht="15.75" customHeight="1">
      <c r="A9254" t="s">
        <v>1723</v>
      </c>
      <c r="B9254" t="s">
        <v>38</v>
      </c>
      <c r="C9254" t="s">
        <v>37</v>
      </c>
      <c r="D9254">
        <v>84</v>
      </c>
    </row>
    <row r="9255" spans="1:4" ht="15.75" customHeight="1">
      <c r="A9255" t="s">
        <v>1323</v>
      </c>
      <c r="B9255" t="s">
        <v>38</v>
      </c>
      <c r="C9255" t="s">
        <v>37</v>
      </c>
      <c r="D9255">
        <v>84</v>
      </c>
    </row>
    <row r="9256" spans="1:4" ht="15.75" customHeight="1">
      <c r="A9256" t="s">
        <v>541</v>
      </c>
      <c r="B9256" t="s">
        <v>38</v>
      </c>
      <c r="C9256" t="s">
        <v>37</v>
      </c>
      <c r="D9256">
        <v>83</v>
      </c>
    </row>
    <row r="9257" spans="1:4" ht="15.75" customHeight="1">
      <c r="A9257" t="s">
        <v>1395</v>
      </c>
      <c r="B9257" t="s">
        <v>38</v>
      </c>
      <c r="C9257" t="s">
        <v>37</v>
      </c>
      <c r="D9257">
        <v>83</v>
      </c>
    </row>
    <row r="9258" spans="1:4" ht="15.75" customHeight="1">
      <c r="A9258" t="s">
        <v>439</v>
      </c>
      <c r="B9258" t="s">
        <v>38</v>
      </c>
      <c r="C9258" t="s">
        <v>37</v>
      </c>
      <c r="D9258">
        <v>83</v>
      </c>
    </row>
    <row r="9259" spans="1:4" ht="15.75" customHeight="1">
      <c r="A9259" t="s">
        <v>3681</v>
      </c>
      <c r="B9259" t="s">
        <v>38</v>
      </c>
      <c r="C9259" t="s">
        <v>37</v>
      </c>
      <c r="D9259">
        <v>83</v>
      </c>
    </row>
    <row r="9260" spans="1:4" ht="15.75" customHeight="1">
      <c r="A9260" t="s">
        <v>536</v>
      </c>
      <c r="B9260" t="s">
        <v>38</v>
      </c>
      <c r="C9260" t="s">
        <v>37</v>
      </c>
      <c r="D9260">
        <v>82</v>
      </c>
    </row>
    <row r="9261" spans="1:4" ht="15.75" customHeight="1">
      <c r="A9261" t="s">
        <v>1797</v>
      </c>
      <c r="B9261" t="s">
        <v>38</v>
      </c>
      <c r="C9261" t="s">
        <v>37</v>
      </c>
      <c r="D9261">
        <v>82</v>
      </c>
    </row>
    <row r="9262" spans="1:4" ht="15.75" customHeight="1">
      <c r="A9262" t="s">
        <v>2258</v>
      </c>
      <c r="B9262" t="s">
        <v>38</v>
      </c>
      <c r="C9262" t="s">
        <v>37</v>
      </c>
      <c r="D9262">
        <v>82</v>
      </c>
    </row>
    <row r="9263" spans="1:4" ht="15.75" customHeight="1">
      <c r="A9263" t="s">
        <v>530</v>
      </c>
      <c r="B9263" t="s">
        <v>38</v>
      </c>
      <c r="C9263" t="s">
        <v>37</v>
      </c>
      <c r="D9263">
        <v>81</v>
      </c>
    </row>
    <row r="9264" spans="1:4" ht="15.75" customHeight="1">
      <c r="A9264" t="s">
        <v>2697</v>
      </c>
      <c r="B9264" t="s">
        <v>38</v>
      </c>
      <c r="C9264" t="s">
        <v>37</v>
      </c>
      <c r="D9264">
        <v>81</v>
      </c>
    </row>
    <row r="9265" spans="1:4" ht="15.75" customHeight="1">
      <c r="A9265" t="s">
        <v>2264</v>
      </c>
      <c r="B9265" t="s">
        <v>38</v>
      </c>
      <c r="C9265" t="s">
        <v>37</v>
      </c>
      <c r="D9265">
        <v>81</v>
      </c>
    </row>
    <row r="9266" spans="1:4" ht="15.75" customHeight="1">
      <c r="A9266" t="s">
        <v>1301</v>
      </c>
      <c r="B9266" t="s">
        <v>38</v>
      </c>
      <c r="C9266" t="s">
        <v>37</v>
      </c>
      <c r="D9266">
        <v>80</v>
      </c>
    </row>
    <row r="9267" spans="1:4" ht="15.75" customHeight="1">
      <c r="A9267" t="s">
        <v>2208</v>
      </c>
      <c r="B9267" t="s">
        <v>38</v>
      </c>
      <c r="C9267" t="s">
        <v>37</v>
      </c>
      <c r="D9267">
        <v>78</v>
      </c>
    </row>
    <row r="9268" spans="1:4" ht="15.75" customHeight="1">
      <c r="A9268" t="s">
        <v>1343</v>
      </c>
      <c r="B9268" t="s">
        <v>38</v>
      </c>
      <c r="C9268" t="s">
        <v>37</v>
      </c>
      <c r="D9268">
        <v>78</v>
      </c>
    </row>
    <row r="9269" spans="1:4" ht="15.75" customHeight="1">
      <c r="A9269" t="s">
        <v>488</v>
      </c>
      <c r="B9269" t="s">
        <v>38</v>
      </c>
      <c r="C9269" t="s">
        <v>37</v>
      </c>
      <c r="D9269">
        <v>78</v>
      </c>
    </row>
    <row r="9270" spans="1:4" ht="15.75" customHeight="1">
      <c r="A9270" t="s">
        <v>4779</v>
      </c>
      <c r="B9270" t="s">
        <v>38</v>
      </c>
      <c r="C9270" t="s">
        <v>37</v>
      </c>
      <c r="D9270">
        <v>77</v>
      </c>
    </row>
    <row r="9271" spans="1:4" ht="15.75" customHeight="1">
      <c r="A9271" t="s">
        <v>4817</v>
      </c>
      <c r="B9271" t="s">
        <v>38</v>
      </c>
      <c r="C9271" t="s">
        <v>37</v>
      </c>
      <c r="D9271">
        <v>76</v>
      </c>
    </row>
    <row r="9272" spans="1:4" ht="15.75" customHeight="1">
      <c r="A9272" t="s">
        <v>1714</v>
      </c>
      <c r="B9272" t="s">
        <v>38</v>
      </c>
      <c r="C9272" t="s">
        <v>37</v>
      </c>
      <c r="D9272">
        <v>76</v>
      </c>
    </row>
    <row r="9273" spans="1:4" ht="15.75" customHeight="1">
      <c r="A9273" t="s">
        <v>2666</v>
      </c>
      <c r="B9273" t="s">
        <v>38</v>
      </c>
      <c r="C9273" t="s">
        <v>37</v>
      </c>
      <c r="D9273">
        <v>76</v>
      </c>
    </row>
    <row r="9274" spans="1:4" ht="15.75" customHeight="1">
      <c r="A9274" t="s">
        <v>1754</v>
      </c>
      <c r="B9274" t="s">
        <v>38</v>
      </c>
      <c r="C9274" t="s">
        <v>37</v>
      </c>
      <c r="D9274">
        <v>76</v>
      </c>
    </row>
    <row r="9275" spans="1:4" ht="15.75" customHeight="1">
      <c r="A9275" t="s">
        <v>2745</v>
      </c>
      <c r="B9275" t="s">
        <v>38</v>
      </c>
      <c r="C9275" t="s">
        <v>37</v>
      </c>
      <c r="D9275">
        <v>76</v>
      </c>
    </row>
    <row r="9276" spans="1:4" ht="15.75" customHeight="1">
      <c r="A9276" t="s">
        <v>4420</v>
      </c>
      <c r="B9276" t="s">
        <v>38</v>
      </c>
      <c r="C9276" t="s">
        <v>37</v>
      </c>
      <c r="D9276">
        <v>75</v>
      </c>
    </row>
    <row r="9277" spans="1:4" ht="15.75" customHeight="1">
      <c r="A9277" t="s">
        <v>2778</v>
      </c>
      <c r="B9277" t="s">
        <v>38</v>
      </c>
      <c r="C9277" t="s">
        <v>37</v>
      </c>
      <c r="D9277">
        <v>75</v>
      </c>
    </row>
    <row r="9278" spans="1:4" ht="15.75" customHeight="1">
      <c r="A9278" t="s">
        <v>1780</v>
      </c>
      <c r="B9278" t="s">
        <v>38</v>
      </c>
      <c r="C9278" t="s">
        <v>37</v>
      </c>
      <c r="D9278">
        <v>74</v>
      </c>
    </row>
    <row r="9279" spans="1:4" ht="15.75" customHeight="1">
      <c r="A9279" t="s">
        <v>4354</v>
      </c>
      <c r="B9279" t="s">
        <v>38</v>
      </c>
      <c r="C9279" t="s">
        <v>37</v>
      </c>
      <c r="D9279">
        <v>74</v>
      </c>
    </row>
    <row r="9280" spans="1:4" ht="15.75" customHeight="1">
      <c r="A9280" t="s">
        <v>1785</v>
      </c>
      <c r="B9280" t="s">
        <v>38</v>
      </c>
      <c r="C9280" t="s">
        <v>37</v>
      </c>
      <c r="D9280">
        <v>74</v>
      </c>
    </row>
    <row r="9281" spans="1:4" ht="15.75" customHeight="1">
      <c r="A9281" t="s">
        <v>1229</v>
      </c>
      <c r="B9281" t="s">
        <v>38</v>
      </c>
      <c r="C9281" t="s">
        <v>37</v>
      </c>
      <c r="D9281">
        <v>74</v>
      </c>
    </row>
    <row r="9282" spans="1:4" ht="15.75" customHeight="1">
      <c r="A9282" t="s">
        <v>3603</v>
      </c>
      <c r="B9282" t="s">
        <v>38</v>
      </c>
      <c r="C9282" t="s">
        <v>37</v>
      </c>
      <c r="D9282">
        <v>73</v>
      </c>
    </row>
    <row r="9283" spans="1:4" ht="15.75" customHeight="1">
      <c r="A9283" t="s">
        <v>2769</v>
      </c>
      <c r="B9283" t="s">
        <v>38</v>
      </c>
      <c r="C9283" t="s">
        <v>37</v>
      </c>
      <c r="D9283">
        <v>73</v>
      </c>
    </row>
    <row r="9284" spans="1:4" ht="15.75" customHeight="1">
      <c r="A9284" t="s">
        <v>4046</v>
      </c>
      <c r="B9284" t="s">
        <v>38</v>
      </c>
      <c r="C9284" t="s">
        <v>37</v>
      </c>
      <c r="D9284">
        <v>73</v>
      </c>
    </row>
    <row r="9285" spans="1:4" ht="15.75" customHeight="1">
      <c r="A9285" t="s">
        <v>1411</v>
      </c>
      <c r="B9285" t="s">
        <v>38</v>
      </c>
      <c r="C9285" t="s">
        <v>37</v>
      </c>
      <c r="D9285">
        <v>72</v>
      </c>
    </row>
    <row r="9286" spans="1:4" ht="15.75" customHeight="1">
      <c r="A9286" t="s">
        <v>2703</v>
      </c>
      <c r="B9286" t="s">
        <v>38</v>
      </c>
      <c r="C9286" t="s">
        <v>37</v>
      </c>
      <c r="D9286">
        <v>71</v>
      </c>
    </row>
    <row r="9287" spans="1:4" ht="15.75" customHeight="1">
      <c r="A9287" t="s">
        <v>3213</v>
      </c>
      <c r="B9287" t="s">
        <v>38</v>
      </c>
      <c r="C9287" t="s">
        <v>37</v>
      </c>
      <c r="D9287">
        <v>71</v>
      </c>
    </row>
    <row r="9288" spans="1:4" ht="15.75" customHeight="1">
      <c r="A9288" t="s">
        <v>4837</v>
      </c>
      <c r="B9288" t="s">
        <v>38</v>
      </c>
      <c r="C9288" t="s">
        <v>37</v>
      </c>
      <c r="D9288">
        <v>71</v>
      </c>
    </row>
    <row r="9289" spans="1:4" ht="15.75" customHeight="1">
      <c r="A9289" t="s">
        <v>1341</v>
      </c>
      <c r="B9289" t="s">
        <v>38</v>
      </c>
      <c r="C9289" t="s">
        <v>37</v>
      </c>
      <c r="D9289">
        <v>70</v>
      </c>
    </row>
    <row r="9290" spans="1:4" ht="15.75" customHeight="1">
      <c r="A9290" t="s">
        <v>607</v>
      </c>
      <c r="B9290" t="s">
        <v>38</v>
      </c>
      <c r="C9290" t="s">
        <v>37</v>
      </c>
      <c r="D9290">
        <v>70</v>
      </c>
    </row>
    <row r="9291" spans="1:4" ht="15.75" customHeight="1">
      <c r="A9291" t="s">
        <v>4376</v>
      </c>
      <c r="B9291" t="s">
        <v>38</v>
      </c>
      <c r="C9291" t="s">
        <v>37</v>
      </c>
      <c r="D9291">
        <v>68</v>
      </c>
    </row>
    <row r="9292" spans="1:4" ht="15.75" customHeight="1">
      <c r="A9292" t="s">
        <v>2793</v>
      </c>
      <c r="B9292" t="s">
        <v>38</v>
      </c>
      <c r="C9292" t="s">
        <v>37</v>
      </c>
      <c r="D9292">
        <v>66</v>
      </c>
    </row>
    <row r="9293" spans="1:4" ht="15.75" customHeight="1">
      <c r="A9293" t="s">
        <v>2650</v>
      </c>
      <c r="B9293" t="s">
        <v>38</v>
      </c>
      <c r="C9293" t="s">
        <v>37</v>
      </c>
      <c r="D9293">
        <v>66</v>
      </c>
    </row>
    <row r="9294" spans="1:4" ht="15.75" customHeight="1">
      <c r="A9294" t="s">
        <v>1272</v>
      </c>
      <c r="B9294" t="s">
        <v>38</v>
      </c>
      <c r="C9294" t="s">
        <v>37</v>
      </c>
      <c r="D9294">
        <v>65</v>
      </c>
    </row>
    <row r="9295" spans="1:4" ht="15.75" customHeight="1">
      <c r="A9295" t="s">
        <v>3293</v>
      </c>
      <c r="B9295" t="s">
        <v>38</v>
      </c>
      <c r="C9295" t="s">
        <v>37</v>
      </c>
      <c r="D9295">
        <v>65</v>
      </c>
    </row>
    <row r="9296" spans="1:4" ht="15.75" customHeight="1">
      <c r="A9296" t="s">
        <v>599</v>
      </c>
      <c r="B9296" t="s">
        <v>38</v>
      </c>
      <c r="C9296" t="s">
        <v>37</v>
      </c>
      <c r="D9296">
        <v>64</v>
      </c>
    </row>
    <row r="9297" spans="1:4" ht="15.75" customHeight="1">
      <c r="A9297" t="s">
        <v>1439</v>
      </c>
      <c r="B9297" t="s">
        <v>38</v>
      </c>
      <c r="C9297" t="s">
        <v>37</v>
      </c>
      <c r="D9297">
        <v>63</v>
      </c>
    </row>
    <row r="9298" spans="1:4" ht="15.75" customHeight="1">
      <c r="A9298" t="s">
        <v>2099</v>
      </c>
      <c r="B9298" t="s">
        <v>38</v>
      </c>
      <c r="C9298" t="s">
        <v>37</v>
      </c>
      <c r="D9298">
        <v>63</v>
      </c>
    </row>
    <row r="9299" spans="1:4" ht="15.75" customHeight="1">
      <c r="A9299" t="s">
        <v>2748</v>
      </c>
      <c r="B9299" t="s">
        <v>38</v>
      </c>
      <c r="C9299" t="s">
        <v>37</v>
      </c>
      <c r="D9299">
        <v>63</v>
      </c>
    </row>
    <row r="9300" spans="1:4" ht="15.75" customHeight="1">
      <c r="A9300" t="s">
        <v>4418</v>
      </c>
      <c r="B9300" t="s">
        <v>38</v>
      </c>
      <c r="C9300" t="s">
        <v>37</v>
      </c>
      <c r="D9300">
        <v>63</v>
      </c>
    </row>
    <row r="9301" spans="1:4" ht="15.75" customHeight="1">
      <c r="A9301" t="s">
        <v>3209</v>
      </c>
      <c r="B9301" t="s">
        <v>38</v>
      </c>
      <c r="C9301" t="s">
        <v>37</v>
      </c>
      <c r="D9301">
        <v>62</v>
      </c>
    </row>
    <row r="9302" spans="1:4" ht="15.75" customHeight="1">
      <c r="A9302" t="s">
        <v>4823</v>
      </c>
      <c r="B9302" t="s">
        <v>38</v>
      </c>
      <c r="C9302" t="s">
        <v>37</v>
      </c>
      <c r="D9302">
        <v>61</v>
      </c>
    </row>
    <row r="9303" spans="1:4" ht="15.75" customHeight="1">
      <c r="A9303" t="s">
        <v>4016</v>
      </c>
      <c r="B9303" t="s">
        <v>38</v>
      </c>
      <c r="C9303" t="s">
        <v>37</v>
      </c>
      <c r="D9303">
        <v>61</v>
      </c>
    </row>
    <row r="9304" spans="1:4" ht="15.75" customHeight="1">
      <c r="A9304" t="s">
        <v>3219</v>
      </c>
      <c r="B9304" t="s">
        <v>38</v>
      </c>
      <c r="C9304" t="s">
        <v>37</v>
      </c>
      <c r="D9304">
        <v>61</v>
      </c>
    </row>
    <row r="9305" spans="1:4" ht="15.75" customHeight="1">
      <c r="A9305" t="s">
        <v>1700</v>
      </c>
      <c r="B9305" t="s">
        <v>38</v>
      </c>
      <c r="C9305" t="s">
        <v>37</v>
      </c>
      <c r="D9305">
        <v>60</v>
      </c>
    </row>
    <row r="9306" spans="1:4" ht="15.75" customHeight="1">
      <c r="A9306" t="s">
        <v>4105</v>
      </c>
      <c r="B9306" t="s">
        <v>38</v>
      </c>
      <c r="C9306" t="s">
        <v>37</v>
      </c>
      <c r="D9306">
        <v>60</v>
      </c>
    </row>
    <row r="9307" spans="1:4" ht="15.75" customHeight="1">
      <c r="A9307" t="s">
        <v>1402</v>
      </c>
      <c r="B9307" t="s">
        <v>38</v>
      </c>
      <c r="C9307" t="s">
        <v>37</v>
      </c>
      <c r="D9307">
        <v>60</v>
      </c>
    </row>
    <row r="9308" spans="1:4" ht="15.75" customHeight="1">
      <c r="A9308" t="s">
        <v>2654</v>
      </c>
      <c r="B9308" t="s">
        <v>38</v>
      </c>
      <c r="C9308" t="s">
        <v>37</v>
      </c>
      <c r="D9308">
        <v>60</v>
      </c>
    </row>
    <row r="9309" spans="1:4" ht="15.75" customHeight="1">
      <c r="A9309" t="s">
        <v>3238</v>
      </c>
      <c r="B9309" t="s">
        <v>38</v>
      </c>
      <c r="C9309" t="s">
        <v>37</v>
      </c>
      <c r="D9309">
        <v>59</v>
      </c>
    </row>
    <row r="9310" spans="1:4" ht="15.75" customHeight="1">
      <c r="A9310" t="s">
        <v>2827</v>
      </c>
      <c r="B9310" t="s">
        <v>38</v>
      </c>
      <c r="C9310" t="s">
        <v>37</v>
      </c>
      <c r="D9310">
        <v>59</v>
      </c>
    </row>
    <row r="9311" spans="1:4" ht="15.75" customHeight="1">
      <c r="A9311" t="s">
        <v>4059</v>
      </c>
      <c r="B9311" t="s">
        <v>38</v>
      </c>
      <c r="C9311" t="s">
        <v>37</v>
      </c>
      <c r="D9311">
        <v>59</v>
      </c>
    </row>
    <row r="9312" spans="1:4" ht="15.75" customHeight="1">
      <c r="A9312" t="s">
        <v>2233</v>
      </c>
      <c r="B9312" t="s">
        <v>38</v>
      </c>
      <c r="C9312" t="s">
        <v>37</v>
      </c>
      <c r="D9312">
        <v>58</v>
      </c>
    </row>
    <row r="9313" spans="1:4" ht="15.75" customHeight="1">
      <c r="A9313" t="s">
        <v>1774</v>
      </c>
      <c r="B9313" t="s">
        <v>38</v>
      </c>
      <c r="C9313" t="s">
        <v>37</v>
      </c>
      <c r="D9313">
        <v>57</v>
      </c>
    </row>
    <row r="9314" spans="1:4" ht="15.75" customHeight="1">
      <c r="A9314" t="s">
        <v>4020</v>
      </c>
      <c r="B9314" t="s">
        <v>38</v>
      </c>
      <c r="C9314" t="s">
        <v>37</v>
      </c>
      <c r="D9314">
        <v>55</v>
      </c>
    </row>
    <row r="9315" spans="1:4" ht="15.75" customHeight="1">
      <c r="A9315" t="s">
        <v>4722</v>
      </c>
      <c r="B9315" t="s">
        <v>38</v>
      </c>
      <c r="C9315" t="s">
        <v>37</v>
      </c>
      <c r="D9315">
        <v>55</v>
      </c>
    </row>
    <row r="9316" spans="1:4" ht="15.75" customHeight="1">
      <c r="A9316" t="s">
        <v>533</v>
      </c>
      <c r="B9316" t="s">
        <v>38</v>
      </c>
      <c r="C9316" t="s">
        <v>37</v>
      </c>
      <c r="D9316">
        <v>55</v>
      </c>
    </row>
    <row r="9317" spans="1:4" ht="15.75" customHeight="1">
      <c r="A9317" t="s">
        <v>3261</v>
      </c>
      <c r="B9317" t="s">
        <v>38</v>
      </c>
      <c r="C9317" t="s">
        <v>37</v>
      </c>
      <c r="D9317">
        <v>55</v>
      </c>
    </row>
    <row r="9318" spans="1:4" ht="15.75" customHeight="1">
      <c r="A9318" t="s">
        <v>1285</v>
      </c>
      <c r="B9318" t="s">
        <v>38</v>
      </c>
      <c r="C9318" t="s">
        <v>37</v>
      </c>
      <c r="D9318">
        <v>54</v>
      </c>
    </row>
    <row r="9319" spans="1:4" ht="15.75" customHeight="1">
      <c r="A9319" t="s">
        <v>2206</v>
      </c>
      <c r="B9319" t="s">
        <v>38</v>
      </c>
      <c r="C9319" t="s">
        <v>37</v>
      </c>
      <c r="D9319">
        <v>54</v>
      </c>
    </row>
    <row r="9320" spans="1:4" ht="15.75" customHeight="1">
      <c r="A9320" t="s">
        <v>527</v>
      </c>
      <c r="B9320" t="s">
        <v>38</v>
      </c>
      <c r="C9320" t="s">
        <v>37</v>
      </c>
      <c r="D9320">
        <v>54</v>
      </c>
    </row>
    <row r="9321" spans="1:4" ht="15.75" customHeight="1">
      <c r="A9321" t="s">
        <v>597</v>
      </c>
      <c r="B9321" t="s">
        <v>38</v>
      </c>
      <c r="C9321" t="s">
        <v>37</v>
      </c>
      <c r="D9321">
        <v>53</v>
      </c>
    </row>
    <row r="9322" spans="1:4" ht="15.75" customHeight="1">
      <c r="A9322" t="s">
        <v>2106</v>
      </c>
      <c r="B9322" t="s">
        <v>38</v>
      </c>
      <c r="C9322" t="s">
        <v>37</v>
      </c>
      <c r="D9322">
        <v>53</v>
      </c>
    </row>
    <row r="9323" spans="1:4" ht="15.75" customHeight="1">
      <c r="A9323" t="s">
        <v>3156</v>
      </c>
      <c r="B9323" t="s">
        <v>38</v>
      </c>
      <c r="C9323" t="s">
        <v>37</v>
      </c>
      <c r="D9323">
        <v>52</v>
      </c>
    </row>
    <row r="9324" spans="1:4" ht="15.75" customHeight="1">
      <c r="A9324" t="s">
        <v>2229</v>
      </c>
      <c r="B9324" t="s">
        <v>38</v>
      </c>
      <c r="C9324" t="s">
        <v>37</v>
      </c>
      <c r="D9324">
        <v>52</v>
      </c>
    </row>
    <row r="9325" spans="1:4" ht="15.75" customHeight="1">
      <c r="A9325" t="s">
        <v>2219</v>
      </c>
      <c r="B9325" t="s">
        <v>38</v>
      </c>
      <c r="C9325" t="s">
        <v>37</v>
      </c>
      <c r="D9325">
        <v>51</v>
      </c>
    </row>
    <row r="9326" spans="1:4" ht="15.75" customHeight="1">
      <c r="A9326" t="s">
        <v>3589</v>
      </c>
      <c r="B9326" t="s">
        <v>38</v>
      </c>
      <c r="C9326" t="s">
        <v>37</v>
      </c>
      <c r="D9326">
        <v>51</v>
      </c>
    </row>
    <row r="9327" spans="1:4" ht="15.75" customHeight="1">
      <c r="A9327" t="s">
        <v>2790</v>
      </c>
      <c r="B9327" t="s">
        <v>38</v>
      </c>
      <c r="C9327" t="s">
        <v>37</v>
      </c>
      <c r="D9327">
        <v>49</v>
      </c>
    </row>
    <row r="9328" spans="1:4" ht="15.75" customHeight="1">
      <c r="A9328" t="s">
        <v>3229</v>
      </c>
      <c r="B9328" t="s">
        <v>38</v>
      </c>
      <c r="C9328" t="s">
        <v>37</v>
      </c>
      <c r="D9328">
        <v>49</v>
      </c>
    </row>
    <row r="9329" spans="1:4" ht="15.75" customHeight="1">
      <c r="A9329" t="s">
        <v>681</v>
      </c>
      <c r="B9329" t="s">
        <v>38</v>
      </c>
      <c r="C9329" t="s">
        <v>37</v>
      </c>
      <c r="D9329">
        <v>49</v>
      </c>
    </row>
    <row r="9330" spans="1:4" ht="15.75" customHeight="1">
      <c r="A9330" t="s">
        <v>551</v>
      </c>
      <c r="B9330" t="s">
        <v>38</v>
      </c>
      <c r="C9330" t="s">
        <v>37</v>
      </c>
      <c r="D9330">
        <v>48</v>
      </c>
    </row>
    <row r="9331" spans="1:4" ht="15.75" customHeight="1">
      <c r="A9331" t="s">
        <v>3710</v>
      </c>
      <c r="B9331" t="s">
        <v>38</v>
      </c>
      <c r="C9331" t="s">
        <v>37</v>
      </c>
      <c r="D9331">
        <v>48</v>
      </c>
    </row>
    <row r="9332" spans="1:4" ht="15.75" customHeight="1">
      <c r="A9332" t="s">
        <v>2181</v>
      </c>
      <c r="B9332" t="s">
        <v>38</v>
      </c>
      <c r="C9332" t="s">
        <v>37</v>
      </c>
      <c r="D9332">
        <v>47</v>
      </c>
    </row>
    <row r="9333" spans="1:4" ht="15.75" customHeight="1">
      <c r="A9333" t="s">
        <v>485</v>
      </c>
      <c r="B9333" t="s">
        <v>38</v>
      </c>
      <c r="C9333" t="s">
        <v>37</v>
      </c>
      <c r="D9333">
        <v>47</v>
      </c>
    </row>
    <row r="9334" spans="1:4" ht="15.75" customHeight="1">
      <c r="A9334" t="s">
        <v>1762</v>
      </c>
      <c r="B9334" t="s">
        <v>38</v>
      </c>
      <c r="C9334" t="s">
        <v>37</v>
      </c>
      <c r="D9334">
        <v>47</v>
      </c>
    </row>
    <row r="9335" spans="1:4" ht="15.75" customHeight="1">
      <c r="A9335" t="s">
        <v>2671</v>
      </c>
      <c r="B9335" t="s">
        <v>38</v>
      </c>
      <c r="C9335" t="s">
        <v>37</v>
      </c>
      <c r="D9335">
        <v>47</v>
      </c>
    </row>
    <row r="9336" spans="1:4" ht="15.75" customHeight="1">
      <c r="A9336" t="s">
        <v>4726</v>
      </c>
      <c r="B9336" t="s">
        <v>38</v>
      </c>
      <c r="C9336" t="s">
        <v>37</v>
      </c>
      <c r="D9336">
        <v>47</v>
      </c>
    </row>
    <row r="9337" spans="1:4" ht="15.75" customHeight="1">
      <c r="A9337" t="s">
        <v>4422</v>
      </c>
      <c r="B9337" t="s">
        <v>38</v>
      </c>
      <c r="C9337" t="s">
        <v>37</v>
      </c>
      <c r="D9337">
        <v>45</v>
      </c>
    </row>
    <row r="9338" spans="1:4" ht="15.75" customHeight="1">
      <c r="A9338" t="s">
        <v>3215</v>
      </c>
      <c r="B9338" t="s">
        <v>38</v>
      </c>
      <c r="C9338" t="s">
        <v>37</v>
      </c>
      <c r="D9338">
        <v>45</v>
      </c>
    </row>
    <row r="9339" spans="1:4" ht="15.75" customHeight="1">
      <c r="A9339" t="s">
        <v>3201</v>
      </c>
      <c r="B9339" t="s">
        <v>38</v>
      </c>
      <c r="C9339" t="s">
        <v>37</v>
      </c>
      <c r="D9339">
        <v>45</v>
      </c>
    </row>
    <row r="9340" spans="1:4" ht="15.75" customHeight="1">
      <c r="A9340" t="s">
        <v>1776</v>
      </c>
      <c r="B9340" t="s">
        <v>38</v>
      </c>
      <c r="C9340" t="s">
        <v>37</v>
      </c>
      <c r="D9340">
        <v>45</v>
      </c>
    </row>
    <row r="9341" spans="1:4" ht="15.75" customHeight="1">
      <c r="A9341" t="s">
        <v>2759</v>
      </c>
      <c r="B9341" t="s">
        <v>38</v>
      </c>
      <c r="C9341" t="s">
        <v>37</v>
      </c>
      <c r="D9341">
        <v>44</v>
      </c>
    </row>
    <row r="9342" spans="1:4" ht="15.75" customHeight="1">
      <c r="A9342" t="s">
        <v>3291</v>
      </c>
      <c r="B9342" t="s">
        <v>38</v>
      </c>
      <c r="C9342" t="s">
        <v>37</v>
      </c>
      <c r="D9342">
        <v>44</v>
      </c>
    </row>
    <row r="9343" spans="1:4" ht="15.75" customHeight="1">
      <c r="A9343" t="s">
        <v>2681</v>
      </c>
      <c r="B9343" t="s">
        <v>38</v>
      </c>
      <c r="C9343" t="s">
        <v>37</v>
      </c>
      <c r="D9343">
        <v>44</v>
      </c>
    </row>
    <row r="9344" spans="1:4" ht="15.75" customHeight="1">
      <c r="A9344" t="s">
        <v>2721</v>
      </c>
      <c r="B9344" t="s">
        <v>38</v>
      </c>
      <c r="C9344" t="s">
        <v>37</v>
      </c>
      <c r="D9344">
        <v>44</v>
      </c>
    </row>
    <row r="9345" spans="1:4" ht="15.75" customHeight="1">
      <c r="A9345" t="s">
        <v>4804</v>
      </c>
      <c r="B9345" t="s">
        <v>38</v>
      </c>
      <c r="C9345" t="s">
        <v>37</v>
      </c>
      <c r="D9345">
        <v>43</v>
      </c>
    </row>
    <row r="9346" spans="1:4" ht="15.75" customHeight="1">
      <c r="A9346" t="s">
        <v>3232</v>
      </c>
      <c r="B9346" t="s">
        <v>38</v>
      </c>
      <c r="C9346" t="s">
        <v>37</v>
      </c>
      <c r="D9346">
        <v>42</v>
      </c>
    </row>
    <row r="9347" spans="1:4" ht="15.75" customHeight="1">
      <c r="A9347" t="s">
        <v>3686</v>
      </c>
      <c r="B9347" t="s">
        <v>38</v>
      </c>
      <c r="C9347" t="s">
        <v>37</v>
      </c>
      <c r="D9347">
        <v>42</v>
      </c>
    </row>
    <row r="9348" spans="1:4" ht="15.75" customHeight="1">
      <c r="A9348" t="s">
        <v>4753</v>
      </c>
      <c r="B9348" t="s">
        <v>38</v>
      </c>
      <c r="C9348" t="s">
        <v>37</v>
      </c>
      <c r="D9348">
        <v>42</v>
      </c>
    </row>
    <row r="9349" spans="1:4" ht="15.75" customHeight="1">
      <c r="A9349" t="s">
        <v>3205</v>
      </c>
      <c r="B9349" t="s">
        <v>38</v>
      </c>
      <c r="C9349" t="s">
        <v>37</v>
      </c>
      <c r="D9349">
        <v>41</v>
      </c>
    </row>
    <row r="9350" spans="1:4" ht="15.75" customHeight="1">
      <c r="A9350" t="s">
        <v>546</v>
      </c>
      <c r="B9350" t="s">
        <v>38</v>
      </c>
      <c r="C9350" t="s">
        <v>37</v>
      </c>
      <c r="D9350">
        <v>41</v>
      </c>
    </row>
    <row r="9351" spans="1:4" ht="15.75" customHeight="1">
      <c r="A9351" t="s">
        <v>3196</v>
      </c>
      <c r="B9351" t="s">
        <v>38</v>
      </c>
      <c r="C9351" t="s">
        <v>37</v>
      </c>
      <c r="D9351">
        <v>41</v>
      </c>
    </row>
    <row r="9352" spans="1:4" ht="15.75" customHeight="1">
      <c r="A9352" t="s">
        <v>2128</v>
      </c>
      <c r="B9352" t="s">
        <v>38</v>
      </c>
      <c r="C9352" t="s">
        <v>37</v>
      </c>
      <c r="D9352">
        <v>40</v>
      </c>
    </row>
    <row r="9353" spans="1:4" ht="15.75" customHeight="1">
      <c r="A9353" t="s">
        <v>1347</v>
      </c>
      <c r="B9353" t="s">
        <v>38</v>
      </c>
      <c r="C9353" t="s">
        <v>37</v>
      </c>
      <c r="D9353">
        <v>40</v>
      </c>
    </row>
    <row r="9354" spans="1:4" ht="15.75" customHeight="1">
      <c r="A9354" t="s">
        <v>4051</v>
      </c>
      <c r="B9354" t="s">
        <v>38</v>
      </c>
      <c r="C9354" t="s">
        <v>37</v>
      </c>
      <c r="D9354">
        <v>39</v>
      </c>
    </row>
    <row r="9355" spans="1:4" ht="15.75" customHeight="1">
      <c r="A9355" t="s">
        <v>4108</v>
      </c>
      <c r="B9355" t="s">
        <v>38</v>
      </c>
      <c r="C9355" t="s">
        <v>37</v>
      </c>
      <c r="D9355">
        <v>39</v>
      </c>
    </row>
    <row r="9356" spans="1:4" ht="15.75" customHeight="1">
      <c r="A9356" t="s">
        <v>4773</v>
      </c>
      <c r="B9356" t="s">
        <v>38</v>
      </c>
      <c r="C9356" t="s">
        <v>37</v>
      </c>
      <c r="D9356">
        <v>38</v>
      </c>
    </row>
    <row r="9357" spans="1:4" ht="15.75" customHeight="1">
      <c r="A9357" t="s">
        <v>3692</v>
      </c>
      <c r="B9357" t="s">
        <v>38</v>
      </c>
      <c r="C9357" t="s">
        <v>37</v>
      </c>
      <c r="D9357">
        <v>38</v>
      </c>
    </row>
    <row r="9358" spans="1:4" ht="15.75" customHeight="1">
      <c r="A9358" t="s">
        <v>2756</v>
      </c>
      <c r="B9358" t="s">
        <v>38</v>
      </c>
      <c r="C9358" t="s">
        <v>37</v>
      </c>
      <c r="D9358">
        <v>38</v>
      </c>
    </row>
    <row r="9359" spans="1:4" ht="15.75" customHeight="1">
      <c r="A9359" t="s">
        <v>4124</v>
      </c>
      <c r="B9359" t="s">
        <v>38</v>
      </c>
      <c r="C9359" t="s">
        <v>37</v>
      </c>
      <c r="D9359">
        <v>37</v>
      </c>
    </row>
    <row r="9360" spans="1:4" ht="15.75" customHeight="1">
      <c r="A9360" t="s">
        <v>4134</v>
      </c>
      <c r="B9360" t="s">
        <v>38</v>
      </c>
      <c r="C9360" t="s">
        <v>37</v>
      </c>
      <c r="D9360">
        <v>37</v>
      </c>
    </row>
    <row r="9361" spans="1:4" ht="15.75" customHeight="1">
      <c r="A9361" t="s">
        <v>3649</v>
      </c>
      <c r="B9361" t="s">
        <v>38</v>
      </c>
      <c r="C9361" t="s">
        <v>37</v>
      </c>
      <c r="D9361">
        <v>36</v>
      </c>
    </row>
    <row r="9362" spans="1:4" ht="15.75" customHeight="1">
      <c r="A9362" t="s">
        <v>477</v>
      </c>
      <c r="B9362" t="s">
        <v>38</v>
      </c>
      <c r="C9362" t="s">
        <v>37</v>
      </c>
      <c r="D9362">
        <v>36</v>
      </c>
    </row>
    <row r="9363" spans="1:4" ht="15.75" customHeight="1">
      <c r="A9363" t="s">
        <v>3647</v>
      </c>
      <c r="B9363" t="s">
        <v>38</v>
      </c>
      <c r="C9363" t="s">
        <v>37</v>
      </c>
      <c r="D9363">
        <v>36</v>
      </c>
    </row>
    <row r="9364" spans="1:4" ht="15.75" customHeight="1">
      <c r="A9364" t="s">
        <v>3300</v>
      </c>
      <c r="B9364" t="s">
        <v>38</v>
      </c>
      <c r="C9364" t="s">
        <v>37</v>
      </c>
      <c r="D9364">
        <v>35</v>
      </c>
    </row>
    <row r="9365" spans="1:4" ht="15.75" customHeight="1">
      <c r="A9365" t="s">
        <v>1770</v>
      </c>
      <c r="B9365" t="s">
        <v>38</v>
      </c>
      <c r="C9365" t="s">
        <v>37</v>
      </c>
      <c r="D9365">
        <v>35</v>
      </c>
    </row>
    <row r="9366" spans="1:4" ht="15.75" customHeight="1">
      <c r="A9366" t="s">
        <v>539</v>
      </c>
      <c r="B9366" t="s">
        <v>38</v>
      </c>
      <c r="C9366" t="s">
        <v>37</v>
      </c>
      <c r="D9366">
        <v>35</v>
      </c>
    </row>
    <row r="9367" spans="1:4" ht="15.75" customHeight="1">
      <c r="A9367" t="s">
        <v>4406</v>
      </c>
      <c r="B9367" t="s">
        <v>38</v>
      </c>
      <c r="C9367" t="s">
        <v>37</v>
      </c>
      <c r="D9367">
        <v>34</v>
      </c>
    </row>
    <row r="9368" spans="1:4" ht="15.75" customHeight="1">
      <c r="A9368" t="s">
        <v>1223</v>
      </c>
      <c r="B9368" t="s">
        <v>38</v>
      </c>
      <c r="C9368" t="s">
        <v>37</v>
      </c>
      <c r="D9368">
        <v>34</v>
      </c>
    </row>
    <row r="9369" spans="1:4" ht="15.75" customHeight="1">
      <c r="A9369" t="s">
        <v>3269</v>
      </c>
      <c r="B9369" t="s">
        <v>38</v>
      </c>
      <c r="C9369" t="s">
        <v>37</v>
      </c>
      <c r="D9369">
        <v>33</v>
      </c>
    </row>
    <row r="9370" spans="1:4" ht="15.75" customHeight="1">
      <c r="A9370" t="s">
        <v>502</v>
      </c>
      <c r="B9370" t="s">
        <v>38</v>
      </c>
      <c r="C9370" t="s">
        <v>37</v>
      </c>
      <c r="D9370">
        <v>32</v>
      </c>
    </row>
    <row r="9371" spans="1:4" ht="15.75" customHeight="1">
      <c r="A9371" t="s">
        <v>3194</v>
      </c>
      <c r="B9371" t="s">
        <v>38</v>
      </c>
      <c r="C9371" t="s">
        <v>37</v>
      </c>
      <c r="D9371">
        <v>32</v>
      </c>
    </row>
    <row r="9372" spans="1:4" ht="15.75" customHeight="1">
      <c r="A9372" t="s">
        <v>1270</v>
      </c>
      <c r="B9372" t="s">
        <v>38</v>
      </c>
      <c r="C9372" t="s">
        <v>37</v>
      </c>
      <c r="D9372">
        <v>32</v>
      </c>
    </row>
    <row r="9373" spans="1:4" ht="15.75" customHeight="1">
      <c r="A9373" t="s">
        <v>3705</v>
      </c>
      <c r="B9373" t="s">
        <v>38</v>
      </c>
      <c r="C9373" t="s">
        <v>37</v>
      </c>
      <c r="D9373">
        <v>31</v>
      </c>
    </row>
    <row r="9374" spans="1:4" ht="15.75" customHeight="1">
      <c r="A9374" t="s">
        <v>601</v>
      </c>
      <c r="B9374" t="s">
        <v>38</v>
      </c>
      <c r="C9374" t="s">
        <v>37</v>
      </c>
      <c r="D9374">
        <v>31</v>
      </c>
    </row>
    <row r="9375" spans="1:4" ht="15.75" customHeight="1">
      <c r="A9375" t="s">
        <v>4740</v>
      </c>
      <c r="B9375" t="s">
        <v>38</v>
      </c>
      <c r="C9375" t="s">
        <v>37</v>
      </c>
      <c r="D9375">
        <v>31</v>
      </c>
    </row>
    <row r="9376" spans="1:4" ht="15.75" customHeight="1">
      <c r="A9376" t="s">
        <v>2832</v>
      </c>
      <c r="B9376" t="s">
        <v>38</v>
      </c>
      <c r="C9376" t="s">
        <v>37</v>
      </c>
      <c r="D9376">
        <v>31</v>
      </c>
    </row>
    <row r="9377" spans="1:4" ht="15.75" customHeight="1">
      <c r="A9377" t="s">
        <v>483</v>
      </c>
      <c r="B9377" t="s">
        <v>38</v>
      </c>
      <c r="C9377" t="s">
        <v>37</v>
      </c>
      <c r="D9377">
        <v>30</v>
      </c>
    </row>
    <row r="9378" spans="1:4" ht="15.75" customHeight="1">
      <c r="A9378" t="s">
        <v>2166</v>
      </c>
      <c r="B9378" t="s">
        <v>38</v>
      </c>
      <c r="C9378" t="s">
        <v>37</v>
      </c>
      <c r="D9378">
        <v>30</v>
      </c>
    </row>
    <row r="9379" spans="1:4" ht="15.75" customHeight="1">
      <c r="A9379" t="s">
        <v>1789</v>
      </c>
      <c r="B9379" t="s">
        <v>38</v>
      </c>
      <c r="C9379" t="s">
        <v>37</v>
      </c>
      <c r="D9379">
        <v>29</v>
      </c>
    </row>
    <row r="9380" spans="1:4" ht="15.75" customHeight="1">
      <c r="A9380" t="s">
        <v>448</v>
      </c>
      <c r="B9380" t="s">
        <v>38</v>
      </c>
      <c r="C9380" t="s">
        <v>37</v>
      </c>
      <c r="D9380">
        <v>29</v>
      </c>
    </row>
    <row r="9381" spans="1:4" ht="15.75" customHeight="1">
      <c r="A9381" t="s">
        <v>3217</v>
      </c>
      <c r="B9381" t="s">
        <v>38</v>
      </c>
      <c r="C9381" t="s">
        <v>37</v>
      </c>
      <c r="D9381">
        <v>29</v>
      </c>
    </row>
    <row r="9382" spans="1:4" ht="15.75" customHeight="1">
      <c r="A9382" t="s">
        <v>3714</v>
      </c>
      <c r="B9382" t="s">
        <v>38</v>
      </c>
      <c r="C9382" t="s">
        <v>37</v>
      </c>
      <c r="D9382">
        <v>29</v>
      </c>
    </row>
    <row r="9383" spans="1:4" ht="15.75" customHeight="1">
      <c r="A9383" t="s">
        <v>594</v>
      </c>
      <c r="B9383" t="s">
        <v>38</v>
      </c>
      <c r="C9383" t="s">
        <v>37</v>
      </c>
      <c r="D9383">
        <v>28</v>
      </c>
    </row>
    <row r="9384" spans="1:4" ht="15.75" customHeight="1">
      <c r="A9384" t="s">
        <v>4428</v>
      </c>
      <c r="B9384" t="s">
        <v>38</v>
      </c>
      <c r="C9384" t="s">
        <v>37</v>
      </c>
      <c r="D9384">
        <v>28</v>
      </c>
    </row>
    <row r="9385" spans="1:4" ht="15.75" customHeight="1">
      <c r="A9385" t="s">
        <v>2225</v>
      </c>
      <c r="B9385" t="s">
        <v>38</v>
      </c>
      <c r="C9385" t="s">
        <v>37</v>
      </c>
      <c r="D9385">
        <v>28</v>
      </c>
    </row>
    <row r="9386" spans="1:4" ht="15.75" customHeight="1">
      <c r="A9386" t="s">
        <v>3203</v>
      </c>
      <c r="B9386" t="s">
        <v>38</v>
      </c>
      <c r="C9386" t="s">
        <v>37</v>
      </c>
      <c r="D9386">
        <v>28</v>
      </c>
    </row>
    <row r="9387" spans="1:4" ht="15.75" customHeight="1">
      <c r="A9387" t="s">
        <v>1241</v>
      </c>
      <c r="B9387" t="s">
        <v>38</v>
      </c>
      <c r="C9387" t="s">
        <v>37</v>
      </c>
      <c r="D9387">
        <v>27</v>
      </c>
    </row>
    <row r="9388" spans="1:4" ht="15.75" customHeight="1">
      <c r="A9388" t="s">
        <v>3279</v>
      </c>
      <c r="B9388" t="s">
        <v>38</v>
      </c>
      <c r="C9388" t="s">
        <v>37</v>
      </c>
      <c r="D9388">
        <v>27</v>
      </c>
    </row>
    <row r="9389" spans="1:4" ht="15.75" customHeight="1">
      <c r="A9389" t="s">
        <v>3724</v>
      </c>
      <c r="B9389" t="s">
        <v>38</v>
      </c>
      <c r="C9389" t="s">
        <v>37</v>
      </c>
      <c r="D9389">
        <v>27</v>
      </c>
    </row>
    <row r="9390" spans="1:4" ht="15.75" customHeight="1">
      <c r="A9390" t="s">
        <v>2276</v>
      </c>
      <c r="B9390" t="s">
        <v>38</v>
      </c>
      <c r="C9390" t="s">
        <v>37</v>
      </c>
      <c r="D9390">
        <v>26</v>
      </c>
    </row>
    <row r="9391" spans="1:4" ht="15.75" customHeight="1">
      <c r="A9391" t="s">
        <v>3629</v>
      </c>
      <c r="B9391" t="s">
        <v>38</v>
      </c>
      <c r="C9391" t="s">
        <v>37</v>
      </c>
      <c r="D9391">
        <v>26</v>
      </c>
    </row>
    <row r="9392" spans="1:4" ht="15.75" customHeight="1">
      <c r="A9392" t="s">
        <v>3690</v>
      </c>
      <c r="B9392" t="s">
        <v>38</v>
      </c>
      <c r="C9392" t="s">
        <v>37</v>
      </c>
      <c r="D9392">
        <v>26</v>
      </c>
    </row>
    <row r="9393" spans="1:4" ht="15.75" customHeight="1">
      <c r="A9393" t="s">
        <v>4101</v>
      </c>
      <c r="B9393" t="s">
        <v>38</v>
      </c>
      <c r="C9393" t="s">
        <v>37</v>
      </c>
      <c r="D9393">
        <v>26</v>
      </c>
    </row>
    <row r="9394" spans="1:4" ht="15.75" customHeight="1">
      <c r="A9394" t="s">
        <v>563</v>
      </c>
      <c r="B9394" t="s">
        <v>38</v>
      </c>
      <c r="C9394" t="s">
        <v>37</v>
      </c>
      <c r="D9394">
        <v>26</v>
      </c>
    </row>
    <row r="9395" spans="1:4" ht="15.75" customHeight="1">
      <c r="A9395" t="s">
        <v>3600</v>
      </c>
      <c r="B9395" t="s">
        <v>38</v>
      </c>
      <c r="C9395" t="s">
        <v>37</v>
      </c>
      <c r="D9395">
        <v>25</v>
      </c>
    </row>
    <row r="9396" spans="1:4" ht="15.75" customHeight="1">
      <c r="A9396" t="s">
        <v>2797</v>
      </c>
      <c r="B9396" t="s">
        <v>38</v>
      </c>
      <c r="C9396" t="s">
        <v>37</v>
      </c>
      <c r="D9396">
        <v>25</v>
      </c>
    </row>
    <row r="9397" spans="1:4" ht="15.75" customHeight="1">
      <c r="A9397" t="s">
        <v>3660</v>
      </c>
      <c r="B9397" t="s">
        <v>38</v>
      </c>
      <c r="C9397" t="s">
        <v>37</v>
      </c>
      <c r="D9397">
        <v>25</v>
      </c>
    </row>
    <row r="9398" spans="1:4" ht="15.75" customHeight="1">
      <c r="A9398" t="s">
        <v>1291</v>
      </c>
      <c r="B9398" t="s">
        <v>38</v>
      </c>
      <c r="C9398" t="s">
        <v>37</v>
      </c>
      <c r="D9398">
        <v>25</v>
      </c>
    </row>
    <row r="9399" spans="1:4" ht="15.75" customHeight="1">
      <c r="A9399" t="s">
        <v>2231</v>
      </c>
      <c r="B9399" t="s">
        <v>38</v>
      </c>
      <c r="C9399" t="s">
        <v>37</v>
      </c>
      <c r="D9399">
        <v>25</v>
      </c>
    </row>
    <row r="9400" spans="1:4" ht="15.75" customHeight="1">
      <c r="A9400" t="s">
        <v>2164</v>
      </c>
      <c r="B9400" t="s">
        <v>38</v>
      </c>
      <c r="C9400" t="s">
        <v>37</v>
      </c>
      <c r="D9400">
        <v>25</v>
      </c>
    </row>
    <row r="9401" spans="1:4" ht="15.75" customHeight="1">
      <c r="A9401" t="s">
        <v>2136</v>
      </c>
      <c r="B9401" t="s">
        <v>38</v>
      </c>
      <c r="C9401" t="s">
        <v>37</v>
      </c>
      <c r="D9401">
        <v>24</v>
      </c>
    </row>
    <row r="9402" spans="1:4" ht="15.75" customHeight="1">
      <c r="A9402" t="s">
        <v>4736</v>
      </c>
      <c r="B9402" t="s">
        <v>38</v>
      </c>
      <c r="C9402" t="s">
        <v>37</v>
      </c>
      <c r="D9402">
        <v>24</v>
      </c>
    </row>
    <row r="9403" spans="1:4" ht="15.75" customHeight="1">
      <c r="A9403" t="s">
        <v>4843</v>
      </c>
      <c r="B9403" t="s">
        <v>38</v>
      </c>
      <c r="C9403" t="s">
        <v>37</v>
      </c>
      <c r="D9403">
        <v>24</v>
      </c>
    </row>
    <row r="9404" spans="1:4" ht="15.75" customHeight="1">
      <c r="A9404" t="s">
        <v>609</v>
      </c>
      <c r="B9404" t="s">
        <v>38</v>
      </c>
      <c r="C9404" t="s">
        <v>37</v>
      </c>
      <c r="D9404">
        <v>24</v>
      </c>
    </row>
    <row r="9405" spans="1:4" ht="15.75" customHeight="1">
      <c r="A9405" t="s">
        <v>4117</v>
      </c>
      <c r="B9405" t="s">
        <v>38</v>
      </c>
      <c r="C9405" t="s">
        <v>37</v>
      </c>
      <c r="D9405">
        <v>23</v>
      </c>
    </row>
    <row r="9406" spans="1:4" ht="15.75" customHeight="1">
      <c r="A9406" t="s">
        <v>2840</v>
      </c>
      <c r="B9406" t="s">
        <v>38</v>
      </c>
      <c r="C9406" t="s">
        <v>37</v>
      </c>
      <c r="D9406">
        <v>23</v>
      </c>
    </row>
    <row r="9407" spans="1:4" ht="15.75" customHeight="1">
      <c r="A9407" t="s">
        <v>2278</v>
      </c>
      <c r="B9407" t="s">
        <v>38</v>
      </c>
      <c r="C9407" t="s">
        <v>37</v>
      </c>
      <c r="D9407">
        <v>23</v>
      </c>
    </row>
    <row r="9408" spans="1:4" ht="15.75" customHeight="1">
      <c r="A9408" t="s">
        <v>611</v>
      </c>
      <c r="B9408" t="s">
        <v>38</v>
      </c>
      <c r="C9408" t="s">
        <v>37</v>
      </c>
      <c r="D9408">
        <v>23</v>
      </c>
    </row>
    <row r="9409" spans="1:4" ht="15.75" customHeight="1">
      <c r="A9409" t="s">
        <v>4416</v>
      </c>
      <c r="B9409" t="s">
        <v>38</v>
      </c>
      <c r="C9409" t="s">
        <v>37</v>
      </c>
      <c r="D9409">
        <v>23</v>
      </c>
    </row>
    <row r="9410" spans="1:4" ht="15.75" customHeight="1">
      <c r="A9410" t="s">
        <v>3221</v>
      </c>
      <c r="B9410" t="s">
        <v>38</v>
      </c>
      <c r="C9410" t="s">
        <v>37</v>
      </c>
      <c r="D9410">
        <v>22</v>
      </c>
    </row>
    <row r="9411" spans="1:4" ht="15.75" customHeight="1">
      <c r="A9411" t="s">
        <v>496</v>
      </c>
      <c r="B9411" t="s">
        <v>38</v>
      </c>
      <c r="C9411" t="s">
        <v>37</v>
      </c>
      <c r="D9411">
        <v>22</v>
      </c>
    </row>
    <row r="9412" spans="1:4" ht="15.75" customHeight="1">
      <c r="A9412" t="s">
        <v>3174</v>
      </c>
      <c r="B9412" t="s">
        <v>38</v>
      </c>
      <c r="C9412" t="s">
        <v>37</v>
      </c>
      <c r="D9412">
        <v>22</v>
      </c>
    </row>
    <row r="9413" spans="1:4" ht="15.75" customHeight="1">
      <c r="A9413" t="s">
        <v>4839</v>
      </c>
      <c r="B9413" t="s">
        <v>38</v>
      </c>
      <c r="C9413" t="s">
        <v>37</v>
      </c>
      <c r="D9413">
        <v>22</v>
      </c>
    </row>
    <row r="9414" spans="1:4" ht="15.75" customHeight="1">
      <c r="A9414" t="s">
        <v>4424</v>
      </c>
      <c r="B9414" t="s">
        <v>38</v>
      </c>
      <c r="C9414" t="s">
        <v>37</v>
      </c>
      <c r="D9414">
        <v>20</v>
      </c>
    </row>
    <row r="9415" spans="1:4" ht="15.75" customHeight="1">
      <c r="A9415" t="s">
        <v>3165</v>
      </c>
      <c r="B9415" t="s">
        <v>38</v>
      </c>
      <c r="C9415" t="s">
        <v>37</v>
      </c>
      <c r="D9415">
        <v>20</v>
      </c>
    </row>
    <row r="9416" spans="1:4" ht="15.75" customHeight="1">
      <c r="A9416" t="s">
        <v>1345</v>
      </c>
      <c r="B9416" t="s">
        <v>38</v>
      </c>
      <c r="C9416" t="s">
        <v>37</v>
      </c>
      <c r="D9416">
        <v>20</v>
      </c>
    </row>
    <row r="9417" spans="1:4" ht="15.75" customHeight="1">
      <c r="A9417" t="s">
        <v>4136</v>
      </c>
      <c r="B9417" t="s">
        <v>38</v>
      </c>
      <c r="C9417" t="s">
        <v>37</v>
      </c>
      <c r="D9417">
        <v>19</v>
      </c>
    </row>
    <row r="9418" spans="1:4" ht="15.75" customHeight="1">
      <c r="A9418" t="s">
        <v>4049</v>
      </c>
      <c r="B9418" t="s">
        <v>38</v>
      </c>
      <c r="C9418" t="s">
        <v>37</v>
      </c>
      <c r="D9418">
        <v>18</v>
      </c>
    </row>
    <row r="9419" spans="1:4" ht="15.75" customHeight="1">
      <c r="A9419" t="s">
        <v>4362</v>
      </c>
      <c r="B9419" t="s">
        <v>38</v>
      </c>
      <c r="C9419" t="s">
        <v>37</v>
      </c>
      <c r="D9419">
        <v>18</v>
      </c>
    </row>
    <row r="9420" spans="1:4" ht="15.75" customHeight="1">
      <c r="A9420" t="s">
        <v>1758</v>
      </c>
      <c r="B9420" t="s">
        <v>38</v>
      </c>
      <c r="C9420" t="s">
        <v>37</v>
      </c>
      <c r="D9420">
        <v>18</v>
      </c>
    </row>
    <row r="9421" spans="1:4" ht="15.75" customHeight="1">
      <c r="A9421" t="s">
        <v>559</v>
      </c>
      <c r="B9421" t="s">
        <v>38</v>
      </c>
      <c r="C9421" t="s">
        <v>37</v>
      </c>
      <c r="D9421">
        <v>18</v>
      </c>
    </row>
    <row r="9422" spans="1:4" ht="15.75" customHeight="1">
      <c r="A9422" t="s">
        <v>3152</v>
      </c>
      <c r="B9422" t="s">
        <v>38</v>
      </c>
      <c r="C9422" t="s">
        <v>37</v>
      </c>
      <c r="D9422">
        <v>18</v>
      </c>
    </row>
    <row r="9423" spans="1:4" ht="15.75" customHeight="1">
      <c r="A9423" t="s">
        <v>524</v>
      </c>
      <c r="B9423" t="s">
        <v>38</v>
      </c>
      <c r="C9423" t="s">
        <v>37</v>
      </c>
      <c r="D9423">
        <v>17</v>
      </c>
    </row>
    <row r="9424" spans="1:4" ht="15.75" customHeight="1">
      <c r="A9424" t="s">
        <v>3192</v>
      </c>
      <c r="B9424" t="s">
        <v>38</v>
      </c>
      <c r="C9424" t="s">
        <v>37</v>
      </c>
      <c r="D9424">
        <v>17</v>
      </c>
    </row>
    <row r="9425" spans="1:4" ht="15.75" customHeight="1">
      <c r="A9425" t="s">
        <v>1738</v>
      </c>
      <c r="B9425" t="s">
        <v>38</v>
      </c>
      <c r="C9425" t="s">
        <v>37</v>
      </c>
      <c r="D9425">
        <v>16</v>
      </c>
    </row>
    <row r="9426" spans="1:4" ht="15.75" customHeight="1">
      <c r="A9426" t="s">
        <v>4401</v>
      </c>
      <c r="B9426" t="s">
        <v>38</v>
      </c>
      <c r="C9426" t="s">
        <v>37</v>
      </c>
      <c r="D9426">
        <v>16</v>
      </c>
    </row>
    <row r="9427" spans="1:4" ht="15.75" customHeight="1">
      <c r="A9427" t="s">
        <v>4719</v>
      </c>
      <c r="B9427" t="s">
        <v>38</v>
      </c>
      <c r="C9427" t="s">
        <v>37</v>
      </c>
      <c r="D9427">
        <v>16</v>
      </c>
    </row>
    <row r="9428" spans="1:4" ht="15.75" customHeight="1">
      <c r="A9428" t="s">
        <v>4025</v>
      </c>
      <c r="B9428" t="s">
        <v>38</v>
      </c>
      <c r="C9428" t="s">
        <v>37</v>
      </c>
      <c r="D9428">
        <v>16</v>
      </c>
    </row>
    <row r="9429" spans="1:4" ht="15.75" customHeight="1">
      <c r="A9429" t="s">
        <v>1278</v>
      </c>
      <c r="B9429" t="s">
        <v>38</v>
      </c>
      <c r="C9429" t="s">
        <v>37</v>
      </c>
      <c r="D9429">
        <v>16</v>
      </c>
    </row>
    <row r="9430" spans="1:4" ht="15.75" customHeight="1">
      <c r="A9430" t="s">
        <v>2694</v>
      </c>
      <c r="B9430" t="s">
        <v>38</v>
      </c>
      <c r="C9430" t="s">
        <v>37</v>
      </c>
      <c r="D9430">
        <v>16</v>
      </c>
    </row>
    <row r="9431" spans="1:4" ht="15.75" customHeight="1">
      <c r="A9431" t="s">
        <v>3728</v>
      </c>
      <c r="B9431" t="s">
        <v>38</v>
      </c>
      <c r="C9431" t="s">
        <v>37</v>
      </c>
      <c r="D9431">
        <v>16</v>
      </c>
    </row>
    <row r="9432" spans="1:4" ht="15.75" customHeight="1">
      <c r="A9432" t="s">
        <v>2149</v>
      </c>
      <c r="B9432" t="s">
        <v>38</v>
      </c>
      <c r="C9432" t="s">
        <v>37</v>
      </c>
      <c r="D9432">
        <v>15</v>
      </c>
    </row>
    <row r="9433" spans="1:4" ht="15.75" customHeight="1">
      <c r="A9433" t="s">
        <v>4738</v>
      </c>
      <c r="B9433" t="s">
        <v>38</v>
      </c>
      <c r="C9433" t="s">
        <v>37</v>
      </c>
      <c r="D9433">
        <v>15</v>
      </c>
    </row>
    <row r="9434" spans="1:4" ht="15.75" customHeight="1">
      <c r="A9434" t="s">
        <v>2678</v>
      </c>
      <c r="B9434" t="s">
        <v>38</v>
      </c>
      <c r="C9434" t="s">
        <v>37</v>
      </c>
      <c r="D9434">
        <v>15</v>
      </c>
    </row>
    <row r="9435" spans="1:4" ht="15.75" customHeight="1">
      <c r="A9435" t="s">
        <v>2675</v>
      </c>
      <c r="B9435" t="s">
        <v>38</v>
      </c>
      <c r="C9435" t="s">
        <v>37</v>
      </c>
      <c r="D9435">
        <v>15</v>
      </c>
    </row>
    <row r="9436" spans="1:4" ht="15.75" customHeight="1">
      <c r="A9436" t="s">
        <v>2223</v>
      </c>
      <c r="B9436" t="s">
        <v>38</v>
      </c>
      <c r="C9436" t="s">
        <v>37</v>
      </c>
      <c r="D9436">
        <v>14</v>
      </c>
    </row>
    <row r="9437" spans="1:4" ht="15.75" customHeight="1">
      <c r="A9437" t="s">
        <v>3304</v>
      </c>
      <c r="B9437" t="s">
        <v>38</v>
      </c>
      <c r="C9437" t="s">
        <v>37</v>
      </c>
      <c r="D9437">
        <v>14</v>
      </c>
    </row>
    <row r="9438" spans="1:4" ht="15.75" customHeight="1">
      <c r="A9438" t="s">
        <v>565</v>
      </c>
      <c r="B9438" t="s">
        <v>38</v>
      </c>
      <c r="C9438" t="s">
        <v>37</v>
      </c>
      <c r="D9438">
        <v>14</v>
      </c>
    </row>
    <row r="9439" spans="1:4" ht="15.75" customHeight="1">
      <c r="A9439" t="s">
        <v>2153</v>
      </c>
      <c r="B9439" t="s">
        <v>38</v>
      </c>
      <c r="C9439" t="s">
        <v>37</v>
      </c>
      <c r="D9439">
        <v>13</v>
      </c>
    </row>
    <row r="9440" spans="1:4" ht="15.75" customHeight="1">
      <c r="A9440" t="s">
        <v>2221</v>
      </c>
      <c r="B9440" t="s">
        <v>38</v>
      </c>
      <c r="C9440" t="s">
        <v>37</v>
      </c>
      <c r="D9440">
        <v>13</v>
      </c>
    </row>
    <row r="9441" spans="1:4" ht="15.75" customHeight="1">
      <c r="A9441" t="s">
        <v>1398</v>
      </c>
      <c r="B9441" t="s">
        <v>38</v>
      </c>
      <c r="C9441" t="s">
        <v>37</v>
      </c>
      <c r="D9441">
        <v>12</v>
      </c>
    </row>
    <row r="9442" spans="1:4" ht="15.75" customHeight="1">
      <c r="A9442" t="s">
        <v>4765</v>
      </c>
      <c r="B9442" t="s">
        <v>38</v>
      </c>
      <c r="C9442" t="s">
        <v>37</v>
      </c>
      <c r="D9442">
        <v>12</v>
      </c>
    </row>
    <row r="9443" spans="1:4" ht="15.75" customHeight="1">
      <c r="A9443" t="s">
        <v>2834</v>
      </c>
      <c r="B9443" t="s">
        <v>38</v>
      </c>
      <c r="C9443" t="s">
        <v>37</v>
      </c>
      <c r="D9443">
        <v>12</v>
      </c>
    </row>
    <row r="9444" spans="1:4" ht="15.75" customHeight="1">
      <c r="A9444" t="s">
        <v>4731</v>
      </c>
      <c r="B9444" t="s">
        <v>38</v>
      </c>
      <c r="C9444" t="s">
        <v>37</v>
      </c>
      <c r="D9444">
        <v>12</v>
      </c>
    </row>
    <row r="9445" spans="1:4" ht="15.75" customHeight="1">
      <c r="A9445" t="s">
        <v>4733</v>
      </c>
      <c r="B9445" t="s">
        <v>38</v>
      </c>
      <c r="C9445" t="s">
        <v>37</v>
      </c>
      <c r="D9445">
        <v>12</v>
      </c>
    </row>
    <row r="9446" spans="1:4" ht="15.75" customHeight="1">
      <c r="A9446" t="s">
        <v>3718</v>
      </c>
      <c r="B9446" t="s">
        <v>38</v>
      </c>
      <c r="C9446" t="s">
        <v>37</v>
      </c>
      <c r="D9446">
        <v>11</v>
      </c>
    </row>
    <row r="9447" spans="1:4" ht="15.75" customHeight="1">
      <c r="A9447" t="s">
        <v>511</v>
      </c>
      <c r="B9447" t="s">
        <v>38</v>
      </c>
      <c r="C9447" t="s">
        <v>37</v>
      </c>
      <c r="D9447">
        <v>11</v>
      </c>
    </row>
    <row r="9448" spans="1:4" ht="15.75" customHeight="1">
      <c r="A9448" t="s">
        <v>4797</v>
      </c>
      <c r="B9448" t="s">
        <v>38</v>
      </c>
      <c r="C9448" t="s">
        <v>37</v>
      </c>
      <c r="D9448">
        <v>10</v>
      </c>
    </row>
    <row r="9449" spans="1:4" ht="15.75" customHeight="1">
      <c r="A9449" t="s">
        <v>4775</v>
      </c>
      <c r="B9449" t="s">
        <v>38</v>
      </c>
      <c r="C9449" t="s">
        <v>37</v>
      </c>
      <c r="D9449">
        <v>10</v>
      </c>
    </row>
    <row r="9450" spans="1:4" ht="15.75" customHeight="1">
      <c r="A9450" t="s">
        <v>2102</v>
      </c>
      <c r="B9450" t="s">
        <v>38</v>
      </c>
      <c r="C9450" t="s">
        <v>37</v>
      </c>
      <c r="D9450">
        <v>10</v>
      </c>
    </row>
    <row r="9451" spans="1:4" ht="15.75" customHeight="1">
      <c r="A9451" t="s">
        <v>2783</v>
      </c>
      <c r="B9451" t="s">
        <v>38</v>
      </c>
      <c r="C9451" t="s">
        <v>37</v>
      </c>
      <c r="D9451">
        <v>10</v>
      </c>
    </row>
    <row r="9452" spans="1:4" ht="15.75" customHeight="1">
      <c r="A9452" t="s">
        <v>1295</v>
      </c>
      <c r="B9452" t="s">
        <v>38</v>
      </c>
      <c r="C9452" t="s">
        <v>37</v>
      </c>
      <c r="D9452">
        <v>10</v>
      </c>
    </row>
    <row r="9453" spans="1:4" ht="15.75" customHeight="1">
      <c r="A9453" t="s">
        <v>1337</v>
      </c>
      <c r="B9453" t="s">
        <v>38</v>
      </c>
      <c r="C9453" t="s">
        <v>37</v>
      </c>
      <c r="D9453">
        <v>9</v>
      </c>
    </row>
    <row r="9454" spans="1:4" ht="15.75" customHeight="1">
      <c r="A9454" t="s">
        <v>1264</v>
      </c>
      <c r="B9454" t="s">
        <v>38</v>
      </c>
      <c r="C9454" t="s">
        <v>37</v>
      </c>
      <c r="D9454">
        <v>9</v>
      </c>
    </row>
    <row r="9455" spans="1:4" ht="15.75" customHeight="1">
      <c r="A9455" t="s">
        <v>4829</v>
      </c>
      <c r="B9455" t="s">
        <v>38</v>
      </c>
      <c r="C9455" t="s">
        <v>37</v>
      </c>
      <c r="D9455">
        <v>9</v>
      </c>
    </row>
    <row r="9456" spans="1:4" ht="15.75" customHeight="1">
      <c r="A9456" t="s">
        <v>451</v>
      </c>
      <c r="B9456" t="s">
        <v>38</v>
      </c>
      <c r="C9456" t="s">
        <v>37</v>
      </c>
      <c r="D9456">
        <v>8</v>
      </c>
    </row>
    <row r="9457" spans="1:4" ht="15.75" customHeight="1">
      <c r="A9457" t="s">
        <v>544</v>
      </c>
      <c r="B9457" t="s">
        <v>38</v>
      </c>
      <c r="C9457" t="s">
        <v>37</v>
      </c>
      <c r="D9457">
        <v>8</v>
      </c>
    </row>
    <row r="9458" spans="1:4" ht="15.75" customHeight="1">
      <c r="A9458" t="s">
        <v>2196</v>
      </c>
      <c r="B9458" t="s">
        <v>38</v>
      </c>
      <c r="C9458" t="s">
        <v>37</v>
      </c>
      <c r="D9458">
        <v>7</v>
      </c>
    </row>
    <row r="9459" spans="1:4" ht="15.75" customHeight="1">
      <c r="A9459" t="s">
        <v>2684</v>
      </c>
      <c r="B9459" t="s">
        <v>38</v>
      </c>
      <c r="C9459" t="s">
        <v>37</v>
      </c>
      <c r="D9459">
        <v>7</v>
      </c>
    </row>
    <row r="9460" spans="1:4" ht="15.75" customHeight="1">
      <c r="A9460" t="s">
        <v>3168</v>
      </c>
      <c r="B9460" t="s">
        <v>38</v>
      </c>
      <c r="C9460" t="s">
        <v>37</v>
      </c>
      <c r="D9460">
        <v>7</v>
      </c>
    </row>
    <row r="9461" spans="1:4" ht="15.75" customHeight="1">
      <c r="A9461" t="s">
        <v>2718</v>
      </c>
      <c r="B9461" t="s">
        <v>38</v>
      </c>
      <c r="C9461" t="s">
        <v>37</v>
      </c>
      <c r="D9461">
        <v>7</v>
      </c>
    </row>
    <row r="9462" spans="1:4" ht="15.75" customHeight="1">
      <c r="A9462" t="s">
        <v>2227</v>
      </c>
      <c r="B9462" t="s">
        <v>38</v>
      </c>
      <c r="C9462" t="s">
        <v>37</v>
      </c>
      <c r="D9462">
        <v>7</v>
      </c>
    </row>
    <row r="9463" spans="1:4" ht="15.75" customHeight="1">
      <c r="A9463" t="s">
        <v>2829</v>
      </c>
      <c r="B9463" t="s">
        <v>38</v>
      </c>
      <c r="C9463" t="s">
        <v>37</v>
      </c>
      <c r="D9463">
        <v>7</v>
      </c>
    </row>
    <row r="9464" spans="1:4" ht="15.75" customHeight="1">
      <c r="A9464" t="s">
        <v>504</v>
      </c>
      <c r="B9464" t="s">
        <v>38</v>
      </c>
      <c r="C9464" t="s">
        <v>37</v>
      </c>
      <c r="D9464">
        <v>6</v>
      </c>
    </row>
    <row r="9465" spans="1:4" ht="15.75" customHeight="1">
      <c r="A9465" t="s">
        <v>2847</v>
      </c>
      <c r="B9465" t="s">
        <v>38</v>
      </c>
      <c r="C9465" t="s">
        <v>37</v>
      </c>
      <c r="D9465">
        <v>6</v>
      </c>
    </row>
    <row r="9466" spans="1:4" ht="15.75" customHeight="1">
      <c r="A9466" t="s">
        <v>2274</v>
      </c>
      <c r="B9466" t="s">
        <v>38</v>
      </c>
      <c r="C9466" t="s">
        <v>37</v>
      </c>
      <c r="D9466">
        <v>6</v>
      </c>
    </row>
    <row r="9467" spans="1:4" ht="15.75" customHeight="1">
      <c r="A9467" t="s">
        <v>1793</v>
      </c>
      <c r="B9467" t="s">
        <v>38</v>
      </c>
      <c r="C9467" t="s">
        <v>37</v>
      </c>
      <c r="D9467">
        <v>6</v>
      </c>
    </row>
    <row r="9468" spans="1:4" ht="15.75" customHeight="1">
      <c r="A9468" t="s">
        <v>2215</v>
      </c>
      <c r="B9468" t="s">
        <v>38</v>
      </c>
      <c r="C9468" t="s">
        <v>37</v>
      </c>
      <c r="D9468">
        <v>5</v>
      </c>
    </row>
    <row r="9469" spans="1:4" ht="15.75" customHeight="1">
      <c r="A9469" t="s">
        <v>2157</v>
      </c>
      <c r="B9469" t="s">
        <v>38</v>
      </c>
      <c r="C9469" t="s">
        <v>37</v>
      </c>
      <c r="D9469">
        <v>5</v>
      </c>
    </row>
    <row r="9470" spans="1:4" ht="15.75" customHeight="1">
      <c r="A9470" t="s">
        <v>557</v>
      </c>
      <c r="B9470" t="s">
        <v>38</v>
      </c>
      <c r="C9470" t="s">
        <v>37</v>
      </c>
      <c r="D9470">
        <v>5</v>
      </c>
    </row>
    <row r="9471" spans="1:4" ht="15.75" customHeight="1">
      <c r="A9471" t="s">
        <v>2799</v>
      </c>
      <c r="B9471" t="s">
        <v>38</v>
      </c>
      <c r="C9471" t="s">
        <v>37</v>
      </c>
      <c r="D9471">
        <v>5</v>
      </c>
    </row>
    <row r="9472" spans="1:4" ht="15.75" customHeight="1">
      <c r="A9472" t="s">
        <v>549</v>
      </c>
      <c r="B9472" t="s">
        <v>38</v>
      </c>
      <c r="C9472" t="s">
        <v>37</v>
      </c>
      <c r="D9472">
        <v>5</v>
      </c>
    </row>
    <row r="9473" spans="1:4" ht="15.75" customHeight="1">
      <c r="A9473" t="s">
        <v>4767</v>
      </c>
      <c r="B9473" t="s">
        <v>38</v>
      </c>
      <c r="C9473" t="s">
        <v>37</v>
      </c>
      <c r="D9473">
        <v>5</v>
      </c>
    </row>
    <row r="9474" spans="1:4" ht="15.75" customHeight="1">
      <c r="A9474" t="s">
        <v>3283</v>
      </c>
      <c r="B9474" t="s">
        <v>38</v>
      </c>
      <c r="C9474" t="s">
        <v>37</v>
      </c>
      <c r="D9474">
        <v>4</v>
      </c>
    </row>
    <row r="9475" spans="1:4" ht="15.75" customHeight="1">
      <c r="A9475" t="s">
        <v>3652</v>
      </c>
      <c r="B9475" t="s">
        <v>38</v>
      </c>
      <c r="C9475" t="s">
        <v>37</v>
      </c>
      <c r="D9475">
        <v>4</v>
      </c>
    </row>
    <row r="9476" spans="1:4" ht="15.75" customHeight="1">
      <c r="A9476" t="s">
        <v>2139</v>
      </c>
      <c r="B9476" t="s">
        <v>38</v>
      </c>
      <c r="C9476" t="s">
        <v>37</v>
      </c>
      <c r="D9476">
        <v>4</v>
      </c>
    </row>
    <row r="9477" spans="1:4" ht="15.75" customHeight="1">
      <c r="A9477" t="s">
        <v>3642</v>
      </c>
      <c r="B9477" t="s">
        <v>38</v>
      </c>
      <c r="C9477" t="s">
        <v>37</v>
      </c>
      <c r="D9477">
        <v>4</v>
      </c>
    </row>
    <row r="9478" spans="1:4" ht="15.75" customHeight="1">
      <c r="A9478" t="s">
        <v>4799</v>
      </c>
      <c r="B9478" t="s">
        <v>38</v>
      </c>
      <c r="C9478" t="s">
        <v>37</v>
      </c>
      <c r="D9478">
        <v>4</v>
      </c>
    </row>
    <row r="9479" spans="1:4" ht="15.75" customHeight="1">
      <c r="A9479" t="s">
        <v>3141</v>
      </c>
      <c r="B9479" t="s">
        <v>38</v>
      </c>
      <c r="C9479" t="s">
        <v>37</v>
      </c>
      <c r="D9479">
        <v>3</v>
      </c>
    </row>
    <row r="9480" spans="1:4" ht="15.75" customHeight="1">
      <c r="A9480" t="s">
        <v>4787</v>
      </c>
      <c r="B9480" t="s">
        <v>38</v>
      </c>
      <c r="C9480" t="s">
        <v>37</v>
      </c>
      <c r="D9480">
        <v>3</v>
      </c>
    </row>
    <row r="9481" spans="1:4" ht="15.75" customHeight="1">
      <c r="A9481" t="s">
        <v>2270</v>
      </c>
      <c r="B9481" t="s">
        <v>38</v>
      </c>
      <c r="C9481" t="s">
        <v>37</v>
      </c>
      <c r="D9481">
        <v>3</v>
      </c>
    </row>
    <row r="9482" spans="1:4" ht="15.75" customHeight="1">
      <c r="A9482" t="s">
        <v>561</v>
      </c>
      <c r="B9482" t="s">
        <v>38</v>
      </c>
      <c r="C9482" t="s">
        <v>37</v>
      </c>
      <c r="D9482">
        <v>3</v>
      </c>
    </row>
    <row r="9483" spans="1:4" ht="15.75" customHeight="1">
      <c r="A9483" t="s">
        <v>1287</v>
      </c>
      <c r="B9483" t="s">
        <v>38</v>
      </c>
      <c r="C9483" t="s">
        <v>37</v>
      </c>
      <c r="D9483">
        <v>3</v>
      </c>
    </row>
    <row r="9484" spans="1:4" ht="15.75" customHeight="1">
      <c r="A9484" t="s">
        <v>3306</v>
      </c>
      <c r="B9484" t="s">
        <v>38</v>
      </c>
      <c r="C9484" t="s">
        <v>37</v>
      </c>
      <c r="D9484">
        <v>3</v>
      </c>
    </row>
    <row r="9485" spans="1:4" ht="15.75" customHeight="1">
      <c r="A9485" t="s">
        <v>4369</v>
      </c>
      <c r="B9485" t="s">
        <v>38</v>
      </c>
      <c r="C9485" t="s">
        <v>37</v>
      </c>
      <c r="D9485">
        <v>3</v>
      </c>
    </row>
    <row r="9486" spans="1:4" ht="15.75" customHeight="1">
      <c r="A9486" t="s">
        <v>1244</v>
      </c>
      <c r="B9486" t="s">
        <v>38</v>
      </c>
      <c r="C9486" t="s">
        <v>37</v>
      </c>
      <c r="D9486">
        <v>2</v>
      </c>
    </row>
    <row r="9487" spans="1:4" ht="15.75" customHeight="1">
      <c r="A9487" t="s">
        <v>3285</v>
      </c>
      <c r="B9487" t="s">
        <v>38</v>
      </c>
      <c r="C9487" t="s">
        <v>37</v>
      </c>
      <c r="D9487">
        <v>2</v>
      </c>
    </row>
    <row r="9488" spans="1:4" ht="15.75" customHeight="1">
      <c r="A9488" t="s">
        <v>3287</v>
      </c>
      <c r="B9488" t="s">
        <v>38</v>
      </c>
      <c r="C9488" t="s">
        <v>37</v>
      </c>
      <c r="D9488">
        <v>2</v>
      </c>
    </row>
    <row r="9489" spans="1:4" ht="15.75" customHeight="1">
      <c r="A9489" t="s">
        <v>2213</v>
      </c>
      <c r="B9489" t="s">
        <v>38</v>
      </c>
      <c r="C9489" t="s">
        <v>37</v>
      </c>
      <c r="D9489">
        <v>2</v>
      </c>
    </row>
    <row r="9490" spans="1:4" ht="15.75" customHeight="1">
      <c r="A9490" t="s">
        <v>3605</v>
      </c>
      <c r="B9490" t="s">
        <v>38</v>
      </c>
      <c r="C9490" t="s">
        <v>37</v>
      </c>
      <c r="D9490">
        <v>2</v>
      </c>
    </row>
    <row r="9491" spans="1:4" ht="15.75" customHeight="1">
      <c r="A9491" t="s">
        <v>491</v>
      </c>
      <c r="B9491" t="s">
        <v>38</v>
      </c>
      <c r="C9491" t="s">
        <v>37</v>
      </c>
      <c r="D9491">
        <v>2</v>
      </c>
    </row>
    <row r="9492" spans="1:4" ht="15.75" customHeight="1">
      <c r="A9492" t="s">
        <v>2141</v>
      </c>
      <c r="B9492" t="s">
        <v>38</v>
      </c>
      <c r="C9492" t="s">
        <v>37</v>
      </c>
      <c r="D9492">
        <v>2</v>
      </c>
    </row>
    <row r="9493" spans="1:4" ht="15.75" customHeight="1">
      <c r="A9493" t="s">
        <v>2812</v>
      </c>
      <c r="B9493" t="s">
        <v>38</v>
      </c>
      <c r="C9493" t="s">
        <v>37</v>
      </c>
      <c r="D9493">
        <v>2</v>
      </c>
    </row>
    <row r="9494" spans="1:4" ht="15.75" customHeight="1">
      <c r="A9494" t="s">
        <v>2815</v>
      </c>
      <c r="B9494" t="s">
        <v>38</v>
      </c>
      <c r="C9494" t="s">
        <v>37</v>
      </c>
      <c r="D9494">
        <v>2</v>
      </c>
    </row>
    <row r="9495" spans="1:4" ht="15.75" customHeight="1">
      <c r="A9495" t="s">
        <v>2825</v>
      </c>
      <c r="B9495" t="s">
        <v>38</v>
      </c>
      <c r="C9495" t="s">
        <v>37</v>
      </c>
      <c r="D9495">
        <v>2</v>
      </c>
    </row>
    <row r="9496" spans="1:4" ht="15.75" customHeight="1">
      <c r="A9496" t="s">
        <v>1289</v>
      </c>
      <c r="B9496" t="s">
        <v>38</v>
      </c>
      <c r="C9496" t="s">
        <v>37</v>
      </c>
      <c r="D9496">
        <v>2</v>
      </c>
    </row>
    <row r="9497" spans="1:4" ht="15.75" customHeight="1">
      <c r="A9497" t="s">
        <v>613</v>
      </c>
      <c r="B9497" t="s">
        <v>38</v>
      </c>
      <c r="C9497" t="s">
        <v>37</v>
      </c>
      <c r="D9497">
        <v>2</v>
      </c>
    </row>
    <row r="9498" spans="1:4" ht="15.75" customHeight="1">
      <c r="A9498" t="s">
        <v>1281</v>
      </c>
      <c r="B9498" t="s">
        <v>38</v>
      </c>
      <c r="C9498" t="s">
        <v>37</v>
      </c>
      <c r="D9498">
        <v>1</v>
      </c>
    </row>
    <row r="9499" spans="1:4" ht="15.75" customHeight="1">
      <c r="A9499" t="s">
        <v>2160</v>
      </c>
      <c r="B9499" t="s">
        <v>38</v>
      </c>
      <c r="C9499" t="s">
        <v>37</v>
      </c>
      <c r="D9499">
        <v>1</v>
      </c>
    </row>
    <row r="9500" spans="1:4" ht="15.75" customHeight="1">
      <c r="A9500" t="s">
        <v>554</v>
      </c>
      <c r="B9500" t="s">
        <v>38</v>
      </c>
      <c r="C9500" t="s">
        <v>37</v>
      </c>
      <c r="D9500">
        <v>1</v>
      </c>
    </row>
    <row r="9501" spans="1:4" ht="15.75" customHeight="1">
      <c r="A9501" t="s">
        <v>454</v>
      </c>
      <c r="B9501" t="s">
        <v>38</v>
      </c>
      <c r="C9501" t="s">
        <v>37</v>
      </c>
      <c r="D9501">
        <v>1</v>
      </c>
    </row>
    <row r="9502" spans="1:4" ht="15.75" customHeight="1">
      <c r="A9502" t="s">
        <v>2108</v>
      </c>
      <c r="B9502" t="s">
        <v>38</v>
      </c>
      <c r="C9502" t="s">
        <v>37</v>
      </c>
      <c r="D9502">
        <v>1</v>
      </c>
    </row>
    <row r="9503" spans="1:4" ht="15.75" customHeight="1">
      <c r="A9503" t="s">
        <v>2819</v>
      </c>
      <c r="B9503" t="s">
        <v>38</v>
      </c>
      <c r="C9503" t="s">
        <v>37</v>
      </c>
      <c r="D9503">
        <v>1</v>
      </c>
    </row>
    <row r="9504" spans="1:4" ht="15.75" customHeight="1">
      <c r="A9504" t="s">
        <v>2659</v>
      </c>
      <c r="B9504" t="s">
        <v>38</v>
      </c>
      <c r="C9504" t="s">
        <v>37</v>
      </c>
      <c r="D9504">
        <v>1</v>
      </c>
    </row>
    <row r="9505" spans="1:4" ht="15.75" customHeight="1">
      <c r="A9505" t="s">
        <v>3595</v>
      </c>
      <c r="B9505" t="s">
        <v>38</v>
      </c>
      <c r="C9505" t="s">
        <v>37</v>
      </c>
      <c r="D9505">
        <v>1</v>
      </c>
    </row>
    <row r="9506" spans="1:4" ht="15.75" customHeight="1">
      <c r="A9506" t="s">
        <v>709</v>
      </c>
      <c r="B9506" t="s">
        <v>37</v>
      </c>
      <c r="C9506" t="s">
        <v>24</v>
      </c>
      <c r="D9506">
        <v>10</v>
      </c>
    </row>
    <row r="9507" spans="1:4" ht="15.75" customHeight="1">
      <c r="A9507" t="s">
        <v>727</v>
      </c>
      <c r="B9507" t="s">
        <v>37</v>
      </c>
      <c r="C9507" t="s">
        <v>24</v>
      </c>
      <c r="D9507">
        <v>10</v>
      </c>
    </row>
    <row r="9508" spans="1:4" ht="15.75" customHeight="1">
      <c r="A9508" t="s">
        <v>761</v>
      </c>
      <c r="B9508" t="s">
        <v>37</v>
      </c>
      <c r="C9508" t="s">
        <v>24</v>
      </c>
      <c r="D9508">
        <v>10</v>
      </c>
    </row>
    <row r="9509" spans="1:4" ht="15.75" customHeight="1">
      <c r="A9509" t="s">
        <v>738</v>
      </c>
      <c r="B9509" t="s">
        <v>37</v>
      </c>
      <c r="C9509" t="s">
        <v>24</v>
      </c>
      <c r="D9509">
        <v>10</v>
      </c>
    </row>
    <row r="9510" spans="1:4" ht="15.75" customHeight="1">
      <c r="A9510" t="s">
        <v>719</v>
      </c>
      <c r="B9510" t="s">
        <v>37</v>
      </c>
      <c r="C9510" t="s">
        <v>24</v>
      </c>
      <c r="D9510">
        <v>9</v>
      </c>
    </row>
    <row r="9511" spans="1:4" ht="15.75" customHeight="1">
      <c r="A9511" t="s">
        <v>721</v>
      </c>
      <c r="B9511" t="s">
        <v>37</v>
      </c>
      <c r="C9511" t="s">
        <v>24</v>
      </c>
      <c r="D9511">
        <v>9</v>
      </c>
    </row>
    <row r="9512" spans="1:4" ht="15.75" customHeight="1">
      <c r="A9512" t="s">
        <v>734</v>
      </c>
      <c r="B9512" t="s">
        <v>37</v>
      </c>
      <c r="C9512" t="s">
        <v>24</v>
      </c>
      <c r="D9512">
        <v>9</v>
      </c>
    </row>
    <row r="9513" spans="1:4" ht="15.75" customHeight="1">
      <c r="A9513" t="s">
        <v>822</v>
      </c>
      <c r="B9513" t="s">
        <v>37</v>
      </c>
      <c r="C9513" t="s">
        <v>24</v>
      </c>
      <c r="D9513">
        <v>9</v>
      </c>
    </row>
    <row r="9514" spans="1:4" ht="15.75" customHeight="1">
      <c r="A9514" t="s">
        <v>800</v>
      </c>
      <c r="B9514" t="s">
        <v>37</v>
      </c>
      <c r="C9514" t="s">
        <v>24</v>
      </c>
      <c r="D9514">
        <v>9</v>
      </c>
    </row>
    <row r="9515" spans="1:4" ht="15.75" customHeight="1">
      <c r="A9515" t="s">
        <v>724</v>
      </c>
      <c r="B9515" t="s">
        <v>37</v>
      </c>
      <c r="C9515" t="s">
        <v>24</v>
      </c>
      <c r="D9515">
        <v>9</v>
      </c>
    </row>
    <row r="9516" spans="1:4" ht="15.75" customHeight="1">
      <c r="A9516" t="s">
        <v>837</v>
      </c>
      <c r="B9516" t="s">
        <v>37</v>
      </c>
      <c r="C9516" t="s">
        <v>24</v>
      </c>
      <c r="D9516">
        <v>8</v>
      </c>
    </row>
    <row r="9517" spans="1:4" ht="15.75" customHeight="1">
      <c r="A9517" t="s">
        <v>1471</v>
      </c>
      <c r="B9517" t="s">
        <v>37</v>
      </c>
      <c r="C9517" t="s">
        <v>24</v>
      </c>
      <c r="D9517">
        <v>8</v>
      </c>
    </row>
    <row r="9518" spans="1:4" ht="15.75" customHeight="1">
      <c r="A9518" t="s">
        <v>751</v>
      </c>
      <c r="B9518" t="s">
        <v>37</v>
      </c>
      <c r="C9518" t="s">
        <v>24</v>
      </c>
      <c r="D9518">
        <v>8</v>
      </c>
    </row>
    <row r="9519" spans="1:4" ht="15.75" customHeight="1">
      <c r="A9519" t="s">
        <v>891</v>
      </c>
      <c r="B9519" t="s">
        <v>37</v>
      </c>
      <c r="C9519" t="s">
        <v>24</v>
      </c>
      <c r="D9519">
        <v>8</v>
      </c>
    </row>
    <row r="9520" spans="1:4" ht="15.75" customHeight="1">
      <c r="A9520" t="s">
        <v>712</v>
      </c>
      <c r="B9520" t="s">
        <v>37</v>
      </c>
      <c r="C9520" t="s">
        <v>24</v>
      </c>
      <c r="D9520">
        <v>8</v>
      </c>
    </row>
    <row r="9521" spans="1:4" ht="15.75" customHeight="1">
      <c r="A9521" t="s">
        <v>1492</v>
      </c>
      <c r="B9521" t="s">
        <v>37</v>
      </c>
      <c r="C9521" t="s">
        <v>24</v>
      </c>
      <c r="D9521">
        <v>8</v>
      </c>
    </row>
    <row r="9522" spans="1:4" ht="15.75" customHeight="1">
      <c r="A9522" t="s">
        <v>1461</v>
      </c>
      <c r="B9522" t="s">
        <v>37</v>
      </c>
      <c r="C9522" t="s">
        <v>24</v>
      </c>
      <c r="D9522">
        <v>7</v>
      </c>
    </row>
    <row r="9523" spans="1:4" ht="15.75" customHeight="1">
      <c r="A9523" t="s">
        <v>804</v>
      </c>
      <c r="B9523" t="s">
        <v>37</v>
      </c>
      <c r="C9523" t="s">
        <v>24</v>
      </c>
      <c r="D9523">
        <v>7</v>
      </c>
    </row>
    <row r="9524" spans="1:4" ht="15.75" customHeight="1">
      <c r="A9524" t="s">
        <v>754</v>
      </c>
      <c r="B9524" t="s">
        <v>37</v>
      </c>
      <c r="C9524" t="s">
        <v>24</v>
      </c>
      <c r="D9524">
        <v>7</v>
      </c>
    </row>
    <row r="9525" spans="1:4" ht="15.75" customHeight="1">
      <c r="A9525" t="s">
        <v>792</v>
      </c>
      <c r="B9525" t="s">
        <v>37</v>
      </c>
      <c r="C9525" t="s">
        <v>24</v>
      </c>
      <c r="D9525">
        <v>7</v>
      </c>
    </row>
    <row r="9526" spans="1:4" ht="15.75" customHeight="1">
      <c r="A9526" t="s">
        <v>1455</v>
      </c>
      <c r="B9526" t="s">
        <v>37</v>
      </c>
      <c r="C9526" t="s">
        <v>24</v>
      </c>
      <c r="D9526">
        <v>7</v>
      </c>
    </row>
    <row r="9527" spans="1:4" ht="15.75" customHeight="1">
      <c r="A9527" t="s">
        <v>826</v>
      </c>
      <c r="B9527" t="s">
        <v>37</v>
      </c>
      <c r="C9527" t="s">
        <v>24</v>
      </c>
      <c r="D9527">
        <v>7</v>
      </c>
    </row>
    <row r="9528" spans="1:4" ht="15.75" customHeight="1">
      <c r="A9528" t="s">
        <v>769</v>
      </c>
      <c r="B9528" t="s">
        <v>37</v>
      </c>
      <c r="C9528" t="s">
        <v>24</v>
      </c>
      <c r="D9528">
        <v>7</v>
      </c>
    </row>
    <row r="9529" spans="1:4" ht="15.75" customHeight="1">
      <c r="A9529" t="s">
        <v>802</v>
      </c>
      <c r="B9529" t="s">
        <v>37</v>
      </c>
      <c r="C9529" t="s">
        <v>24</v>
      </c>
      <c r="D9529">
        <v>7</v>
      </c>
    </row>
    <row r="9530" spans="1:4" ht="15.75" customHeight="1">
      <c r="A9530" t="s">
        <v>736</v>
      </c>
      <c r="B9530" t="s">
        <v>37</v>
      </c>
      <c r="C9530" t="s">
        <v>24</v>
      </c>
      <c r="D9530">
        <v>7</v>
      </c>
    </row>
    <row r="9531" spans="1:4" ht="15.75" customHeight="1">
      <c r="A9531" t="s">
        <v>812</v>
      </c>
      <c r="B9531" t="s">
        <v>37</v>
      </c>
      <c r="C9531" t="s">
        <v>24</v>
      </c>
      <c r="D9531">
        <v>7</v>
      </c>
    </row>
    <row r="9532" spans="1:4" ht="15.75" customHeight="1">
      <c r="A9532" t="s">
        <v>814</v>
      </c>
      <c r="B9532" t="s">
        <v>37</v>
      </c>
      <c r="C9532" t="s">
        <v>24</v>
      </c>
      <c r="D9532">
        <v>6</v>
      </c>
    </row>
    <row r="9533" spans="1:4" ht="15.75" customHeight="1">
      <c r="A9533" t="s">
        <v>840</v>
      </c>
      <c r="B9533" t="s">
        <v>37</v>
      </c>
      <c r="C9533" t="s">
        <v>24</v>
      </c>
      <c r="D9533">
        <v>6</v>
      </c>
    </row>
    <row r="9534" spans="1:4" ht="15.75" customHeight="1">
      <c r="A9534" t="s">
        <v>824</v>
      </c>
      <c r="B9534" t="s">
        <v>37</v>
      </c>
      <c r="C9534" t="s">
        <v>24</v>
      </c>
      <c r="D9534">
        <v>6</v>
      </c>
    </row>
    <row r="9535" spans="1:4" ht="15.75" customHeight="1">
      <c r="A9535" t="s">
        <v>778</v>
      </c>
      <c r="B9535" t="s">
        <v>37</v>
      </c>
      <c r="C9535" t="s">
        <v>24</v>
      </c>
      <c r="D9535">
        <v>6</v>
      </c>
    </row>
    <row r="9536" spans="1:4" ht="15.75" customHeight="1">
      <c r="A9536" t="s">
        <v>765</v>
      </c>
      <c r="B9536" t="s">
        <v>37</v>
      </c>
      <c r="C9536" t="s">
        <v>24</v>
      </c>
      <c r="D9536">
        <v>6</v>
      </c>
    </row>
    <row r="9537" spans="1:4" ht="15.75" customHeight="1">
      <c r="A9537" t="s">
        <v>1473</v>
      </c>
      <c r="B9537" t="s">
        <v>37</v>
      </c>
      <c r="C9537" t="s">
        <v>24</v>
      </c>
      <c r="D9537">
        <v>6</v>
      </c>
    </row>
    <row r="9538" spans="1:4" ht="15.75" customHeight="1">
      <c r="A9538" t="s">
        <v>732</v>
      </c>
      <c r="B9538" t="s">
        <v>37</v>
      </c>
      <c r="C9538" t="s">
        <v>24</v>
      </c>
      <c r="D9538">
        <v>6</v>
      </c>
    </row>
    <row r="9539" spans="1:4" ht="15.75" customHeight="1">
      <c r="A9539" t="s">
        <v>776</v>
      </c>
      <c r="B9539" t="s">
        <v>37</v>
      </c>
      <c r="C9539" t="s">
        <v>24</v>
      </c>
      <c r="D9539">
        <v>6</v>
      </c>
    </row>
    <row r="9540" spans="1:4" ht="15.75" customHeight="1">
      <c r="A9540" t="s">
        <v>828</v>
      </c>
      <c r="B9540" t="s">
        <v>37</v>
      </c>
      <c r="C9540" t="s">
        <v>24</v>
      </c>
      <c r="D9540">
        <v>6</v>
      </c>
    </row>
    <row r="9541" spans="1:4" ht="15.75" customHeight="1">
      <c r="A9541" t="s">
        <v>784</v>
      </c>
      <c r="B9541" t="s">
        <v>37</v>
      </c>
      <c r="C9541" t="s">
        <v>24</v>
      </c>
      <c r="D9541">
        <v>6</v>
      </c>
    </row>
    <row r="9542" spans="1:4" ht="15.75" customHeight="1">
      <c r="A9542" t="s">
        <v>887</v>
      </c>
      <c r="B9542" t="s">
        <v>37</v>
      </c>
      <c r="C9542" t="s">
        <v>24</v>
      </c>
      <c r="D9542">
        <v>5</v>
      </c>
    </row>
    <row r="9543" spans="1:4" ht="15.75" customHeight="1">
      <c r="A9543" t="s">
        <v>842</v>
      </c>
      <c r="B9543" t="s">
        <v>37</v>
      </c>
      <c r="C9543" t="s">
        <v>24</v>
      </c>
      <c r="D9543">
        <v>5</v>
      </c>
    </row>
    <row r="9544" spans="1:4" ht="15.75" customHeight="1">
      <c r="A9544" t="s">
        <v>909</v>
      </c>
      <c r="B9544" t="s">
        <v>37</v>
      </c>
      <c r="C9544" t="s">
        <v>24</v>
      </c>
      <c r="D9544">
        <v>5</v>
      </c>
    </row>
    <row r="9545" spans="1:4" ht="15.75" customHeight="1">
      <c r="A9545" t="s">
        <v>816</v>
      </c>
      <c r="B9545" t="s">
        <v>37</v>
      </c>
      <c r="C9545" t="s">
        <v>24</v>
      </c>
      <c r="D9545">
        <v>5</v>
      </c>
    </row>
    <row r="9546" spans="1:4" ht="15.75" customHeight="1">
      <c r="A9546" t="s">
        <v>790</v>
      </c>
      <c r="B9546" t="s">
        <v>37</v>
      </c>
      <c r="C9546" t="s">
        <v>24</v>
      </c>
      <c r="D9546">
        <v>5</v>
      </c>
    </row>
    <row r="9547" spans="1:4" ht="15.75" customHeight="1">
      <c r="A9547" t="s">
        <v>1557</v>
      </c>
      <c r="B9547" t="s">
        <v>37</v>
      </c>
      <c r="C9547" t="s">
        <v>24</v>
      </c>
      <c r="D9547">
        <v>5</v>
      </c>
    </row>
    <row r="9548" spans="1:4" ht="15.75" customHeight="1">
      <c r="A9548" t="s">
        <v>1535</v>
      </c>
      <c r="B9548" t="s">
        <v>37</v>
      </c>
      <c r="C9548" t="s">
        <v>24</v>
      </c>
      <c r="D9548">
        <v>5</v>
      </c>
    </row>
    <row r="9549" spans="1:4" ht="15.75" customHeight="1">
      <c r="A9549" t="s">
        <v>1537</v>
      </c>
      <c r="B9549" t="s">
        <v>37</v>
      </c>
      <c r="C9549" t="s">
        <v>24</v>
      </c>
      <c r="D9549">
        <v>5</v>
      </c>
    </row>
    <row r="9550" spans="1:4" ht="15.75" customHeight="1">
      <c r="A9550" t="s">
        <v>796</v>
      </c>
      <c r="B9550" t="s">
        <v>37</v>
      </c>
      <c r="C9550" t="s">
        <v>24</v>
      </c>
      <c r="D9550">
        <v>5</v>
      </c>
    </row>
    <row r="9551" spans="1:4" ht="15.75" customHeight="1">
      <c r="A9551" t="s">
        <v>835</v>
      </c>
      <c r="B9551" t="s">
        <v>37</v>
      </c>
      <c r="C9551" t="s">
        <v>24</v>
      </c>
      <c r="D9551">
        <v>5</v>
      </c>
    </row>
    <row r="9552" spans="1:4" ht="15.75" customHeight="1">
      <c r="A9552" t="s">
        <v>1519</v>
      </c>
      <c r="B9552" t="s">
        <v>37</v>
      </c>
      <c r="C9552" t="s">
        <v>24</v>
      </c>
      <c r="D9552">
        <v>5</v>
      </c>
    </row>
    <row r="9553" spans="1:4" ht="15.75" customHeight="1">
      <c r="A9553" t="s">
        <v>820</v>
      </c>
      <c r="B9553" t="s">
        <v>37</v>
      </c>
      <c r="C9553" t="s">
        <v>24</v>
      </c>
      <c r="D9553">
        <v>4</v>
      </c>
    </row>
    <row r="9554" spans="1:4" ht="15.75" customHeight="1">
      <c r="A9554" t="s">
        <v>1563</v>
      </c>
      <c r="B9554" t="s">
        <v>37</v>
      </c>
      <c r="C9554" t="s">
        <v>24</v>
      </c>
      <c r="D9554">
        <v>4</v>
      </c>
    </row>
    <row r="9555" spans="1:4" ht="15.75" customHeight="1">
      <c r="A9555" t="s">
        <v>889</v>
      </c>
      <c r="B9555" t="s">
        <v>37</v>
      </c>
      <c r="C9555" t="s">
        <v>24</v>
      </c>
      <c r="D9555">
        <v>4</v>
      </c>
    </row>
    <row r="9556" spans="1:4" ht="15.75" customHeight="1">
      <c r="A9556" t="s">
        <v>1503</v>
      </c>
      <c r="B9556" t="s">
        <v>37</v>
      </c>
      <c r="C9556" t="s">
        <v>24</v>
      </c>
      <c r="D9556">
        <v>4</v>
      </c>
    </row>
    <row r="9557" spans="1:4" ht="15.75" customHeight="1">
      <c r="A9557" t="s">
        <v>1479</v>
      </c>
      <c r="B9557" t="s">
        <v>37</v>
      </c>
      <c r="C9557" t="s">
        <v>24</v>
      </c>
      <c r="D9557">
        <v>4</v>
      </c>
    </row>
    <row r="9558" spans="1:4" ht="15.75" customHeight="1">
      <c r="A9558" t="s">
        <v>893</v>
      </c>
      <c r="B9558" t="s">
        <v>37</v>
      </c>
      <c r="C9558" t="s">
        <v>24</v>
      </c>
      <c r="D9558">
        <v>4</v>
      </c>
    </row>
    <row r="9559" spans="1:4" ht="15.75" customHeight="1">
      <c r="A9559" t="s">
        <v>740</v>
      </c>
      <c r="B9559" t="s">
        <v>37</v>
      </c>
      <c r="C9559" t="s">
        <v>24</v>
      </c>
      <c r="D9559">
        <v>4</v>
      </c>
    </row>
    <row r="9560" spans="1:4" ht="15.75" customHeight="1">
      <c r="A9560" t="s">
        <v>2339</v>
      </c>
      <c r="B9560" t="s">
        <v>37</v>
      </c>
      <c r="C9560" t="s">
        <v>24</v>
      </c>
      <c r="D9560">
        <v>4</v>
      </c>
    </row>
    <row r="9561" spans="1:4" ht="15.75" customHeight="1">
      <c r="A9561" t="s">
        <v>2902</v>
      </c>
      <c r="B9561" t="s">
        <v>37</v>
      </c>
      <c r="C9561" t="s">
        <v>24</v>
      </c>
      <c r="D9561">
        <v>4</v>
      </c>
    </row>
    <row r="9562" spans="1:4" ht="15.75" customHeight="1">
      <c r="A9562" t="s">
        <v>899</v>
      </c>
      <c r="B9562" t="s">
        <v>37</v>
      </c>
      <c r="C9562" t="s">
        <v>24</v>
      </c>
      <c r="D9562">
        <v>4</v>
      </c>
    </row>
    <row r="9563" spans="1:4" ht="15.75" customHeight="1">
      <c r="A9563" t="s">
        <v>782</v>
      </c>
      <c r="B9563" t="s">
        <v>37</v>
      </c>
      <c r="C9563" t="s">
        <v>24</v>
      </c>
      <c r="D9563">
        <v>4</v>
      </c>
    </row>
    <row r="9564" spans="1:4" ht="15.75" customHeight="1">
      <c r="A9564" t="s">
        <v>2325</v>
      </c>
      <c r="B9564" t="s">
        <v>37</v>
      </c>
      <c r="C9564" t="s">
        <v>24</v>
      </c>
      <c r="D9564">
        <v>4</v>
      </c>
    </row>
    <row r="9565" spans="1:4" ht="15.75" customHeight="1">
      <c r="A9565" t="s">
        <v>917</v>
      </c>
      <c r="B9565" t="s">
        <v>37</v>
      </c>
      <c r="C9565" t="s">
        <v>24</v>
      </c>
      <c r="D9565">
        <v>4</v>
      </c>
    </row>
    <row r="9566" spans="1:4" ht="15.75" customHeight="1">
      <c r="A9566" t="s">
        <v>863</v>
      </c>
      <c r="B9566" t="s">
        <v>37</v>
      </c>
      <c r="C9566" t="s">
        <v>24</v>
      </c>
      <c r="D9566">
        <v>4</v>
      </c>
    </row>
    <row r="9567" spans="1:4" ht="15.75" customHeight="1">
      <c r="A9567" t="s">
        <v>883</v>
      </c>
      <c r="B9567" t="s">
        <v>37</v>
      </c>
      <c r="C9567" t="s">
        <v>24</v>
      </c>
      <c r="D9567">
        <v>4</v>
      </c>
    </row>
    <row r="9568" spans="1:4" ht="15.75" customHeight="1">
      <c r="A9568" t="s">
        <v>831</v>
      </c>
      <c r="B9568" t="s">
        <v>37</v>
      </c>
      <c r="C9568" t="s">
        <v>24</v>
      </c>
      <c r="D9568">
        <v>4</v>
      </c>
    </row>
    <row r="9569" spans="1:4" ht="15.75" customHeight="1">
      <c r="A9569" t="s">
        <v>2365</v>
      </c>
      <c r="B9569" t="s">
        <v>37</v>
      </c>
      <c r="C9569" t="s">
        <v>24</v>
      </c>
      <c r="D9569">
        <v>4</v>
      </c>
    </row>
    <row r="9570" spans="1:4" ht="15.75" customHeight="1">
      <c r="A9570" t="s">
        <v>2367</v>
      </c>
      <c r="B9570" t="s">
        <v>37</v>
      </c>
      <c r="C9570" t="s">
        <v>24</v>
      </c>
      <c r="D9570">
        <v>4</v>
      </c>
    </row>
    <row r="9571" spans="1:4" ht="15.75" customHeight="1">
      <c r="A9571" t="s">
        <v>877</v>
      </c>
      <c r="B9571" t="s">
        <v>37</v>
      </c>
      <c r="C9571" t="s">
        <v>24</v>
      </c>
      <c r="D9571">
        <v>3</v>
      </c>
    </row>
    <row r="9572" spans="1:4" ht="15.75" customHeight="1">
      <c r="A9572" t="s">
        <v>2345</v>
      </c>
      <c r="B9572" t="s">
        <v>37</v>
      </c>
      <c r="C9572" t="s">
        <v>24</v>
      </c>
      <c r="D9572">
        <v>3</v>
      </c>
    </row>
    <row r="9573" spans="1:4" ht="15.75" customHeight="1">
      <c r="A9573" t="s">
        <v>2329</v>
      </c>
      <c r="B9573" t="s">
        <v>37</v>
      </c>
      <c r="C9573" t="s">
        <v>24</v>
      </c>
      <c r="D9573">
        <v>3</v>
      </c>
    </row>
    <row r="9574" spans="1:4" ht="15.75" customHeight="1">
      <c r="A9574" t="s">
        <v>2908</v>
      </c>
      <c r="B9574" t="s">
        <v>37</v>
      </c>
      <c r="C9574" t="s">
        <v>24</v>
      </c>
      <c r="D9574">
        <v>3</v>
      </c>
    </row>
    <row r="9575" spans="1:4" ht="15.75" customHeight="1">
      <c r="A9575" t="s">
        <v>2315</v>
      </c>
      <c r="B9575" t="s">
        <v>37</v>
      </c>
      <c r="C9575" t="s">
        <v>24</v>
      </c>
      <c r="D9575">
        <v>3</v>
      </c>
    </row>
    <row r="9576" spans="1:4" ht="15.75" customHeight="1">
      <c r="A9576" t="s">
        <v>756</v>
      </c>
      <c r="B9576" t="s">
        <v>37</v>
      </c>
      <c r="C9576" t="s">
        <v>24</v>
      </c>
      <c r="D9576">
        <v>3</v>
      </c>
    </row>
    <row r="9577" spans="1:4" ht="15.75" customHeight="1">
      <c r="A9577" t="s">
        <v>2940</v>
      </c>
      <c r="B9577" t="s">
        <v>37</v>
      </c>
      <c r="C9577" t="s">
        <v>24</v>
      </c>
      <c r="D9577">
        <v>3</v>
      </c>
    </row>
    <row r="9578" spans="1:4" ht="15.75" customHeight="1">
      <c r="A9578" t="s">
        <v>1521</v>
      </c>
      <c r="B9578" t="s">
        <v>37</v>
      </c>
      <c r="C9578" t="s">
        <v>24</v>
      </c>
      <c r="D9578">
        <v>3</v>
      </c>
    </row>
    <row r="9579" spans="1:4" ht="15.75" customHeight="1">
      <c r="A9579" t="s">
        <v>1523</v>
      </c>
      <c r="B9579" t="s">
        <v>37</v>
      </c>
      <c r="C9579" t="s">
        <v>24</v>
      </c>
      <c r="D9579">
        <v>3</v>
      </c>
    </row>
    <row r="9580" spans="1:4" ht="15.75" customHeight="1">
      <c r="A9580" t="s">
        <v>855</v>
      </c>
      <c r="B9580" t="s">
        <v>37</v>
      </c>
      <c r="C9580" t="s">
        <v>24</v>
      </c>
      <c r="D9580">
        <v>3</v>
      </c>
    </row>
    <row r="9581" spans="1:4" ht="15.75" customHeight="1">
      <c r="A9581" t="s">
        <v>2353</v>
      </c>
      <c r="B9581" t="s">
        <v>37</v>
      </c>
      <c r="C9581" t="s">
        <v>24</v>
      </c>
      <c r="D9581">
        <v>3</v>
      </c>
    </row>
    <row r="9582" spans="1:4" ht="15.75" customHeight="1">
      <c r="A9582" t="s">
        <v>806</v>
      </c>
      <c r="B9582" t="s">
        <v>37</v>
      </c>
      <c r="C9582" t="s">
        <v>24</v>
      </c>
      <c r="D9582">
        <v>3</v>
      </c>
    </row>
    <row r="9583" spans="1:4" ht="15.75" customHeight="1">
      <c r="A9583" t="s">
        <v>2894</v>
      </c>
      <c r="B9583" t="s">
        <v>37</v>
      </c>
      <c r="C9583" t="s">
        <v>24</v>
      </c>
      <c r="D9583">
        <v>3</v>
      </c>
    </row>
    <row r="9584" spans="1:4" ht="15.75" customHeight="1">
      <c r="A9584" t="s">
        <v>2926</v>
      </c>
      <c r="B9584" t="s">
        <v>37</v>
      </c>
      <c r="C9584" t="s">
        <v>24</v>
      </c>
      <c r="D9584">
        <v>3</v>
      </c>
    </row>
    <row r="9585" spans="1:4" ht="15.75" customHeight="1">
      <c r="A9585" t="s">
        <v>808</v>
      </c>
      <c r="B9585" t="s">
        <v>37</v>
      </c>
      <c r="C9585" t="s">
        <v>24</v>
      </c>
      <c r="D9585">
        <v>3</v>
      </c>
    </row>
    <row r="9586" spans="1:4" ht="15.75" customHeight="1">
      <c r="A9586" t="s">
        <v>1819</v>
      </c>
      <c r="B9586" t="s">
        <v>37</v>
      </c>
      <c r="C9586" t="s">
        <v>24</v>
      </c>
      <c r="D9586">
        <v>3</v>
      </c>
    </row>
    <row r="9587" spans="1:4" ht="15.75" customHeight="1">
      <c r="A9587" t="s">
        <v>1481</v>
      </c>
      <c r="B9587" t="s">
        <v>37</v>
      </c>
      <c r="C9587" t="s">
        <v>24</v>
      </c>
      <c r="D9587">
        <v>3</v>
      </c>
    </row>
    <row r="9588" spans="1:4" ht="15.75" customHeight="1">
      <c r="A9588" t="s">
        <v>4182</v>
      </c>
      <c r="B9588" t="s">
        <v>37</v>
      </c>
      <c r="C9588" t="s">
        <v>24</v>
      </c>
      <c r="D9588">
        <v>3</v>
      </c>
    </row>
    <row r="9589" spans="1:4" ht="15.75" customHeight="1">
      <c r="A9589" t="s">
        <v>774</v>
      </c>
      <c r="B9589" t="s">
        <v>37</v>
      </c>
      <c r="C9589" t="s">
        <v>24</v>
      </c>
      <c r="D9589">
        <v>3</v>
      </c>
    </row>
    <row r="9590" spans="1:4" ht="15.75" customHeight="1">
      <c r="A9590" t="s">
        <v>2313</v>
      </c>
      <c r="B9590" t="s">
        <v>37</v>
      </c>
      <c r="C9590" t="s">
        <v>24</v>
      </c>
      <c r="D9590">
        <v>3</v>
      </c>
    </row>
    <row r="9591" spans="1:4" ht="15.75" customHeight="1">
      <c r="A9591" t="s">
        <v>1511</v>
      </c>
      <c r="B9591" t="s">
        <v>37</v>
      </c>
      <c r="C9591" t="s">
        <v>24</v>
      </c>
      <c r="D9591">
        <v>3</v>
      </c>
    </row>
    <row r="9592" spans="1:4" ht="15.75" customHeight="1">
      <c r="A9592" t="s">
        <v>1799</v>
      </c>
      <c r="B9592" t="s">
        <v>37</v>
      </c>
      <c r="C9592" t="s">
        <v>24</v>
      </c>
      <c r="D9592">
        <v>3</v>
      </c>
    </row>
    <row r="9593" spans="1:4" ht="15.75" customHeight="1">
      <c r="A9593" t="s">
        <v>2361</v>
      </c>
      <c r="B9593" t="s">
        <v>37</v>
      </c>
      <c r="C9593" t="s">
        <v>24</v>
      </c>
      <c r="D9593">
        <v>3</v>
      </c>
    </row>
    <row r="9594" spans="1:4" ht="15.75" customHeight="1">
      <c r="A9594" t="s">
        <v>871</v>
      </c>
      <c r="B9594" t="s">
        <v>37</v>
      </c>
      <c r="C9594" t="s">
        <v>24</v>
      </c>
      <c r="D9594">
        <v>3</v>
      </c>
    </row>
    <row r="9595" spans="1:4" ht="15.75" customHeight="1">
      <c r="A9595" t="s">
        <v>846</v>
      </c>
      <c r="B9595" t="s">
        <v>37</v>
      </c>
      <c r="C9595" t="s">
        <v>24</v>
      </c>
      <c r="D9595">
        <v>3</v>
      </c>
    </row>
    <row r="9596" spans="1:4" ht="15.75" customHeight="1">
      <c r="A9596" t="s">
        <v>833</v>
      </c>
      <c r="B9596" t="s">
        <v>37</v>
      </c>
      <c r="C9596" t="s">
        <v>24</v>
      </c>
      <c r="D9596">
        <v>3</v>
      </c>
    </row>
    <row r="9597" spans="1:4" ht="15.75" customHeight="1">
      <c r="A9597" t="s">
        <v>873</v>
      </c>
      <c r="B9597" t="s">
        <v>37</v>
      </c>
      <c r="C9597" t="s">
        <v>24</v>
      </c>
      <c r="D9597">
        <v>3</v>
      </c>
    </row>
    <row r="9598" spans="1:4" ht="15.75" customHeight="1">
      <c r="A9598" t="s">
        <v>849</v>
      </c>
      <c r="B9598" t="s">
        <v>37</v>
      </c>
      <c r="C9598" t="s">
        <v>24</v>
      </c>
      <c r="D9598">
        <v>3</v>
      </c>
    </row>
    <row r="9599" spans="1:4" ht="15.75" customHeight="1">
      <c r="A9599" t="s">
        <v>1517</v>
      </c>
      <c r="B9599" t="s">
        <v>37</v>
      </c>
      <c r="C9599" t="s">
        <v>24</v>
      </c>
      <c r="D9599">
        <v>3</v>
      </c>
    </row>
    <row r="9600" spans="1:4" ht="15.75" customHeight="1">
      <c r="A9600" t="s">
        <v>1803</v>
      </c>
      <c r="B9600" t="s">
        <v>37</v>
      </c>
      <c r="C9600" t="s">
        <v>24</v>
      </c>
      <c r="D9600">
        <v>3</v>
      </c>
    </row>
    <row r="9601" spans="1:4" ht="15.75" customHeight="1">
      <c r="A9601" t="s">
        <v>1805</v>
      </c>
      <c r="B9601" t="s">
        <v>37</v>
      </c>
      <c r="C9601" t="s">
        <v>24</v>
      </c>
      <c r="D9601">
        <v>3</v>
      </c>
    </row>
    <row r="9602" spans="1:4" ht="15.75" customHeight="1">
      <c r="A9602" t="s">
        <v>744</v>
      </c>
      <c r="B9602" t="s">
        <v>37</v>
      </c>
      <c r="C9602" t="s">
        <v>24</v>
      </c>
      <c r="D9602">
        <v>3</v>
      </c>
    </row>
    <row r="9603" spans="1:4" ht="15.75" customHeight="1">
      <c r="A9603" t="s">
        <v>706</v>
      </c>
      <c r="B9603" t="s">
        <v>37</v>
      </c>
      <c r="C9603" t="s">
        <v>24</v>
      </c>
      <c r="D9603">
        <v>3</v>
      </c>
    </row>
    <row r="9604" spans="1:4" ht="15.75" customHeight="1">
      <c r="A9604" t="s">
        <v>851</v>
      </c>
      <c r="B9604" t="s">
        <v>37</v>
      </c>
      <c r="C9604" t="s">
        <v>24</v>
      </c>
      <c r="D9604">
        <v>3</v>
      </c>
    </row>
    <row r="9605" spans="1:4" ht="15.75" customHeight="1">
      <c r="A9605" t="s">
        <v>1823</v>
      </c>
      <c r="B9605" t="s">
        <v>37</v>
      </c>
      <c r="C9605" t="s">
        <v>24</v>
      </c>
      <c r="D9605">
        <v>3</v>
      </c>
    </row>
    <row r="9606" spans="1:4" ht="15.75" customHeight="1">
      <c r="A9606" t="s">
        <v>2343</v>
      </c>
      <c r="B9606" t="s">
        <v>37</v>
      </c>
      <c r="C9606" t="s">
        <v>24</v>
      </c>
      <c r="D9606">
        <v>3</v>
      </c>
    </row>
    <row r="9607" spans="1:4" ht="15.75" customHeight="1">
      <c r="A9607" t="s">
        <v>1807</v>
      </c>
      <c r="B9607" t="s">
        <v>37</v>
      </c>
      <c r="C9607" t="s">
        <v>24</v>
      </c>
      <c r="D9607">
        <v>2</v>
      </c>
    </row>
    <row r="9608" spans="1:4" ht="15.75" customHeight="1">
      <c r="A9608" t="s">
        <v>780</v>
      </c>
      <c r="B9608" t="s">
        <v>37</v>
      </c>
      <c r="C9608" t="s">
        <v>24</v>
      </c>
      <c r="D9608">
        <v>2</v>
      </c>
    </row>
    <row r="9609" spans="1:4" ht="15.75" customHeight="1">
      <c r="A9609" t="s">
        <v>2373</v>
      </c>
      <c r="B9609" t="s">
        <v>37</v>
      </c>
      <c r="C9609" t="s">
        <v>24</v>
      </c>
      <c r="D9609">
        <v>2</v>
      </c>
    </row>
    <row r="9610" spans="1:4" ht="15.75" customHeight="1">
      <c r="A9610" t="s">
        <v>2311</v>
      </c>
      <c r="B9610" t="s">
        <v>37</v>
      </c>
      <c r="C9610" t="s">
        <v>24</v>
      </c>
      <c r="D9610">
        <v>2</v>
      </c>
    </row>
    <row r="9611" spans="1:4" ht="15.75" customHeight="1">
      <c r="A9611" t="s">
        <v>3743</v>
      </c>
      <c r="B9611" t="s">
        <v>37</v>
      </c>
      <c r="C9611" t="s">
        <v>24</v>
      </c>
      <c r="D9611">
        <v>2</v>
      </c>
    </row>
    <row r="9612" spans="1:4" ht="15.75" customHeight="1">
      <c r="A9612" t="s">
        <v>1809</v>
      </c>
      <c r="B9612" t="s">
        <v>37</v>
      </c>
      <c r="C9612" t="s">
        <v>24</v>
      </c>
      <c r="D9612">
        <v>2</v>
      </c>
    </row>
    <row r="9613" spans="1:4" ht="15.75" customHeight="1">
      <c r="A9613" t="s">
        <v>3733</v>
      </c>
      <c r="B9613" t="s">
        <v>37</v>
      </c>
      <c r="C9613" t="s">
        <v>24</v>
      </c>
      <c r="D9613">
        <v>2</v>
      </c>
    </row>
    <row r="9614" spans="1:4" ht="15.75" customHeight="1">
      <c r="A9614" t="s">
        <v>2347</v>
      </c>
      <c r="B9614" t="s">
        <v>37</v>
      </c>
      <c r="C9614" t="s">
        <v>24</v>
      </c>
      <c r="D9614">
        <v>2</v>
      </c>
    </row>
    <row r="9615" spans="1:4" ht="15.75" customHeight="1">
      <c r="A9615" t="s">
        <v>4450</v>
      </c>
      <c r="B9615" t="s">
        <v>37</v>
      </c>
      <c r="C9615" t="s">
        <v>24</v>
      </c>
      <c r="D9615">
        <v>2</v>
      </c>
    </row>
    <row r="9616" spans="1:4" ht="15.75" customHeight="1">
      <c r="A9616" t="s">
        <v>2916</v>
      </c>
      <c r="B9616" t="s">
        <v>37</v>
      </c>
      <c r="C9616" t="s">
        <v>24</v>
      </c>
      <c r="D9616">
        <v>2</v>
      </c>
    </row>
    <row r="9617" spans="1:4" ht="15.75" customHeight="1">
      <c r="A9617" t="s">
        <v>3749</v>
      </c>
      <c r="B9617" t="s">
        <v>37</v>
      </c>
      <c r="C9617" t="s">
        <v>24</v>
      </c>
      <c r="D9617">
        <v>2</v>
      </c>
    </row>
    <row r="9618" spans="1:4" ht="15.75" customHeight="1">
      <c r="A9618" t="s">
        <v>2877</v>
      </c>
      <c r="B9618" t="s">
        <v>37</v>
      </c>
      <c r="C9618" t="s">
        <v>24</v>
      </c>
      <c r="D9618">
        <v>2</v>
      </c>
    </row>
    <row r="9619" spans="1:4" ht="15.75" customHeight="1">
      <c r="A9619" t="s">
        <v>3346</v>
      </c>
      <c r="B9619" t="s">
        <v>37</v>
      </c>
      <c r="C9619" t="s">
        <v>24</v>
      </c>
      <c r="D9619">
        <v>2</v>
      </c>
    </row>
    <row r="9620" spans="1:4" ht="15.75" customHeight="1">
      <c r="A9620" t="s">
        <v>794</v>
      </c>
      <c r="B9620" t="s">
        <v>37</v>
      </c>
      <c r="C9620" t="s">
        <v>24</v>
      </c>
      <c r="D9620">
        <v>2</v>
      </c>
    </row>
    <row r="9621" spans="1:4" ht="15.75" customHeight="1">
      <c r="A9621" t="s">
        <v>869</v>
      </c>
      <c r="B9621" t="s">
        <v>37</v>
      </c>
      <c r="C9621" t="s">
        <v>24</v>
      </c>
      <c r="D9621">
        <v>2</v>
      </c>
    </row>
    <row r="9622" spans="1:4" ht="15.75" customHeight="1">
      <c r="A9622" t="s">
        <v>742</v>
      </c>
      <c r="B9622" t="s">
        <v>37</v>
      </c>
      <c r="C9622" t="s">
        <v>24</v>
      </c>
      <c r="D9622">
        <v>2</v>
      </c>
    </row>
    <row r="9623" spans="1:4" ht="15.75" customHeight="1">
      <c r="A9623" t="s">
        <v>2307</v>
      </c>
      <c r="B9623" t="s">
        <v>37</v>
      </c>
      <c r="C9623" t="s">
        <v>24</v>
      </c>
      <c r="D9623">
        <v>2</v>
      </c>
    </row>
    <row r="9624" spans="1:4" ht="15.75" customHeight="1">
      <c r="A9624" t="s">
        <v>788</v>
      </c>
      <c r="B9624" t="s">
        <v>37</v>
      </c>
      <c r="C9624" t="s">
        <v>24</v>
      </c>
      <c r="D9624">
        <v>2</v>
      </c>
    </row>
    <row r="9625" spans="1:4" ht="15.75" customHeight="1">
      <c r="A9625" t="s">
        <v>844</v>
      </c>
      <c r="B9625" t="s">
        <v>37</v>
      </c>
      <c r="C9625" t="s">
        <v>24</v>
      </c>
      <c r="D9625">
        <v>2</v>
      </c>
    </row>
    <row r="9626" spans="1:4" ht="15.75" customHeight="1">
      <c r="A9626" t="s">
        <v>3735</v>
      </c>
      <c r="B9626" t="s">
        <v>37</v>
      </c>
      <c r="C9626" t="s">
        <v>24</v>
      </c>
      <c r="D9626">
        <v>2</v>
      </c>
    </row>
    <row r="9627" spans="1:4" ht="15.75" customHeight="1">
      <c r="A9627" t="s">
        <v>1505</v>
      </c>
      <c r="B9627" t="s">
        <v>37</v>
      </c>
      <c r="C9627" t="s">
        <v>24</v>
      </c>
      <c r="D9627">
        <v>2</v>
      </c>
    </row>
    <row r="9628" spans="1:4" ht="15.75" customHeight="1">
      <c r="A9628" t="s">
        <v>3754</v>
      </c>
      <c r="B9628" t="s">
        <v>37</v>
      </c>
      <c r="C9628" t="s">
        <v>24</v>
      </c>
      <c r="D9628">
        <v>2</v>
      </c>
    </row>
    <row r="9629" spans="1:4" ht="15.75" customHeight="1">
      <c r="A9629" t="s">
        <v>857</v>
      </c>
      <c r="B9629" t="s">
        <v>37</v>
      </c>
      <c r="C9629" t="s">
        <v>24</v>
      </c>
      <c r="D9629">
        <v>2</v>
      </c>
    </row>
    <row r="9630" spans="1:4" ht="15.75" customHeight="1">
      <c r="A9630" t="s">
        <v>2331</v>
      </c>
      <c r="B9630" t="s">
        <v>37</v>
      </c>
      <c r="C9630" t="s">
        <v>24</v>
      </c>
      <c r="D9630">
        <v>2</v>
      </c>
    </row>
    <row r="9631" spans="1:4" ht="15.75" customHeight="1">
      <c r="A9631" t="s">
        <v>1553</v>
      </c>
      <c r="B9631" t="s">
        <v>37</v>
      </c>
      <c r="C9631" t="s">
        <v>24</v>
      </c>
      <c r="D9631">
        <v>2</v>
      </c>
    </row>
    <row r="9632" spans="1:4" ht="15.75" customHeight="1">
      <c r="A9632" t="s">
        <v>3758</v>
      </c>
      <c r="B9632" t="s">
        <v>37</v>
      </c>
      <c r="C9632" t="s">
        <v>24</v>
      </c>
      <c r="D9632">
        <v>2</v>
      </c>
    </row>
    <row r="9633" spans="1:4" ht="15.75" customHeight="1">
      <c r="A9633" t="s">
        <v>1527</v>
      </c>
      <c r="B9633" t="s">
        <v>37</v>
      </c>
      <c r="C9633" t="s">
        <v>24</v>
      </c>
      <c r="D9633">
        <v>2</v>
      </c>
    </row>
    <row r="9634" spans="1:4" ht="15.75" customHeight="1">
      <c r="A9634" t="s">
        <v>3320</v>
      </c>
      <c r="B9634" t="s">
        <v>37</v>
      </c>
      <c r="C9634" t="s">
        <v>24</v>
      </c>
      <c r="D9634">
        <v>2</v>
      </c>
    </row>
    <row r="9635" spans="1:4" ht="15.75" customHeight="1">
      <c r="A9635" t="s">
        <v>2924</v>
      </c>
      <c r="B9635" t="s">
        <v>37</v>
      </c>
      <c r="C9635" t="s">
        <v>24</v>
      </c>
      <c r="D9635">
        <v>2</v>
      </c>
    </row>
    <row r="9636" spans="1:4" ht="15.75" customHeight="1">
      <c r="A9636" t="s">
        <v>3356</v>
      </c>
      <c r="B9636" t="s">
        <v>37</v>
      </c>
      <c r="C9636" t="s">
        <v>24</v>
      </c>
      <c r="D9636">
        <v>2</v>
      </c>
    </row>
    <row r="9637" spans="1:4" ht="15.75" customHeight="1">
      <c r="A9637" t="s">
        <v>1531</v>
      </c>
      <c r="B9637" t="s">
        <v>37</v>
      </c>
      <c r="C9637" t="s">
        <v>24</v>
      </c>
      <c r="D9637">
        <v>2</v>
      </c>
    </row>
    <row r="9638" spans="1:4" ht="15.75" customHeight="1">
      <c r="A9638" t="s">
        <v>3764</v>
      </c>
      <c r="B9638" t="s">
        <v>37</v>
      </c>
      <c r="C9638" t="s">
        <v>24</v>
      </c>
      <c r="D9638">
        <v>2</v>
      </c>
    </row>
    <row r="9639" spans="1:4" ht="15.75" customHeight="1">
      <c r="A9639" t="s">
        <v>2333</v>
      </c>
      <c r="B9639" t="s">
        <v>37</v>
      </c>
      <c r="C9639" t="s">
        <v>24</v>
      </c>
      <c r="D9639">
        <v>2</v>
      </c>
    </row>
    <row r="9640" spans="1:4" ht="15.75" customHeight="1">
      <c r="A9640" t="s">
        <v>1496</v>
      </c>
      <c r="B9640" t="s">
        <v>37</v>
      </c>
      <c r="C9640" t="s">
        <v>24</v>
      </c>
      <c r="D9640">
        <v>2</v>
      </c>
    </row>
    <row r="9641" spans="1:4" ht="15.75" customHeight="1">
      <c r="A9641" t="s">
        <v>1533</v>
      </c>
      <c r="B9641" t="s">
        <v>37</v>
      </c>
      <c r="C9641" t="s">
        <v>24</v>
      </c>
      <c r="D9641">
        <v>2</v>
      </c>
    </row>
    <row r="9642" spans="1:4" ht="15.75" customHeight="1">
      <c r="A9642" t="s">
        <v>2898</v>
      </c>
      <c r="B9642" t="s">
        <v>37</v>
      </c>
      <c r="C9642" t="s">
        <v>24</v>
      </c>
      <c r="D9642">
        <v>2</v>
      </c>
    </row>
    <row r="9643" spans="1:4" ht="15.75" customHeight="1">
      <c r="A9643" t="s">
        <v>859</v>
      </c>
      <c r="B9643" t="s">
        <v>37</v>
      </c>
      <c r="C9643" t="s">
        <v>24</v>
      </c>
      <c r="D9643">
        <v>2</v>
      </c>
    </row>
    <row r="9644" spans="1:4" ht="15.75" customHeight="1">
      <c r="A9644" t="s">
        <v>2928</v>
      </c>
      <c r="B9644" t="s">
        <v>37</v>
      </c>
      <c r="C9644" t="s">
        <v>24</v>
      </c>
      <c r="D9644">
        <v>2</v>
      </c>
    </row>
    <row r="9645" spans="1:4" ht="15.75" customHeight="1">
      <c r="A9645" t="s">
        <v>897</v>
      </c>
      <c r="B9645" t="s">
        <v>37</v>
      </c>
      <c r="C9645" t="s">
        <v>24</v>
      </c>
      <c r="D9645">
        <v>2</v>
      </c>
    </row>
    <row r="9646" spans="1:4" ht="15.75" customHeight="1">
      <c r="A9646" t="s">
        <v>2298</v>
      </c>
      <c r="B9646" t="s">
        <v>37</v>
      </c>
      <c r="C9646" t="s">
        <v>24</v>
      </c>
      <c r="D9646">
        <v>2</v>
      </c>
    </row>
    <row r="9647" spans="1:4" ht="15.75" customHeight="1">
      <c r="A9647" t="s">
        <v>879</v>
      </c>
      <c r="B9647" t="s">
        <v>37</v>
      </c>
      <c r="C9647" t="s">
        <v>24</v>
      </c>
      <c r="D9647">
        <v>2</v>
      </c>
    </row>
    <row r="9648" spans="1:4" ht="15.75" customHeight="1">
      <c r="A9648" t="s">
        <v>4159</v>
      </c>
      <c r="B9648" t="s">
        <v>37</v>
      </c>
      <c r="C9648" t="s">
        <v>24</v>
      </c>
      <c r="D9648">
        <v>2</v>
      </c>
    </row>
    <row r="9649" spans="1:4" ht="15.75" customHeight="1">
      <c r="A9649" t="s">
        <v>746</v>
      </c>
      <c r="B9649" t="s">
        <v>37</v>
      </c>
      <c r="C9649" t="s">
        <v>24</v>
      </c>
      <c r="D9649">
        <v>2</v>
      </c>
    </row>
    <row r="9650" spans="1:4" ht="15.75" customHeight="1">
      <c r="A9650" t="s">
        <v>2954</v>
      </c>
      <c r="B9650" t="s">
        <v>37</v>
      </c>
      <c r="C9650" t="s">
        <v>24</v>
      </c>
      <c r="D9650">
        <v>2</v>
      </c>
    </row>
    <row r="9651" spans="1:4" ht="15.75" customHeight="1">
      <c r="A9651" t="s">
        <v>2920</v>
      </c>
      <c r="B9651" t="s">
        <v>37</v>
      </c>
      <c r="C9651" t="s">
        <v>24</v>
      </c>
      <c r="D9651">
        <v>2</v>
      </c>
    </row>
    <row r="9652" spans="1:4" ht="15.75" customHeight="1">
      <c r="A9652" t="s">
        <v>2357</v>
      </c>
      <c r="B9652" t="s">
        <v>37</v>
      </c>
      <c r="C9652" t="s">
        <v>24</v>
      </c>
      <c r="D9652">
        <v>2</v>
      </c>
    </row>
    <row r="9653" spans="1:4" ht="15.75" customHeight="1">
      <c r="A9653" t="s">
        <v>1483</v>
      </c>
      <c r="B9653" t="s">
        <v>37</v>
      </c>
      <c r="C9653" t="s">
        <v>24</v>
      </c>
      <c r="D9653">
        <v>2</v>
      </c>
    </row>
    <row r="9654" spans="1:4" ht="15.75" customHeight="1">
      <c r="A9654" t="s">
        <v>3772</v>
      </c>
      <c r="B9654" t="s">
        <v>37</v>
      </c>
      <c r="C9654" t="s">
        <v>24</v>
      </c>
      <c r="D9654">
        <v>2</v>
      </c>
    </row>
    <row r="9655" spans="1:4" ht="15.75" customHeight="1">
      <c r="A9655" t="s">
        <v>4466</v>
      </c>
      <c r="B9655" t="s">
        <v>37</v>
      </c>
      <c r="C9655" t="s">
        <v>24</v>
      </c>
      <c r="D9655">
        <v>2</v>
      </c>
    </row>
    <row r="9656" spans="1:4" ht="15.75" customHeight="1">
      <c r="A9656" t="s">
        <v>3384</v>
      </c>
      <c r="B9656" t="s">
        <v>37</v>
      </c>
      <c r="C9656" t="s">
        <v>24</v>
      </c>
      <c r="D9656">
        <v>2</v>
      </c>
    </row>
    <row r="9657" spans="1:4" ht="15.75" customHeight="1">
      <c r="A9657" t="s">
        <v>2934</v>
      </c>
      <c r="B9657" t="s">
        <v>37</v>
      </c>
      <c r="C9657" t="s">
        <v>24</v>
      </c>
      <c r="D9657">
        <v>2</v>
      </c>
    </row>
    <row r="9658" spans="1:4" ht="15.75" customHeight="1">
      <c r="A9658" t="s">
        <v>772</v>
      </c>
      <c r="B9658" t="s">
        <v>37</v>
      </c>
      <c r="C9658" t="s">
        <v>24</v>
      </c>
      <c r="D9658">
        <v>2</v>
      </c>
    </row>
    <row r="9659" spans="1:4" ht="15.75" customHeight="1">
      <c r="A9659" t="s">
        <v>2936</v>
      </c>
      <c r="B9659" t="s">
        <v>37</v>
      </c>
      <c r="C9659" t="s">
        <v>24</v>
      </c>
      <c r="D9659">
        <v>2</v>
      </c>
    </row>
    <row r="9660" spans="1:4" ht="15.75" customHeight="1">
      <c r="A9660" t="s">
        <v>861</v>
      </c>
      <c r="B9660" t="s">
        <v>37</v>
      </c>
      <c r="C9660" t="s">
        <v>24</v>
      </c>
      <c r="D9660">
        <v>2</v>
      </c>
    </row>
    <row r="9661" spans="1:4" ht="15.75" customHeight="1">
      <c r="A9661" t="s">
        <v>4210</v>
      </c>
      <c r="B9661" t="s">
        <v>37</v>
      </c>
      <c r="C9661" t="s">
        <v>24</v>
      </c>
      <c r="D9661">
        <v>2</v>
      </c>
    </row>
    <row r="9662" spans="1:4" ht="15.75" customHeight="1">
      <c r="A9662" t="s">
        <v>2341</v>
      </c>
      <c r="B9662" t="s">
        <v>37</v>
      </c>
      <c r="C9662" t="s">
        <v>24</v>
      </c>
      <c r="D9662">
        <v>2</v>
      </c>
    </row>
    <row r="9663" spans="1:4" ht="15.75" customHeight="1">
      <c r="A9663" t="s">
        <v>1539</v>
      </c>
      <c r="B9663" t="s">
        <v>37</v>
      </c>
      <c r="C9663" t="s">
        <v>24</v>
      </c>
      <c r="D9663">
        <v>2</v>
      </c>
    </row>
    <row r="9664" spans="1:4" ht="15.75" customHeight="1">
      <c r="A9664" t="s">
        <v>901</v>
      </c>
      <c r="B9664" t="s">
        <v>37</v>
      </c>
      <c r="C9664" t="s">
        <v>24</v>
      </c>
      <c r="D9664">
        <v>2</v>
      </c>
    </row>
    <row r="9665" spans="1:4" ht="15.75" customHeight="1">
      <c r="A9665" t="s">
        <v>919</v>
      </c>
      <c r="B9665" t="s">
        <v>37</v>
      </c>
      <c r="C9665" t="s">
        <v>24</v>
      </c>
      <c r="D9665">
        <v>2</v>
      </c>
    </row>
    <row r="9666" spans="1:4" ht="15.75" customHeight="1">
      <c r="A9666" t="s">
        <v>2880</v>
      </c>
      <c r="B9666" t="s">
        <v>37</v>
      </c>
      <c r="C9666" t="s">
        <v>24</v>
      </c>
      <c r="D9666">
        <v>2</v>
      </c>
    </row>
    <row r="9667" spans="1:4" ht="15.75" customHeight="1">
      <c r="A9667" t="s">
        <v>1494</v>
      </c>
      <c r="B9667" t="s">
        <v>37</v>
      </c>
      <c r="C9667" t="s">
        <v>24</v>
      </c>
      <c r="D9667">
        <v>2</v>
      </c>
    </row>
    <row r="9668" spans="1:4" ht="15.75" customHeight="1">
      <c r="A9668" t="s">
        <v>1475</v>
      </c>
      <c r="B9668" t="s">
        <v>37</v>
      </c>
      <c r="C9668" t="s">
        <v>24</v>
      </c>
      <c r="D9668">
        <v>2</v>
      </c>
    </row>
    <row r="9669" spans="1:4" ht="15.75" customHeight="1">
      <c r="A9669" t="s">
        <v>875</v>
      </c>
      <c r="B9669" t="s">
        <v>37</v>
      </c>
      <c r="C9669" t="s">
        <v>24</v>
      </c>
      <c r="D9669">
        <v>2</v>
      </c>
    </row>
    <row r="9670" spans="1:4" ht="15.75" customHeight="1">
      <c r="A9670" t="s">
        <v>905</v>
      </c>
      <c r="B9670" t="s">
        <v>37</v>
      </c>
      <c r="C9670" t="s">
        <v>24</v>
      </c>
      <c r="D9670">
        <v>2</v>
      </c>
    </row>
    <row r="9671" spans="1:4" ht="15.75" customHeight="1">
      <c r="A9671" t="s">
        <v>748</v>
      </c>
      <c r="B9671" t="s">
        <v>37</v>
      </c>
      <c r="C9671" t="s">
        <v>24</v>
      </c>
      <c r="D9671">
        <v>2</v>
      </c>
    </row>
    <row r="9672" spans="1:4" ht="15.75" customHeight="1">
      <c r="A9672" t="s">
        <v>865</v>
      </c>
      <c r="B9672" t="s">
        <v>37</v>
      </c>
      <c r="C9672" t="s">
        <v>24</v>
      </c>
      <c r="D9672">
        <v>2</v>
      </c>
    </row>
    <row r="9673" spans="1:4" ht="15.75" customHeight="1">
      <c r="A9673" t="s">
        <v>763</v>
      </c>
      <c r="B9673" t="s">
        <v>37</v>
      </c>
      <c r="C9673" t="s">
        <v>24</v>
      </c>
      <c r="D9673">
        <v>2</v>
      </c>
    </row>
    <row r="9674" spans="1:4" ht="15.75" customHeight="1">
      <c r="A9674" t="s">
        <v>3785</v>
      </c>
      <c r="B9674" t="s">
        <v>37</v>
      </c>
      <c r="C9674" t="s">
        <v>24</v>
      </c>
      <c r="D9674">
        <v>2</v>
      </c>
    </row>
    <row r="9675" spans="1:4" ht="15.75" customHeight="1">
      <c r="A9675" t="s">
        <v>1547</v>
      </c>
      <c r="B9675" t="s">
        <v>37</v>
      </c>
      <c r="C9675" t="s">
        <v>24</v>
      </c>
      <c r="D9675">
        <v>1</v>
      </c>
    </row>
    <row r="9676" spans="1:4" ht="15.75" customHeight="1">
      <c r="A9676" t="s">
        <v>4444</v>
      </c>
      <c r="B9676" t="s">
        <v>37</v>
      </c>
      <c r="C9676" t="s">
        <v>24</v>
      </c>
      <c r="D9676">
        <v>1</v>
      </c>
    </row>
    <row r="9677" spans="1:4" ht="15.75" customHeight="1">
      <c r="A9677" t="s">
        <v>4446</v>
      </c>
      <c r="B9677" t="s">
        <v>37</v>
      </c>
      <c r="C9677" t="s">
        <v>24</v>
      </c>
      <c r="D9677">
        <v>1</v>
      </c>
    </row>
    <row r="9678" spans="1:4" ht="15.75" customHeight="1">
      <c r="A9678" t="s">
        <v>4448</v>
      </c>
      <c r="B9678" t="s">
        <v>37</v>
      </c>
      <c r="C9678" t="s">
        <v>24</v>
      </c>
      <c r="D9678">
        <v>1</v>
      </c>
    </row>
    <row r="9679" spans="1:4" ht="15.75" customHeight="1">
      <c r="A9679" t="s">
        <v>4892</v>
      </c>
      <c r="B9679" t="s">
        <v>37</v>
      </c>
      <c r="C9679" t="s">
        <v>24</v>
      </c>
      <c r="D9679">
        <v>1</v>
      </c>
    </row>
    <row r="9680" spans="1:4" ht="15.75" customHeight="1">
      <c r="A9680" t="s">
        <v>3739</v>
      </c>
      <c r="B9680" t="s">
        <v>37</v>
      </c>
      <c r="C9680" t="s">
        <v>24</v>
      </c>
      <c r="D9680">
        <v>1</v>
      </c>
    </row>
    <row r="9681" spans="1:4" ht="15.75" customHeight="1">
      <c r="A9681" t="s">
        <v>2327</v>
      </c>
      <c r="B9681" t="s">
        <v>37</v>
      </c>
      <c r="C9681" t="s">
        <v>24</v>
      </c>
      <c r="D9681">
        <v>1</v>
      </c>
    </row>
    <row r="9682" spans="1:4" ht="15.75" customHeight="1">
      <c r="A9682" t="s">
        <v>4872</v>
      </c>
      <c r="B9682" t="s">
        <v>37</v>
      </c>
      <c r="C9682" t="s">
        <v>24</v>
      </c>
      <c r="D9682">
        <v>1</v>
      </c>
    </row>
    <row r="9683" spans="1:4" ht="15.75" customHeight="1">
      <c r="A9683" t="s">
        <v>729</v>
      </c>
      <c r="B9683" t="s">
        <v>37</v>
      </c>
      <c r="C9683" t="s">
        <v>24</v>
      </c>
      <c r="D9683">
        <v>1</v>
      </c>
    </row>
    <row r="9684" spans="1:4" ht="15.75" customHeight="1">
      <c r="A9684" t="s">
        <v>867</v>
      </c>
      <c r="B9684" t="s">
        <v>37</v>
      </c>
      <c r="C9684" t="s">
        <v>24</v>
      </c>
      <c r="D9684">
        <v>1</v>
      </c>
    </row>
    <row r="9685" spans="1:4" ht="15.75" customHeight="1">
      <c r="A9685" t="s">
        <v>3741</v>
      </c>
      <c r="B9685" t="s">
        <v>37</v>
      </c>
      <c r="C9685" t="s">
        <v>24</v>
      </c>
      <c r="D9685">
        <v>1</v>
      </c>
    </row>
    <row r="9686" spans="1:4" ht="15.75" customHeight="1">
      <c r="A9686" t="s">
        <v>2290</v>
      </c>
      <c r="B9686" t="s">
        <v>37</v>
      </c>
      <c r="C9686" t="s">
        <v>24</v>
      </c>
      <c r="D9686">
        <v>1</v>
      </c>
    </row>
    <row r="9687" spans="1:4" ht="15.75" customHeight="1">
      <c r="A9687" t="s">
        <v>4195</v>
      </c>
      <c r="B9687" t="s">
        <v>37</v>
      </c>
      <c r="C9687" t="s">
        <v>24</v>
      </c>
      <c r="D9687">
        <v>1</v>
      </c>
    </row>
    <row r="9688" spans="1:4" ht="15.75" customHeight="1">
      <c r="A9688" t="s">
        <v>4170</v>
      </c>
      <c r="B9688" t="s">
        <v>37</v>
      </c>
      <c r="C9688" t="s">
        <v>24</v>
      </c>
      <c r="D9688">
        <v>1</v>
      </c>
    </row>
    <row r="9689" spans="1:4" ht="15.75" customHeight="1">
      <c r="A9689" t="s">
        <v>4857</v>
      </c>
      <c r="B9689" t="s">
        <v>37</v>
      </c>
      <c r="C9689" t="s">
        <v>24</v>
      </c>
      <c r="D9689">
        <v>1</v>
      </c>
    </row>
    <row r="9690" spans="1:4" ht="15.75" customHeight="1">
      <c r="A9690" t="s">
        <v>1489</v>
      </c>
      <c r="B9690" t="s">
        <v>37</v>
      </c>
      <c r="C9690" t="s">
        <v>24</v>
      </c>
      <c r="D9690">
        <v>1</v>
      </c>
    </row>
    <row r="9691" spans="1:4" ht="15.75" customHeight="1">
      <c r="A9691" t="s">
        <v>3318</v>
      </c>
      <c r="B9691" t="s">
        <v>37</v>
      </c>
      <c r="C9691" t="s">
        <v>24</v>
      </c>
      <c r="D9691">
        <v>1</v>
      </c>
    </row>
    <row r="9692" spans="1:4" ht="15.75" customHeight="1">
      <c r="A9692" t="s">
        <v>3745</v>
      </c>
      <c r="B9692" t="s">
        <v>37</v>
      </c>
      <c r="C9692" t="s">
        <v>24</v>
      </c>
      <c r="D9692">
        <v>1</v>
      </c>
    </row>
    <row r="9693" spans="1:4" ht="15.75" customHeight="1">
      <c r="A9693" t="s">
        <v>4866</v>
      </c>
      <c r="B9693" t="s">
        <v>37</v>
      </c>
      <c r="C9693" t="s">
        <v>24</v>
      </c>
      <c r="D9693">
        <v>1</v>
      </c>
    </row>
    <row r="9694" spans="1:4" ht="15.75" customHeight="1">
      <c r="A9694" t="s">
        <v>885</v>
      </c>
      <c r="B9694" t="s">
        <v>37</v>
      </c>
      <c r="C9694" t="s">
        <v>24</v>
      </c>
      <c r="D9694">
        <v>1</v>
      </c>
    </row>
    <row r="9695" spans="1:4" ht="15.75" customHeight="1">
      <c r="A9695" t="s">
        <v>907</v>
      </c>
      <c r="B9695" t="s">
        <v>37</v>
      </c>
      <c r="C9695" t="s">
        <v>24</v>
      </c>
      <c r="D9695">
        <v>1</v>
      </c>
    </row>
    <row r="9696" spans="1:4" ht="15.75" customHeight="1">
      <c r="A9696" t="s">
        <v>1501</v>
      </c>
      <c r="B9696" t="s">
        <v>37</v>
      </c>
      <c r="C9696" t="s">
        <v>24</v>
      </c>
      <c r="D9696">
        <v>1</v>
      </c>
    </row>
    <row r="9697" spans="1:4" ht="15.75" customHeight="1">
      <c r="A9697" t="s">
        <v>2886</v>
      </c>
      <c r="B9697" t="s">
        <v>37</v>
      </c>
      <c r="C9697" t="s">
        <v>24</v>
      </c>
      <c r="D9697">
        <v>1</v>
      </c>
    </row>
    <row r="9698" spans="1:4" ht="15.75" customHeight="1">
      <c r="A9698" t="s">
        <v>3340</v>
      </c>
      <c r="B9698" t="s">
        <v>37</v>
      </c>
      <c r="C9698" t="s">
        <v>24</v>
      </c>
      <c r="D9698">
        <v>1</v>
      </c>
    </row>
    <row r="9699" spans="1:4" ht="15.75" customHeight="1">
      <c r="A9699" t="s">
        <v>3342</v>
      </c>
      <c r="B9699" t="s">
        <v>37</v>
      </c>
      <c r="C9699" t="s">
        <v>24</v>
      </c>
      <c r="D9699">
        <v>1</v>
      </c>
    </row>
    <row r="9700" spans="1:4" ht="15.75" customHeight="1">
      <c r="A9700" t="s">
        <v>2914</v>
      </c>
      <c r="B9700" t="s">
        <v>37</v>
      </c>
      <c r="C9700" t="s">
        <v>24</v>
      </c>
      <c r="D9700">
        <v>1</v>
      </c>
    </row>
    <row r="9701" spans="1:4" ht="15.75" customHeight="1">
      <c r="A9701" t="s">
        <v>2910</v>
      </c>
      <c r="B9701" t="s">
        <v>37</v>
      </c>
      <c r="C9701" t="s">
        <v>24</v>
      </c>
      <c r="D9701">
        <v>1</v>
      </c>
    </row>
    <row r="9702" spans="1:4" ht="15.75" customHeight="1">
      <c r="A9702" t="s">
        <v>4197</v>
      </c>
      <c r="B9702" t="s">
        <v>37</v>
      </c>
      <c r="C9702" t="s">
        <v>24</v>
      </c>
      <c r="D9702">
        <v>1</v>
      </c>
    </row>
    <row r="9703" spans="1:4" ht="15.75" customHeight="1">
      <c r="A9703" t="s">
        <v>4894</v>
      </c>
      <c r="B9703" t="s">
        <v>37</v>
      </c>
      <c r="C9703" t="s">
        <v>24</v>
      </c>
      <c r="D9703">
        <v>1</v>
      </c>
    </row>
    <row r="9704" spans="1:4" ht="15.75" customHeight="1">
      <c r="A9704" t="s">
        <v>4864</v>
      </c>
      <c r="B9704" t="s">
        <v>37</v>
      </c>
      <c r="C9704" t="s">
        <v>24</v>
      </c>
      <c r="D9704">
        <v>1</v>
      </c>
    </row>
    <row r="9705" spans="1:4" ht="15.75" customHeight="1">
      <c r="A9705" t="s">
        <v>4880</v>
      </c>
      <c r="B9705" t="s">
        <v>37</v>
      </c>
      <c r="C9705" t="s">
        <v>24</v>
      </c>
      <c r="D9705">
        <v>1</v>
      </c>
    </row>
    <row r="9706" spans="1:4" ht="15.75" customHeight="1">
      <c r="A9706" t="s">
        <v>4199</v>
      </c>
      <c r="B9706" t="s">
        <v>37</v>
      </c>
      <c r="C9706" t="s">
        <v>24</v>
      </c>
      <c r="D9706">
        <v>1</v>
      </c>
    </row>
    <row r="9707" spans="1:4" ht="15.75" customHeight="1">
      <c r="A9707" t="s">
        <v>2958</v>
      </c>
      <c r="B9707" t="s">
        <v>37</v>
      </c>
      <c r="C9707" t="s">
        <v>24</v>
      </c>
      <c r="D9707">
        <v>1</v>
      </c>
    </row>
    <row r="9708" spans="1:4" ht="15.75" customHeight="1">
      <c r="A9708" t="s">
        <v>4172</v>
      </c>
      <c r="B9708" t="s">
        <v>37</v>
      </c>
      <c r="C9708" t="s">
        <v>24</v>
      </c>
      <c r="D9708">
        <v>1</v>
      </c>
    </row>
    <row r="9709" spans="1:4" ht="15.75" customHeight="1">
      <c r="A9709" t="s">
        <v>4201</v>
      </c>
      <c r="B9709" t="s">
        <v>37</v>
      </c>
      <c r="C9709" t="s">
        <v>24</v>
      </c>
      <c r="D9709">
        <v>1</v>
      </c>
    </row>
    <row r="9710" spans="1:4" ht="15.75" customHeight="1">
      <c r="A9710" t="s">
        <v>853</v>
      </c>
      <c r="B9710" t="s">
        <v>37</v>
      </c>
      <c r="C9710" t="s">
        <v>24</v>
      </c>
      <c r="D9710">
        <v>1</v>
      </c>
    </row>
    <row r="9711" spans="1:4" ht="15.75" customHeight="1">
      <c r="A9711" t="s">
        <v>1811</v>
      </c>
      <c r="B9711" t="s">
        <v>37</v>
      </c>
      <c r="C9711" t="s">
        <v>24</v>
      </c>
      <c r="D9711">
        <v>1</v>
      </c>
    </row>
    <row r="9712" spans="1:4" ht="15.75" customHeight="1">
      <c r="A9712" t="s">
        <v>3747</v>
      </c>
      <c r="B9712" t="s">
        <v>37</v>
      </c>
      <c r="C9712" t="s">
        <v>24</v>
      </c>
      <c r="D9712">
        <v>1</v>
      </c>
    </row>
    <row r="9713" spans="1:4" ht="15.75" customHeight="1">
      <c r="A9713" t="s">
        <v>4440</v>
      </c>
      <c r="B9713" t="s">
        <v>37</v>
      </c>
      <c r="C9713" t="s">
        <v>24</v>
      </c>
      <c r="D9713">
        <v>1</v>
      </c>
    </row>
    <row r="9714" spans="1:4" ht="15.75" customHeight="1">
      <c r="A9714" t="s">
        <v>1565</v>
      </c>
      <c r="B9714" t="s">
        <v>37</v>
      </c>
      <c r="C9714" t="s">
        <v>24</v>
      </c>
      <c r="D9714">
        <v>1</v>
      </c>
    </row>
    <row r="9715" spans="1:4" ht="15.75" customHeight="1">
      <c r="A9715" t="s">
        <v>3330</v>
      </c>
      <c r="B9715" t="s">
        <v>37</v>
      </c>
      <c r="C9715" t="s">
        <v>24</v>
      </c>
      <c r="D9715">
        <v>1</v>
      </c>
    </row>
    <row r="9716" spans="1:4" ht="15.75" customHeight="1">
      <c r="A9716" t="s">
        <v>4452</v>
      </c>
      <c r="B9716" t="s">
        <v>37</v>
      </c>
      <c r="C9716" t="s">
        <v>24</v>
      </c>
      <c r="D9716">
        <v>1</v>
      </c>
    </row>
    <row r="9717" spans="1:4" ht="15.75" customHeight="1">
      <c r="A9717" t="s">
        <v>2349</v>
      </c>
      <c r="B9717" t="s">
        <v>37</v>
      </c>
      <c r="C9717" t="s">
        <v>24</v>
      </c>
      <c r="D9717">
        <v>1</v>
      </c>
    </row>
    <row r="9718" spans="1:4" ht="15.75" customHeight="1">
      <c r="A9718" t="s">
        <v>1567</v>
      </c>
      <c r="B9718" t="s">
        <v>37</v>
      </c>
      <c r="C9718" t="s">
        <v>24</v>
      </c>
      <c r="D9718">
        <v>1</v>
      </c>
    </row>
    <row r="9719" spans="1:4" ht="15.75" customHeight="1">
      <c r="A9719" t="s">
        <v>4454</v>
      </c>
      <c r="B9719" t="s">
        <v>37</v>
      </c>
      <c r="C9719" t="s">
        <v>24</v>
      </c>
      <c r="D9719">
        <v>1</v>
      </c>
    </row>
    <row r="9720" spans="1:4" ht="15.75" customHeight="1">
      <c r="A9720" t="s">
        <v>2943</v>
      </c>
      <c r="B9720" t="s">
        <v>37</v>
      </c>
      <c r="C9720" t="s">
        <v>24</v>
      </c>
      <c r="D9720">
        <v>1</v>
      </c>
    </row>
    <row r="9721" spans="1:4" ht="15.75" customHeight="1">
      <c r="A9721" t="s">
        <v>2882</v>
      </c>
      <c r="B9721" t="s">
        <v>37</v>
      </c>
      <c r="C9721" t="s">
        <v>24</v>
      </c>
      <c r="D9721">
        <v>1</v>
      </c>
    </row>
    <row r="9722" spans="1:4" ht="15.75" customHeight="1">
      <c r="A9722" t="s">
        <v>3332</v>
      </c>
      <c r="B9722" t="s">
        <v>37</v>
      </c>
      <c r="C9722" t="s">
        <v>24</v>
      </c>
      <c r="D9722">
        <v>1</v>
      </c>
    </row>
    <row r="9723" spans="1:4" ht="15.75" customHeight="1">
      <c r="A9723" t="s">
        <v>3344</v>
      </c>
      <c r="B9723" t="s">
        <v>37</v>
      </c>
      <c r="C9723" t="s">
        <v>24</v>
      </c>
      <c r="D9723">
        <v>1</v>
      </c>
    </row>
    <row r="9724" spans="1:4" ht="15.75" customHeight="1">
      <c r="A9724" t="s">
        <v>1813</v>
      </c>
      <c r="B9724" t="s">
        <v>37</v>
      </c>
      <c r="C9724" t="s">
        <v>24</v>
      </c>
      <c r="D9724">
        <v>1</v>
      </c>
    </row>
    <row r="9725" spans="1:4" ht="15.75" customHeight="1">
      <c r="A9725" t="s">
        <v>4456</v>
      </c>
      <c r="B9725" t="s">
        <v>37</v>
      </c>
      <c r="C9725" t="s">
        <v>24</v>
      </c>
      <c r="D9725">
        <v>1</v>
      </c>
    </row>
    <row r="9726" spans="1:4" ht="15.75" customHeight="1">
      <c r="A9726" t="s">
        <v>4180</v>
      </c>
      <c r="B9726" t="s">
        <v>37</v>
      </c>
      <c r="C9726" t="s">
        <v>24</v>
      </c>
      <c r="D9726">
        <v>1</v>
      </c>
    </row>
    <row r="9727" spans="1:4" ht="15.75" customHeight="1">
      <c r="A9727" t="s">
        <v>911</v>
      </c>
      <c r="B9727" t="s">
        <v>37</v>
      </c>
      <c r="C9727" t="s">
        <v>24</v>
      </c>
      <c r="D9727">
        <v>1</v>
      </c>
    </row>
    <row r="9728" spans="1:4" ht="15.75" customHeight="1">
      <c r="A9728" t="s">
        <v>2317</v>
      </c>
      <c r="B9728" t="s">
        <v>37</v>
      </c>
      <c r="C9728" t="s">
        <v>24</v>
      </c>
      <c r="D9728">
        <v>1</v>
      </c>
    </row>
    <row r="9729" spans="1:4" ht="15.75" customHeight="1">
      <c r="A9729" t="s">
        <v>786</v>
      </c>
      <c r="B9729" t="s">
        <v>37</v>
      </c>
      <c r="C9729" t="s">
        <v>24</v>
      </c>
      <c r="D9729">
        <v>1</v>
      </c>
    </row>
    <row r="9730" spans="1:4" ht="15.75" customHeight="1">
      <c r="A9730" t="s">
        <v>2945</v>
      </c>
      <c r="B9730" t="s">
        <v>37</v>
      </c>
      <c r="C9730" t="s">
        <v>24</v>
      </c>
      <c r="D9730">
        <v>1</v>
      </c>
    </row>
    <row r="9731" spans="1:4" ht="15.75" customHeight="1">
      <c r="A9731" t="s">
        <v>913</v>
      </c>
      <c r="B9731" t="s">
        <v>37</v>
      </c>
      <c r="C9731" t="s">
        <v>24</v>
      </c>
      <c r="D9731">
        <v>1</v>
      </c>
    </row>
    <row r="9732" spans="1:4" ht="15.75" customHeight="1">
      <c r="A9732" t="s">
        <v>4853</v>
      </c>
      <c r="B9732" t="s">
        <v>37</v>
      </c>
      <c r="C9732" t="s">
        <v>24</v>
      </c>
      <c r="D9732">
        <v>1</v>
      </c>
    </row>
    <row r="9733" spans="1:4" ht="15.75" customHeight="1">
      <c r="A9733" t="s">
        <v>4882</v>
      </c>
      <c r="B9733" t="s">
        <v>37</v>
      </c>
      <c r="C9733" t="s">
        <v>24</v>
      </c>
      <c r="D9733">
        <v>1</v>
      </c>
    </row>
    <row r="9734" spans="1:4" ht="15.75" customHeight="1">
      <c r="A9734" t="s">
        <v>4884</v>
      </c>
      <c r="B9734" t="s">
        <v>37</v>
      </c>
      <c r="C9734" t="s">
        <v>24</v>
      </c>
      <c r="D9734">
        <v>1</v>
      </c>
    </row>
    <row r="9735" spans="1:4" ht="15.75" customHeight="1">
      <c r="A9735" t="s">
        <v>2351</v>
      </c>
      <c r="B9735" t="s">
        <v>37</v>
      </c>
      <c r="C9735" t="s">
        <v>24</v>
      </c>
      <c r="D9735">
        <v>1</v>
      </c>
    </row>
    <row r="9736" spans="1:4" ht="15.75" customHeight="1">
      <c r="A9736" t="s">
        <v>3348</v>
      </c>
      <c r="B9736" t="s">
        <v>37</v>
      </c>
      <c r="C9736" t="s">
        <v>24</v>
      </c>
      <c r="D9736">
        <v>1</v>
      </c>
    </row>
    <row r="9737" spans="1:4" ht="15.75" customHeight="1">
      <c r="A9737" t="s">
        <v>1549</v>
      </c>
      <c r="B9737" t="s">
        <v>37</v>
      </c>
      <c r="C9737" t="s">
        <v>24</v>
      </c>
      <c r="D9737">
        <v>1</v>
      </c>
    </row>
    <row r="9738" spans="1:4" ht="15.75" customHeight="1">
      <c r="A9738" t="s">
        <v>1551</v>
      </c>
      <c r="B9738" t="s">
        <v>37</v>
      </c>
      <c r="C9738" t="s">
        <v>24</v>
      </c>
      <c r="D9738">
        <v>1</v>
      </c>
    </row>
    <row r="9739" spans="1:4" ht="15.75" customHeight="1">
      <c r="A9739" t="s">
        <v>3752</v>
      </c>
      <c r="B9739" t="s">
        <v>37</v>
      </c>
      <c r="C9739" t="s">
        <v>24</v>
      </c>
      <c r="D9739">
        <v>1</v>
      </c>
    </row>
    <row r="9740" spans="1:4" ht="15.75" customHeight="1">
      <c r="A9740" t="s">
        <v>1485</v>
      </c>
      <c r="B9740" t="s">
        <v>37</v>
      </c>
      <c r="C9740" t="s">
        <v>24</v>
      </c>
      <c r="D9740">
        <v>1</v>
      </c>
    </row>
    <row r="9741" spans="1:4" ht="15.75" customHeight="1">
      <c r="A9741" t="s">
        <v>1525</v>
      </c>
      <c r="B9741" t="s">
        <v>37</v>
      </c>
      <c r="C9741" t="s">
        <v>24</v>
      </c>
      <c r="D9741">
        <v>1</v>
      </c>
    </row>
    <row r="9742" spans="1:4" ht="15.75" customHeight="1">
      <c r="A9742" t="s">
        <v>4886</v>
      </c>
      <c r="B9742" t="s">
        <v>37</v>
      </c>
      <c r="C9742" t="s">
        <v>24</v>
      </c>
      <c r="D9742">
        <v>1</v>
      </c>
    </row>
    <row r="9743" spans="1:4" ht="15.75" customHeight="1">
      <c r="A9743" t="s">
        <v>4435</v>
      </c>
      <c r="B9743" t="s">
        <v>37</v>
      </c>
      <c r="C9743" t="s">
        <v>24</v>
      </c>
      <c r="D9743">
        <v>1</v>
      </c>
    </row>
    <row r="9744" spans="1:4" ht="15.75" customHeight="1">
      <c r="A9744" t="s">
        <v>1507</v>
      </c>
      <c r="B9744" t="s">
        <v>37</v>
      </c>
      <c r="C9744" t="s">
        <v>24</v>
      </c>
      <c r="D9744">
        <v>1</v>
      </c>
    </row>
    <row r="9745" spans="1:4" ht="15.75" customHeight="1">
      <c r="A9745" t="s">
        <v>2918</v>
      </c>
      <c r="B9745" t="s">
        <v>37</v>
      </c>
      <c r="C9745" t="s">
        <v>24</v>
      </c>
      <c r="D9745">
        <v>1</v>
      </c>
    </row>
    <row r="9746" spans="1:4" ht="15.75" customHeight="1">
      <c r="A9746" t="s">
        <v>2948</v>
      </c>
      <c r="B9746" t="s">
        <v>37</v>
      </c>
      <c r="C9746" t="s">
        <v>24</v>
      </c>
      <c r="D9746">
        <v>1</v>
      </c>
    </row>
    <row r="9747" spans="1:4" ht="15.75" customHeight="1">
      <c r="A9747" t="s">
        <v>2896</v>
      </c>
      <c r="B9747" t="s">
        <v>37</v>
      </c>
      <c r="C9747" t="s">
        <v>24</v>
      </c>
      <c r="D9747">
        <v>1</v>
      </c>
    </row>
    <row r="9748" spans="1:4" ht="15.75" customHeight="1">
      <c r="A9748" t="s">
        <v>1464</v>
      </c>
      <c r="B9748" t="s">
        <v>37</v>
      </c>
      <c r="C9748" t="s">
        <v>24</v>
      </c>
      <c r="D9748">
        <v>1</v>
      </c>
    </row>
    <row r="9749" spans="1:4" ht="15.75" customHeight="1">
      <c r="A9749" t="s">
        <v>1477</v>
      </c>
      <c r="B9749" t="s">
        <v>37</v>
      </c>
      <c r="C9749" t="s">
        <v>24</v>
      </c>
      <c r="D9749">
        <v>1</v>
      </c>
    </row>
    <row r="9750" spans="1:4" ht="15.75" customHeight="1">
      <c r="A9750" t="s">
        <v>4888</v>
      </c>
      <c r="B9750" t="s">
        <v>37</v>
      </c>
      <c r="C9750" t="s">
        <v>24</v>
      </c>
      <c r="D9750">
        <v>1</v>
      </c>
    </row>
    <row r="9751" spans="1:4" ht="15.75" customHeight="1">
      <c r="A9751" t="s">
        <v>4442</v>
      </c>
      <c r="B9751" t="s">
        <v>37</v>
      </c>
      <c r="C9751" t="s">
        <v>24</v>
      </c>
      <c r="D9751">
        <v>1</v>
      </c>
    </row>
    <row r="9752" spans="1:4" ht="15.75" customHeight="1">
      <c r="A9752" t="s">
        <v>3756</v>
      </c>
      <c r="B9752" t="s">
        <v>37</v>
      </c>
      <c r="C9752" t="s">
        <v>24</v>
      </c>
      <c r="D9752">
        <v>1</v>
      </c>
    </row>
    <row r="9753" spans="1:4" ht="15.75" customHeight="1">
      <c r="A9753" t="s">
        <v>4458</v>
      </c>
      <c r="B9753" t="s">
        <v>37</v>
      </c>
      <c r="C9753" t="s">
        <v>24</v>
      </c>
      <c r="D9753">
        <v>1</v>
      </c>
    </row>
    <row r="9754" spans="1:4" ht="15.75" customHeight="1">
      <c r="A9754" t="s">
        <v>4438</v>
      </c>
      <c r="B9754" t="s">
        <v>37</v>
      </c>
      <c r="C9754" t="s">
        <v>24</v>
      </c>
      <c r="D9754">
        <v>1</v>
      </c>
    </row>
    <row r="9755" spans="1:4" ht="15.75" customHeight="1">
      <c r="A9755" t="s">
        <v>3350</v>
      </c>
      <c r="B9755" t="s">
        <v>37</v>
      </c>
      <c r="C9755" t="s">
        <v>24</v>
      </c>
      <c r="D9755">
        <v>1</v>
      </c>
    </row>
    <row r="9756" spans="1:4" ht="15.75" customHeight="1">
      <c r="A9756" t="s">
        <v>3760</v>
      </c>
      <c r="B9756" t="s">
        <v>37</v>
      </c>
      <c r="C9756" t="s">
        <v>24</v>
      </c>
      <c r="D9756">
        <v>1</v>
      </c>
    </row>
    <row r="9757" spans="1:4" ht="15.75" customHeight="1">
      <c r="A9757" t="s">
        <v>3326</v>
      </c>
      <c r="B9757" t="s">
        <v>37</v>
      </c>
      <c r="C9757" t="s">
        <v>24</v>
      </c>
      <c r="D9757">
        <v>1</v>
      </c>
    </row>
    <row r="9758" spans="1:4" ht="15.75" customHeight="1">
      <c r="A9758" t="s">
        <v>3352</v>
      </c>
      <c r="B9758" t="s">
        <v>37</v>
      </c>
      <c r="C9758" t="s">
        <v>24</v>
      </c>
      <c r="D9758">
        <v>1</v>
      </c>
    </row>
    <row r="9759" spans="1:4" ht="15.75" customHeight="1">
      <c r="A9759" t="s">
        <v>3354</v>
      </c>
      <c r="B9759" t="s">
        <v>37</v>
      </c>
      <c r="C9759" t="s">
        <v>24</v>
      </c>
      <c r="D9759">
        <v>1</v>
      </c>
    </row>
    <row r="9760" spans="1:4" ht="15.75" customHeight="1">
      <c r="A9760" t="s">
        <v>1569</v>
      </c>
      <c r="B9760" t="s">
        <v>37</v>
      </c>
      <c r="C9760" t="s">
        <v>24</v>
      </c>
      <c r="D9760">
        <v>1</v>
      </c>
    </row>
    <row r="9761" spans="1:4" ht="15.75" customHeight="1">
      <c r="A9761" t="s">
        <v>915</v>
      </c>
      <c r="B9761" t="s">
        <v>37</v>
      </c>
      <c r="C9761" t="s">
        <v>24</v>
      </c>
      <c r="D9761">
        <v>1</v>
      </c>
    </row>
    <row r="9762" spans="1:4" ht="15.75" customHeight="1">
      <c r="A9762" t="s">
        <v>2319</v>
      </c>
      <c r="B9762" t="s">
        <v>37</v>
      </c>
      <c r="C9762" t="s">
        <v>24</v>
      </c>
      <c r="D9762">
        <v>1</v>
      </c>
    </row>
    <row r="9763" spans="1:4" ht="15.75" customHeight="1">
      <c r="A9763" t="s">
        <v>4460</v>
      </c>
      <c r="B9763" t="s">
        <v>37</v>
      </c>
      <c r="C9763" t="s">
        <v>24</v>
      </c>
      <c r="D9763">
        <v>1</v>
      </c>
    </row>
    <row r="9764" spans="1:4" ht="15.75" customHeight="1">
      <c r="A9764" t="s">
        <v>4163</v>
      </c>
      <c r="B9764" t="s">
        <v>37</v>
      </c>
      <c r="C9764" t="s">
        <v>24</v>
      </c>
      <c r="D9764">
        <v>1</v>
      </c>
    </row>
    <row r="9765" spans="1:4" ht="15.75" customHeight="1">
      <c r="A9765" t="s">
        <v>4203</v>
      </c>
      <c r="B9765" t="s">
        <v>37</v>
      </c>
      <c r="C9765" t="s">
        <v>24</v>
      </c>
      <c r="D9765">
        <v>1</v>
      </c>
    </row>
    <row r="9766" spans="1:4" ht="15.75" customHeight="1">
      <c r="A9766" t="s">
        <v>1529</v>
      </c>
      <c r="B9766" t="s">
        <v>37</v>
      </c>
      <c r="C9766" t="s">
        <v>24</v>
      </c>
      <c r="D9766">
        <v>1</v>
      </c>
    </row>
    <row r="9767" spans="1:4" ht="15.75" customHeight="1">
      <c r="A9767" t="s">
        <v>1509</v>
      </c>
      <c r="B9767" t="s">
        <v>37</v>
      </c>
      <c r="C9767" t="s">
        <v>24</v>
      </c>
      <c r="D9767">
        <v>1</v>
      </c>
    </row>
    <row r="9768" spans="1:4" ht="15.75" customHeight="1">
      <c r="A9768" t="s">
        <v>1555</v>
      </c>
      <c r="B9768" t="s">
        <v>37</v>
      </c>
      <c r="C9768" t="s">
        <v>24</v>
      </c>
      <c r="D9768">
        <v>1</v>
      </c>
    </row>
    <row r="9769" spans="1:4" ht="15.75" customHeight="1">
      <c r="A9769" t="s">
        <v>4174</v>
      </c>
      <c r="B9769" t="s">
        <v>37</v>
      </c>
      <c r="C9769" t="s">
        <v>24</v>
      </c>
      <c r="D9769">
        <v>1</v>
      </c>
    </row>
    <row r="9770" spans="1:4" ht="15.75" customHeight="1">
      <c r="A9770" t="s">
        <v>2906</v>
      </c>
      <c r="B9770" t="s">
        <v>37</v>
      </c>
      <c r="C9770" t="s">
        <v>24</v>
      </c>
      <c r="D9770">
        <v>1</v>
      </c>
    </row>
    <row r="9771" spans="1:4" ht="15.75" customHeight="1">
      <c r="A9771" t="s">
        <v>4462</v>
      </c>
      <c r="B9771" t="s">
        <v>37</v>
      </c>
      <c r="C9771" t="s">
        <v>24</v>
      </c>
      <c r="D9771">
        <v>1</v>
      </c>
    </row>
    <row r="9772" spans="1:4" ht="15.75" customHeight="1">
      <c r="A9772" t="s">
        <v>3358</v>
      </c>
      <c r="B9772" t="s">
        <v>37</v>
      </c>
      <c r="C9772" t="s">
        <v>24</v>
      </c>
      <c r="D9772">
        <v>1</v>
      </c>
    </row>
    <row r="9773" spans="1:4" ht="15.75" customHeight="1">
      <c r="A9773" t="s">
        <v>3360</v>
      </c>
      <c r="B9773" t="s">
        <v>37</v>
      </c>
      <c r="C9773" t="s">
        <v>24</v>
      </c>
      <c r="D9773">
        <v>1</v>
      </c>
    </row>
    <row r="9774" spans="1:4" ht="15.75" customHeight="1">
      <c r="A9774" t="s">
        <v>3762</v>
      </c>
      <c r="B9774" t="s">
        <v>37</v>
      </c>
      <c r="C9774" t="s">
        <v>24</v>
      </c>
      <c r="D9774">
        <v>1</v>
      </c>
    </row>
    <row r="9775" spans="1:4" ht="15.75" customHeight="1">
      <c r="A9775" t="s">
        <v>1815</v>
      </c>
      <c r="B9775" t="s">
        <v>37</v>
      </c>
      <c r="C9775" t="s">
        <v>24</v>
      </c>
      <c r="D9775">
        <v>1</v>
      </c>
    </row>
    <row r="9776" spans="1:4" ht="15.75" customHeight="1">
      <c r="A9776" t="s">
        <v>1817</v>
      </c>
      <c r="B9776" t="s">
        <v>37</v>
      </c>
      <c r="C9776" t="s">
        <v>24</v>
      </c>
      <c r="D9776">
        <v>1</v>
      </c>
    </row>
    <row r="9777" spans="1:4" ht="15.75" customHeight="1">
      <c r="A9777" t="s">
        <v>4464</v>
      </c>
      <c r="B9777" t="s">
        <v>37</v>
      </c>
      <c r="C9777" t="s">
        <v>24</v>
      </c>
      <c r="D9777">
        <v>1</v>
      </c>
    </row>
    <row r="9778" spans="1:4" ht="15.75" customHeight="1">
      <c r="A9778" t="s">
        <v>3322</v>
      </c>
      <c r="B9778" t="s">
        <v>37</v>
      </c>
      <c r="C9778" t="s">
        <v>24</v>
      </c>
      <c r="D9778">
        <v>1</v>
      </c>
    </row>
    <row r="9779" spans="1:4" ht="15.75" customHeight="1">
      <c r="A9779" t="s">
        <v>4896</v>
      </c>
      <c r="B9779" t="s">
        <v>37</v>
      </c>
      <c r="C9779" t="s">
        <v>24</v>
      </c>
      <c r="D9779">
        <v>1</v>
      </c>
    </row>
    <row r="9780" spans="1:4" ht="15.75" customHeight="1">
      <c r="A9780" t="s">
        <v>3362</v>
      </c>
      <c r="B9780" t="s">
        <v>37</v>
      </c>
      <c r="C9780" t="s">
        <v>24</v>
      </c>
      <c r="D9780">
        <v>1</v>
      </c>
    </row>
    <row r="9781" spans="1:4" ht="15.75" customHeight="1">
      <c r="A9781" t="s">
        <v>3364</v>
      </c>
      <c r="B9781" t="s">
        <v>37</v>
      </c>
      <c r="C9781" t="s">
        <v>24</v>
      </c>
      <c r="D9781">
        <v>1</v>
      </c>
    </row>
    <row r="9782" spans="1:4" ht="15.75" customHeight="1">
      <c r="A9782" t="s">
        <v>2892</v>
      </c>
      <c r="B9782" t="s">
        <v>37</v>
      </c>
      <c r="C9782" t="s">
        <v>24</v>
      </c>
      <c r="D9782">
        <v>1</v>
      </c>
    </row>
    <row r="9783" spans="1:4" ht="15.75" customHeight="1">
      <c r="A9783" t="s">
        <v>3366</v>
      </c>
      <c r="B9783" t="s">
        <v>37</v>
      </c>
      <c r="C9783" t="s">
        <v>24</v>
      </c>
      <c r="D9783">
        <v>1</v>
      </c>
    </row>
    <row r="9784" spans="1:4" ht="15.75" customHeight="1">
      <c r="A9784" t="s">
        <v>4205</v>
      </c>
      <c r="B9784" t="s">
        <v>37</v>
      </c>
      <c r="C9784" t="s">
        <v>24</v>
      </c>
      <c r="D9784">
        <v>1</v>
      </c>
    </row>
    <row r="9785" spans="1:4" ht="15.75" customHeight="1">
      <c r="A9785" t="s">
        <v>3368</v>
      </c>
      <c r="B9785" t="s">
        <v>37</v>
      </c>
      <c r="C9785" t="s">
        <v>24</v>
      </c>
      <c r="D9785">
        <v>1</v>
      </c>
    </row>
    <row r="9786" spans="1:4" ht="15.75" customHeight="1">
      <c r="A9786" t="s">
        <v>3334</v>
      </c>
      <c r="B9786" t="s">
        <v>37</v>
      </c>
      <c r="C9786" t="s">
        <v>24</v>
      </c>
      <c r="D9786">
        <v>1</v>
      </c>
    </row>
    <row r="9787" spans="1:4" ht="15.75" customHeight="1">
      <c r="A9787" t="s">
        <v>4859</v>
      </c>
      <c r="B9787" t="s">
        <v>37</v>
      </c>
      <c r="C9787" t="s">
        <v>24</v>
      </c>
      <c r="D9787">
        <v>1</v>
      </c>
    </row>
    <row r="9788" spans="1:4" ht="15.75" customHeight="1">
      <c r="A9788" t="s">
        <v>4874</v>
      </c>
      <c r="B9788" t="s">
        <v>37</v>
      </c>
      <c r="C9788" t="s">
        <v>24</v>
      </c>
      <c r="D9788">
        <v>1</v>
      </c>
    </row>
    <row r="9789" spans="1:4" ht="15.75" customHeight="1">
      <c r="A9789" t="s">
        <v>895</v>
      </c>
      <c r="B9789" t="s">
        <v>37</v>
      </c>
      <c r="C9789" t="s">
        <v>24</v>
      </c>
      <c r="D9789">
        <v>1</v>
      </c>
    </row>
    <row r="9790" spans="1:4" ht="15.75" customHeight="1">
      <c r="A9790" t="s">
        <v>818</v>
      </c>
      <c r="B9790" t="s">
        <v>37</v>
      </c>
      <c r="C9790" t="s">
        <v>24</v>
      </c>
      <c r="D9790">
        <v>1</v>
      </c>
    </row>
    <row r="9791" spans="1:4" ht="15.75" customHeight="1">
      <c r="A9791" t="s">
        <v>4184</v>
      </c>
      <c r="B9791" t="s">
        <v>37</v>
      </c>
      <c r="C9791" t="s">
        <v>24</v>
      </c>
      <c r="D9791">
        <v>1</v>
      </c>
    </row>
    <row r="9792" spans="1:4" ht="15.75" customHeight="1">
      <c r="A9792" t="s">
        <v>2321</v>
      </c>
      <c r="B9792" t="s">
        <v>37</v>
      </c>
      <c r="C9792" t="s">
        <v>24</v>
      </c>
      <c r="D9792">
        <v>1</v>
      </c>
    </row>
    <row r="9793" spans="1:4" ht="15.75" customHeight="1">
      <c r="A9793" t="s">
        <v>2355</v>
      </c>
      <c r="B9793" t="s">
        <v>37</v>
      </c>
      <c r="C9793" t="s">
        <v>24</v>
      </c>
      <c r="D9793">
        <v>1</v>
      </c>
    </row>
    <row r="9794" spans="1:4" ht="15.75" customHeight="1">
      <c r="A9794" t="s">
        <v>2309</v>
      </c>
      <c r="B9794" t="s">
        <v>37</v>
      </c>
      <c r="C9794" t="s">
        <v>24</v>
      </c>
      <c r="D9794">
        <v>1</v>
      </c>
    </row>
    <row r="9795" spans="1:4" ht="15.75" customHeight="1">
      <c r="A9795" t="s">
        <v>2335</v>
      </c>
      <c r="B9795" t="s">
        <v>37</v>
      </c>
      <c r="C9795" t="s">
        <v>24</v>
      </c>
      <c r="D9795">
        <v>1</v>
      </c>
    </row>
    <row r="9796" spans="1:4" ht="15.75" customHeight="1">
      <c r="A9796" t="s">
        <v>2287</v>
      </c>
      <c r="B9796" t="s">
        <v>37</v>
      </c>
      <c r="C9796" t="s">
        <v>24</v>
      </c>
      <c r="D9796">
        <v>1</v>
      </c>
    </row>
    <row r="9797" spans="1:4" ht="15.75" customHeight="1">
      <c r="A9797" t="s">
        <v>2337</v>
      </c>
      <c r="B9797" t="s">
        <v>37</v>
      </c>
      <c r="C9797" t="s">
        <v>24</v>
      </c>
      <c r="D9797">
        <v>1</v>
      </c>
    </row>
    <row r="9798" spans="1:4" ht="15.75" customHeight="1">
      <c r="A9798" t="s">
        <v>3766</v>
      </c>
      <c r="B9798" t="s">
        <v>37</v>
      </c>
      <c r="C9798" t="s">
        <v>24</v>
      </c>
      <c r="D9798">
        <v>1</v>
      </c>
    </row>
    <row r="9799" spans="1:4" ht="15.75" customHeight="1">
      <c r="A9799" t="s">
        <v>2301</v>
      </c>
      <c r="B9799" t="s">
        <v>37</v>
      </c>
      <c r="C9799" t="s">
        <v>24</v>
      </c>
      <c r="D9799">
        <v>1</v>
      </c>
    </row>
    <row r="9800" spans="1:4" ht="15.75" customHeight="1">
      <c r="A9800" t="s">
        <v>3370</v>
      </c>
      <c r="B9800" t="s">
        <v>37</v>
      </c>
      <c r="C9800" t="s">
        <v>24</v>
      </c>
      <c r="D9800">
        <v>1</v>
      </c>
    </row>
    <row r="9801" spans="1:4" ht="15.75" customHeight="1">
      <c r="A9801" t="s">
        <v>2950</v>
      </c>
      <c r="B9801" t="s">
        <v>37</v>
      </c>
      <c r="C9801" t="s">
        <v>24</v>
      </c>
      <c r="D9801">
        <v>1</v>
      </c>
    </row>
    <row r="9802" spans="1:4" ht="15.75" customHeight="1">
      <c r="A9802" t="s">
        <v>2930</v>
      </c>
      <c r="B9802" t="s">
        <v>37</v>
      </c>
      <c r="C9802" t="s">
        <v>24</v>
      </c>
      <c r="D9802">
        <v>1</v>
      </c>
    </row>
    <row r="9803" spans="1:4" ht="15.75" customHeight="1">
      <c r="A9803" t="s">
        <v>4165</v>
      </c>
      <c r="B9803" t="s">
        <v>37</v>
      </c>
      <c r="C9803" t="s">
        <v>24</v>
      </c>
      <c r="D9803">
        <v>1</v>
      </c>
    </row>
    <row r="9804" spans="1:4" ht="15.75" customHeight="1">
      <c r="A9804" t="s">
        <v>2960</v>
      </c>
      <c r="B9804" t="s">
        <v>37</v>
      </c>
      <c r="C9804" t="s">
        <v>24</v>
      </c>
      <c r="D9804">
        <v>1</v>
      </c>
    </row>
    <row r="9805" spans="1:4" ht="15.75" customHeight="1">
      <c r="A9805" t="s">
        <v>2904</v>
      </c>
      <c r="B9805" t="s">
        <v>37</v>
      </c>
      <c r="C9805" t="s">
        <v>24</v>
      </c>
      <c r="D9805">
        <v>1</v>
      </c>
    </row>
    <row r="9806" spans="1:4" ht="15.75" customHeight="1">
      <c r="A9806" t="s">
        <v>3372</v>
      </c>
      <c r="B9806" t="s">
        <v>37</v>
      </c>
      <c r="C9806" t="s">
        <v>24</v>
      </c>
      <c r="D9806">
        <v>1</v>
      </c>
    </row>
    <row r="9807" spans="1:4" ht="15.75" customHeight="1">
      <c r="A9807" t="s">
        <v>2932</v>
      </c>
      <c r="B9807" t="s">
        <v>37</v>
      </c>
      <c r="C9807" t="s">
        <v>24</v>
      </c>
      <c r="D9807">
        <v>1</v>
      </c>
    </row>
    <row r="9808" spans="1:4" ht="15.75" customHeight="1">
      <c r="A9808" t="s">
        <v>2900</v>
      </c>
      <c r="B9808" t="s">
        <v>37</v>
      </c>
      <c r="C9808" t="s">
        <v>24</v>
      </c>
      <c r="D9808">
        <v>1</v>
      </c>
    </row>
    <row r="9809" spans="1:4" ht="15.75" customHeight="1">
      <c r="A9809" t="s">
        <v>2952</v>
      </c>
      <c r="B9809" t="s">
        <v>37</v>
      </c>
      <c r="C9809" t="s">
        <v>24</v>
      </c>
      <c r="D9809">
        <v>1</v>
      </c>
    </row>
    <row r="9810" spans="1:4" ht="15.75" customHeight="1">
      <c r="A9810" t="s">
        <v>3336</v>
      </c>
      <c r="B9810" t="s">
        <v>37</v>
      </c>
      <c r="C9810" t="s">
        <v>24</v>
      </c>
      <c r="D9810">
        <v>1</v>
      </c>
    </row>
    <row r="9811" spans="1:4" ht="15.75" customHeight="1">
      <c r="A9811" t="s">
        <v>3374</v>
      </c>
      <c r="B9811" t="s">
        <v>37</v>
      </c>
      <c r="C9811" t="s">
        <v>24</v>
      </c>
      <c r="D9811">
        <v>1</v>
      </c>
    </row>
    <row r="9812" spans="1:4" ht="15.75" customHeight="1">
      <c r="A9812" t="s">
        <v>3376</v>
      </c>
      <c r="B9812" t="s">
        <v>37</v>
      </c>
      <c r="C9812" t="s">
        <v>24</v>
      </c>
      <c r="D9812">
        <v>1</v>
      </c>
    </row>
    <row r="9813" spans="1:4" ht="15.75" customHeight="1">
      <c r="A9813" t="s">
        <v>4890</v>
      </c>
      <c r="B9813" t="s">
        <v>37</v>
      </c>
      <c r="C9813" t="s">
        <v>24</v>
      </c>
      <c r="D9813">
        <v>1</v>
      </c>
    </row>
    <row r="9814" spans="1:4" ht="15.75" customHeight="1">
      <c r="A9814" t="s">
        <v>3378</v>
      </c>
      <c r="B9814" t="s">
        <v>37</v>
      </c>
      <c r="C9814" t="s">
        <v>24</v>
      </c>
      <c r="D9814">
        <v>1</v>
      </c>
    </row>
    <row r="9815" spans="1:4" ht="15.75" customHeight="1">
      <c r="A9815" t="s">
        <v>4150</v>
      </c>
      <c r="B9815" t="s">
        <v>37</v>
      </c>
      <c r="C9815" t="s">
        <v>24</v>
      </c>
      <c r="D9815">
        <v>1</v>
      </c>
    </row>
    <row r="9816" spans="1:4" ht="15.75" customHeight="1">
      <c r="A9816" t="s">
        <v>4851</v>
      </c>
      <c r="B9816" t="s">
        <v>37</v>
      </c>
      <c r="C9816" t="s">
        <v>24</v>
      </c>
      <c r="D9816">
        <v>1</v>
      </c>
    </row>
    <row r="9817" spans="1:4" ht="15.75" customHeight="1">
      <c r="A9817" t="s">
        <v>3380</v>
      </c>
      <c r="B9817" t="s">
        <v>37</v>
      </c>
      <c r="C9817" t="s">
        <v>24</v>
      </c>
      <c r="D9817">
        <v>1</v>
      </c>
    </row>
    <row r="9818" spans="1:4" ht="15.75" customHeight="1">
      <c r="A9818" t="s">
        <v>1571</v>
      </c>
      <c r="B9818" t="s">
        <v>37</v>
      </c>
      <c r="C9818" t="s">
        <v>24</v>
      </c>
      <c r="D9818">
        <v>1</v>
      </c>
    </row>
    <row r="9819" spans="1:4" ht="15.75" customHeight="1">
      <c r="A9819" t="s">
        <v>4176</v>
      </c>
      <c r="B9819" t="s">
        <v>37</v>
      </c>
      <c r="C9819" t="s">
        <v>24</v>
      </c>
      <c r="D9819">
        <v>1</v>
      </c>
    </row>
    <row r="9820" spans="1:4" ht="15.75" customHeight="1">
      <c r="A9820" t="s">
        <v>4186</v>
      </c>
      <c r="B9820" t="s">
        <v>37</v>
      </c>
      <c r="C9820" t="s">
        <v>24</v>
      </c>
      <c r="D9820">
        <v>1</v>
      </c>
    </row>
    <row r="9821" spans="1:4" ht="15.75" customHeight="1">
      <c r="A9821" t="s">
        <v>3768</v>
      </c>
      <c r="B9821" t="s">
        <v>37</v>
      </c>
      <c r="C9821" t="s">
        <v>24</v>
      </c>
      <c r="D9821">
        <v>1</v>
      </c>
    </row>
    <row r="9822" spans="1:4" ht="15.75" customHeight="1">
      <c r="A9822" t="s">
        <v>3382</v>
      </c>
      <c r="B9822" t="s">
        <v>37</v>
      </c>
      <c r="C9822" t="s">
        <v>24</v>
      </c>
      <c r="D9822">
        <v>1</v>
      </c>
    </row>
    <row r="9823" spans="1:4" ht="15.75" customHeight="1">
      <c r="A9823" t="s">
        <v>2323</v>
      </c>
      <c r="B9823" t="s">
        <v>37</v>
      </c>
      <c r="C9823" t="s">
        <v>24</v>
      </c>
      <c r="D9823">
        <v>1</v>
      </c>
    </row>
    <row r="9824" spans="1:4" ht="15.75" customHeight="1">
      <c r="A9824" t="s">
        <v>4876</v>
      </c>
      <c r="B9824" t="s">
        <v>37</v>
      </c>
      <c r="C9824" t="s">
        <v>24</v>
      </c>
      <c r="D9824">
        <v>1</v>
      </c>
    </row>
    <row r="9825" spans="1:4" ht="15.75" customHeight="1">
      <c r="A9825" t="s">
        <v>3770</v>
      </c>
      <c r="B9825" t="s">
        <v>37</v>
      </c>
      <c r="C9825" t="s">
        <v>24</v>
      </c>
      <c r="D9825">
        <v>1</v>
      </c>
    </row>
    <row r="9826" spans="1:4" ht="15.75" customHeight="1">
      <c r="A9826" t="s">
        <v>2922</v>
      </c>
      <c r="B9826" t="s">
        <v>37</v>
      </c>
      <c r="C9826" t="s">
        <v>24</v>
      </c>
      <c r="D9826">
        <v>1</v>
      </c>
    </row>
    <row r="9827" spans="1:4" ht="15.75" customHeight="1">
      <c r="A9827" t="s">
        <v>4861</v>
      </c>
      <c r="B9827" t="s">
        <v>37</v>
      </c>
      <c r="C9827" t="s">
        <v>24</v>
      </c>
      <c r="D9827">
        <v>1</v>
      </c>
    </row>
    <row r="9828" spans="1:4" ht="15.75" customHeight="1">
      <c r="A9828" t="s">
        <v>4898</v>
      </c>
      <c r="B9828" t="s">
        <v>37</v>
      </c>
      <c r="C9828" t="s">
        <v>24</v>
      </c>
      <c r="D9828">
        <v>1</v>
      </c>
    </row>
    <row r="9829" spans="1:4" ht="15.75" customHeight="1">
      <c r="A9829" t="s">
        <v>2359</v>
      </c>
      <c r="B9829" t="s">
        <v>37</v>
      </c>
      <c r="C9829" t="s">
        <v>24</v>
      </c>
      <c r="D9829">
        <v>1</v>
      </c>
    </row>
    <row r="9830" spans="1:4" ht="15.75" customHeight="1">
      <c r="A9830" t="s">
        <v>3774</v>
      </c>
      <c r="B9830" t="s">
        <v>37</v>
      </c>
      <c r="C9830" t="s">
        <v>24</v>
      </c>
      <c r="D9830">
        <v>1</v>
      </c>
    </row>
    <row r="9831" spans="1:4" ht="15.75" customHeight="1">
      <c r="A9831" t="s">
        <v>4855</v>
      </c>
      <c r="B9831" t="s">
        <v>37</v>
      </c>
      <c r="C9831" t="s">
        <v>24</v>
      </c>
      <c r="D9831">
        <v>1</v>
      </c>
    </row>
    <row r="9832" spans="1:4" ht="15.75" customHeight="1">
      <c r="A9832" t="s">
        <v>2912</v>
      </c>
      <c r="B9832" t="s">
        <v>37</v>
      </c>
      <c r="C9832" t="s">
        <v>24</v>
      </c>
      <c r="D9832">
        <v>1</v>
      </c>
    </row>
    <row r="9833" spans="1:4" ht="15.75" customHeight="1">
      <c r="A9833" t="s">
        <v>715</v>
      </c>
      <c r="B9833" t="s">
        <v>37</v>
      </c>
      <c r="C9833" t="s">
        <v>24</v>
      </c>
      <c r="D9833">
        <v>1</v>
      </c>
    </row>
    <row r="9834" spans="1:4" ht="15.75" customHeight="1">
      <c r="A9834" t="s">
        <v>3776</v>
      </c>
      <c r="B9834" t="s">
        <v>37</v>
      </c>
      <c r="C9834" t="s">
        <v>24</v>
      </c>
      <c r="D9834">
        <v>1</v>
      </c>
    </row>
    <row r="9835" spans="1:4" ht="15.75" customHeight="1">
      <c r="A9835" t="s">
        <v>3386</v>
      </c>
      <c r="B9835" t="s">
        <v>37</v>
      </c>
      <c r="C9835" t="s">
        <v>24</v>
      </c>
      <c r="D9835">
        <v>1</v>
      </c>
    </row>
    <row r="9836" spans="1:4" ht="15.75" customHeight="1">
      <c r="A9836" t="s">
        <v>3338</v>
      </c>
      <c r="B9836" t="s">
        <v>37</v>
      </c>
      <c r="C9836" t="s">
        <v>24</v>
      </c>
      <c r="D9836">
        <v>1</v>
      </c>
    </row>
    <row r="9837" spans="1:4" ht="15.75" customHeight="1">
      <c r="A9837" t="s">
        <v>3388</v>
      </c>
      <c r="B9837" t="s">
        <v>37</v>
      </c>
      <c r="C9837" t="s">
        <v>24</v>
      </c>
      <c r="D9837">
        <v>1</v>
      </c>
    </row>
    <row r="9838" spans="1:4" ht="15.75" customHeight="1">
      <c r="A9838" t="s">
        <v>4878</v>
      </c>
      <c r="B9838" t="s">
        <v>37</v>
      </c>
      <c r="C9838" t="s">
        <v>24</v>
      </c>
      <c r="D9838">
        <v>1</v>
      </c>
    </row>
    <row r="9839" spans="1:4" ht="15.75" customHeight="1">
      <c r="A9839" t="s">
        <v>2363</v>
      </c>
      <c r="B9839" t="s">
        <v>37</v>
      </c>
      <c r="C9839" t="s">
        <v>24</v>
      </c>
      <c r="D9839">
        <v>1</v>
      </c>
    </row>
    <row r="9840" spans="1:4" ht="15.75" customHeight="1">
      <c r="A9840" t="s">
        <v>4207</v>
      </c>
      <c r="B9840" t="s">
        <v>37</v>
      </c>
      <c r="C9840" t="s">
        <v>24</v>
      </c>
      <c r="D9840">
        <v>1</v>
      </c>
    </row>
    <row r="9841" spans="1:4" ht="15.75" customHeight="1">
      <c r="A9841" t="s">
        <v>767</v>
      </c>
      <c r="B9841" t="s">
        <v>37</v>
      </c>
      <c r="C9841" t="s">
        <v>24</v>
      </c>
      <c r="D9841">
        <v>1</v>
      </c>
    </row>
    <row r="9842" spans="1:4" ht="15.75" customHeight="1">
      <c r="A9842" t="s">
        <v>4178</v>
      </c>
      <c r="B9842" t="s">
        <v>37</v>
      </c>
      <c r="C9842" t="s">
        <v>24</v>
      </c>
      <c r="D9842">
        <v>1</v>
      </c>
    </row>
    <row r="9843" spans="1:4" ht="15.75" customHeight="1">
      <c r="A9843" t="s">
        <v>4167</v>
      </c>
      <c r="B9843" t="s">
        <v>37</v>
      </c>
      <c r="C9843" t="s">
        <v>24</v>
      </c>
      <c r="D9843">
        <v>1</v>
      </c>
    </row>
    <row r="9844" spans="1:4" ht="15.75" customHeight="1">
      <c r="A9844" t="s">
        <v>4155</v>
      </c>
      <c r="B9844" t="s">
        <v>37</v>
      </c>
      <c r="C9844" t="s">
        <v>24</v>
      </c>
      <c r="D9844">
        <v>1</v>
      </c>
    </row>
    <row r="9845" spans="1:4" ht="15.75" customHeight="1">
      <c r="A9845" t="s">
        <v>4152</v>
      </c>
      <c r="B9845" t="s">
        <v>37</v>
      </c>
      <c r="C9845" t="s">
        <v>24</v>
      </c>
      <c r="D9845">
        <v>1</v>
      </c>
    </row>
    <row r="9846" spans="1:4" ht="15.75" customHeight="1">
      <c r="A9846" t="s">
        <v>4845</v>
      </c>
      <c r="B9846" t="s">
        <v>37</v>
      </c>
      <c r="C9846" t="s">
        <v>24</v>
      </c>
      <c r="D9846">
        <v>1</v>
      </c>
    </row>
    <row r="9847" spans="1:4" ht="15.75" customHeight="1">
      <c r="A9847" t="s">
        <v>4900</v>
      </c>
      <c r="B9847" t="s">
        <v>37</v>
      </c>
      <c r="C9847" t="s">
        <v>24</v>
      </c>
      <c r="D9847">
        <v>1</v>
      </c>
    </row>
    <row r="9848" spans="1:4" ht="15.75" customHeight="1">
      <c r="A9848" t="s">
        <v>3324</v>
      </c>
      <c r="B9848" t="s">
        <v>37</v>
      </c>
      <c r="C9848" t="s">
        <v>24</v>
      </c>
      <c r="D9848">
        <v>1</v>
      </c>
    </row>
    <row r="9849" spans="1:4" ht="15.75" customHeight="1">
      <c r="A9849" t="s">
        <v>4212</v>
      </c>
      <c r="B9849" t="s">
        <v>37</v>
      </c>
      <c r="C9849" t="s">
        <v>24</v>
      </c>
      <c r="D9849">
        <v>1</v>
      </c>
    </row>
    <row r="9850" spans="1:4" ht="15.75" customHeight="1">
      <c r="A9850" t="s">
        <v>4214</v>
      </c>
      <c r="B9850" t="s">
        <v>37</v>
      </c>
      <c r="C9850" t="s">
        <v>24</v>
      </c>
      <c r="D9850">
        <v>1</v>
      </c>
    </row>
    <row r="9851" spans="1:4" ht="15.75" customHeight="1">
      <c r="A9851" t="s">
        <v>4161</v>
      </c>
      <c r="B9851" t="s">
        <v>37</v>
      </c>
      <c r="C9851" t="s">
        <v>24</v>
      </c>
      <c r="D9851">
        <v>1</v>
      </c>
    </row>
    <row r="9852" spans="1:4" ht="15.75" customHeight="1">
      <c r="A9852" t="s">
        <v>4868</v>
      </c>
      <c r="B9852" t="s">
        <v>37</v>
      </c>
      <c r="C9852" t="s">
        <v>24</v>
      </c>
      <c r="D9852">
        <v>1</v>
      </c>
    </row>
    <row r="9853" spans="1:4" ht="15.75" customHeight="1">
      <c r="A9853" t="s">
        <v>4157</v>
      </c>
      <c r="B9853" t="s">
        <v>37</v>
      </c>
      <c r="C9853" t="s">
        <v>24</v>
      </c>
      <c r="D9853">
        <v>1</v>
      </c>
    </row>
    <row r="9854" spans="1:4" ht="15.75" customHeight="1">
      <c r="A9854" t="s">
        <v>1821</v>
      </c>
      <c r="B9854" t="s">
        <v>37</v>
      </c>
      <c r="C9854" t="s">
        <v>24</v>
      </c>
      <c r="D9854">
        <v>1</v>
      </c>
    </row>
    <row r="9855" spans="1:4" ht="15.75" customHeight="1">
      <c r="A9855" t="s">
        <v>3778</v>
      </c>
      <c r="B9855" t="s">
        <v>37</v>
      </c>
      <c r="C9855" t="s">
        <v>24</v>
      </c>
      <c r="D9855">
        <v>1</v>
      </c>
    </row>
    <row r="9856" spans="1:4" ht="15.75" customHeight="1">
      <c r="A9856" t="s">
        <v>3780</v>
      </c>
      <c r="B9856" t="s">
        <v>37</v>
      </c>
      <c r="C9856" t="s">
        <v>24</v>
      </c>
      <c r="D9856">
        <v>1</v>
      </c>
    </row>
    <row r="9857" spans="1:4" ht="15.75" customHeight="1">
      <c r="A9857" t="s">
        <v>2293</v>
      </c>
      <c r="B9857" t="s">
        <v>37</v>
      </c>
      <c r="C9857" t="s">
        <v>24</v>
      </c>
      <c r="D9857">
        <v>1</v>
      </c>
    </row>
    <row r="9858" spans="1:4" ht="15.75" customHeight="1">
      <c r="A9858" t="s">
        <v>881</v>
      </c>
      <c r="B9858" t="s">
        <v>37</v>
      </c>
      <c r="C9858" t="s">
        <v>24</v>
      </c>
      <c r="D9858">
        <v>1</v>
      </c>
    </row>
    <row r="9859" spans="1:4" ht="15.75" customHeight="1">
      <c r="A9859" t="s">
        <v>3390</v>
      </c>
      <c r="B9859" t="s">
        <v>37</v>
      </c>
      <c r="C9859" t="s">
        <v>24</v>
      </c>
      <c r="D9859">
        <v>1</v>
      </c>
    </row>
    <row r="9860" spans="1:4" ht="15.75" customHeight="1">
      <c r="A9860" t="s">
        <v>2283</v>
      </c>
      <c r="B9860" t="s">
        <v>37</v>
      </c>
      <c r="C9860" t="s">
        <v>24</v>
      </c>
      <c r="D9860">
        <v>1</v>
      </c>
    </row>
    <row r="9861" spans="1:4" ht="15.75" customHeight="1">
      <c r="A9861" t="s">
        <v>2296</v>
      </c>
      <c r="B9861" t="s">
        <v>37</v>
      </c>
      <c r="C9861" t="s">
        <v>24</v>
      </c>
      <c r="D9861">
        <v>1</v>
      </c>
    </row>
    <row r="9862" spans="1:4" ht="15.75" customHeight="1">
      <c r="A9862" t="s">
        <v>1801</v>
      </c>
      <c r="B9862" t="s">
        <v>37</v>
      </c>
      <c r="C9862" t="s">
        <v>24</v>
      </c>
      <c r="D9862">
        <v>1</v>
      </c>
    </row>
    <row r="9863" spans="1:4" ht="15.75" customHeight="1">
      <c r="A9863" t="s">
        <v>1559</v>
      </c>
      <c r="B9863" t="s">
        <v>37</v>
      </c>
      <c r="C9863" t="s">
        <v>24</v>
      </c>
      <c r="D9863">
        <v>1</v>
      </c>
    </row>
    <row r="9864" spans="1:4" ht="15.75" customHeight="1">
      <c r="A9864" t="s">
        <v>4902</v>
      </c>
      <c r="B9864" t="s">
        <v>37</v>
      </c>
      <c r="C9864" t="s">
        <v>24</v>
      </c>
      <c r="D9864">
        <v>1</v>
      </c>
    </row>
    <row r="9865" spans="1:4" ht="15.75" customHeight="1">
      <c r="A9865" t="s">
        <v>3328</v>
      </c>
      <c r="B9865" t="s">
        <v>37</v>
      </c>
      <c r="C9865" t="s">
        <v>24</v>
      </c>
      <c r="D9865">
        <v>1</v>
      </c>
    </row>
    <row r="9866" spans="1:4" ht="15.75" customHeight="1">
      <c r="A9866" t="s">
        <v>3392</v>
      </c>
      <c r="B9866" t="s">
        <v>37</v>
      </c>
      <c r="C9866" t="s">
        <v>24</v>
      </c>
      <c r="D9866">
        <v>1</v>
      </c>
    </row>
    <row r="9867" spans="1:4" ht="15.75" customHeight="1">
      <c r="A9867" t="s">
        <v>4468</v>
      </c>
      <c r="B9867" t="s">
        <v>37</v>
      </c>
      <c r="C9867" t="s">
        <v>24</v>
      </c>
      <c r="D9867">
        <v>1</v>
      </c>
    </row>
    <row r="9868" spans="1:4" ht="15.75" customHeight="1">
      <c r="A9868" t="s">
        <v>810</v>
      </c>
      <c r="B9868" t="s">
        <v>37</v>
      </c>
      <c r="C9868" t="s">
        <v>24</v>
      </c>
      <c r="D9868">
        <v>1</v>
      </c>
    </row>
    <row r="9869" spans="1:4" ht="15.75" customHeight="1">
      <c r="A9869" t="s">
        <v>1541</v>
      </c>
      <c r="B9869" t="s">
        <v>37</v>
      </c>
      <c r="C9869" t="s">
        <v>24</v>
      </c>
      <c r="D9869">
        <v>1</v>
      </c>
    </row>
    <row r="9870" spans="1:4" ht="15.75" customHeight="1">
      <c r="A9870" t="s">
        <v>3394</v>
      </c>
      <c r="B9870" t="s">
        <v>37</v>
      </c>
      <c r="C9870" t="s">
        <v>24</v>
      </c>
      <c r="D9870">
        <v>1</v>
      </c>
    </row>
    <row r="9871" spans="1:4" ht="15.75" customHeight="1">
      <c r="A9871" t="s">
        <v>759</v>
      </c>
      <c r="B9871" t="s">
        <v>37</v>
      </c>
      <c r="C9871" t="s">
        <v>24</v>
      </c>
      <c r="D9871">
        <v>1</v>
      </c>
    </row>
    <row r="9872" spans="1:4" ht="15.75" customHeight="1">
      <c r="A9872" t="s">
        <v>3396</v>
      </c>
      <c r="B9872" t="s">
        <v>37</v>
      </c>
      <c r="C9872" t="s">
        <v>24</v>
      </c>
      <c r="D9872">
        <v>1</v>
      </c>
    </row>
    <row r="9873" spans="1:4" ht="15.75" customHeight="1">
      <c r="A9873" t="s">
        <v>1573</v>
      </c>
      <c r="B9873" t="s">
        <v>37</v>
      </c>
      <c r="C9873" t="s">
        <v>24</v>
      </c>
      <c r="D9873">
        <v>1</v>
      </c>
    </row>
    <row r="9874" spans="1:4" ht="15.75" customHeight="1">
      <c r="A9874" t="s">
        <v>1513</v>
      </c>
      <c r="B9874" t="s">
        <v>37</v>
      </c>
      <c r="C9874" t="s">
        <v>24</v>
      </c>
      <c r="D9874">
        <v>1</v>
      </c>
    </row>
    <row r="9875" spans="1:4" ht="15.75" customHeight="1">
      <c r="A9875" t="s">
        <v>1487</v>
      </c>
      <c r="B9875" t="s">
        <v>37</v>
      </c>
      <c r="C9875" t="s">
        <v>24</v>
      </c>
      <c r="D9875">
        <v>1</v>
      </c>
    </row>
    <row r="9876" spans="1:4" ht="15.75" customHeight="1">
      <c r="A9876" t="s">
        <v>1467</v>
      </c>
      <c r="B9876" t="s">
        <v>37</v>
      </c>
      <c r="C9876" t="s">
        <v>24</v>
      </c>
      <c r="D9876">
        <v>1</v>
      </c>
    </row>
    <row r="9877" spans="1:4" ht="15.75" customHeight="1">
      <c r="A9877" t="s">
        <v>1515</v>
      </c>
      <c r="B9877" t="s">
        <v>37</v>
      </c>
      <c r="C9877" t="s">
        <v>24</v>
      </c>
      <c r="D9877">
        <v>1</v>
      </c>
    </row>
    <row r="9878" spans="1:4" ht="15.75" customHeight="1">
      <c r="A9878" t="s">
        <v>4189</v>
      </c>
      <c r="B9878" t="s">
        <v>37</v>
      </c>
      <c r="C9878" t="s">
        <v>24</v>
      </c>
      <c r="D9878">
        <v>1</v>
      </c>
    </row>
    <row r="9879" spans="1:4" ht="15.75" customHeight="1">
      <c r="A9879" t="s">
        <v>4470</v>
      </c>
      <c r="B9879" t="s">
        <v>37</v>
      </c>
      <c r="C9879" t="s">
        <v>24</v>
      </c>
      <c r="D9879">
        <v>1</v>
      </c>
    </row>
    <row r="9880" spans="1:4" ht="15.75" customHeight="1">
      <c r="A9880" t="s">
        <v>4472</v>
      </c>
      <c r="B9880" t="s">
        <v>37</v>
      </c>
      <c r="C9880" t="s">
        <v>24</v>
      </c>
      <c r="D9880">
        <v>1</v>
      </c>
    </row>
    <row r="9881" spans="1:4" ht="15.75" customHeight="1">
      <c r="A9881" t="s">
        <v>903</v>
      </c>
      <c r="B9881" t="s">
        <v>37</v>
      </c>
      <c r="C9881" t="s">
        <v>24</v>
      </c>
      <c r="D9881">
        <v>1</v>
      </c>
    </row>
    <row r="9882" spans="1:4" ht="15.75" customHeight="1">
      <c r="A9882" t="s">
        <v>1575</v>
      </c>
      <c r="B9882" t="s">
        <v>37</v>
      </c>
      <c r="C9882" t="s">
        <v>24</v>
      </c>
      <c r="D9882">
        <v>1</v>
      </c>
    </row>
    <row r="9883" spans="1:4" ht="15.75" customHeight="1">
      <c r="A9883" t="s">
        <v>4474</v>
      </c>
      <c r="B9883" t="s">
        <v>37</v>
      </c>
      <c r="C9883" t="s">
        <v>24</v>
      </c>
      <c r="D9883">
        <v>1</v>
      </c>
    </row>
    <row r="9884" spans="1:4" ht="15.75" customHeight="1">
      <c r="A9884" t="s">
        <v>798</v>
      </c>
      <c r="B9884" t="s">
        <v>37</v>
      </c>
      <c r="C9884" t="s">
        <v>24</v>
      </c>
      <c r="D9884">
        <v>1</v>
      </c>
    </row>
    <row r="9885" spans="1:4" ht="15.75" customHeight="1">
      <c r="A9885" t="s">
        <v>2938</v>
      </c>
      <c r="B9885" t="s">
        <v>37</v>
      </c>
      <c r="C9885" t="s">
        <v>24</v>
      </c>
      <c r="D9885">
        <v>1</v>
      </c>
    </row>
    <row r="9886" spans="1:4" ht="15.75" customHeight="1">
      <c r="A9886" t="s">
        <v>1469</v>
      </c>
      <c r="B9886" t="s">
        <v>37</v>
      </c>
      <c r="C9886" t="s">
        <v>24</v>
      </c>
      <c r="D9886">
        <v>1</v>
      </c>
    </row>
    <row r="9887" spans="1:4" ht="15.75" customHeight="1">
      <c r="A9887" t="s">
        <v>1561</v>
      </c>
      <c r="B9887" t="s">
        <v>37</v>
      </c>
      <c r="C9887" t="s">
        <v>24</v>
      </c>
      <c r="D9887">
        <v>1</v>
      </c>
    </row>
    <row r="9888" spans="1:4" ht="15.75" customHeight="1">
      <c r="A9888" t="s">
        <v>2956</v>
      </c>
      <c r="B9888" t="s">
        <v>37</v>
      </c>
      <c r="C9888" t="s">
        <v>24</v>
      </c>
      <c r="D9888">
        <v>1</v>
      </c>
    </row>
    <row r="9889" spans="1:4" ht="15.75" customHeight="1">
      <c r="A9889" t="s">
        <v>4870</v>
      </c>
      <c r="B9889" t="s">
        <v>37</v>
      </c>
      <c r="C9889" t="s">
        <v>24</v>
      </c>
      <c r="D9889">
        <v>1</v>
      </c>
    </row>
    <row r="9890" spans="1:4" ht="15.75" customHeight="1">
      <c r="A9890" t="s">
        <v>1543</v>
      </c>
      <c r="B9890" t="s">
        <v>37</v>
      </c>
      <c r="C9890" t="s">
        <v>24</v>
      </c>
      <c r="D9890">
        <v>1</v>
      </c>
    </row>
    <row r="9891" spans="1:4" ht="15.75" customHeight="1">
      <c r="A9891" t="s">
        <v>1577</v>
      </c>
      <c r="B9891" t="s">
        <v>37</v>
      </c>
      <c r="C9891" t="s">
        <v>24</v>
      </c>
      <c r="D9891">
        <v>1</v>
      </c>
    </row>
    <row r="9892" spans="1:4" ht="15.75" customHeight="1">
      <c r="A9892" t="s">
        <v>1825</v>
      </c>
      <c r="B9892" t="s">
        <v>37</v>
      </c>
      <c r="C9892" t="s">
        <v>24</v>
      </c>
      <c r="D9892">
        <v>1</v>
      </c>
    </row>
    <row r="9893" spans="1:4" ht="15.75" customHeight="1">
      <c r="A9893" t="s">
        <v>2369</v>
      </c>
      <c r="B9893" t="s">
        <v>37</v>
      </c>
      <c r="C9893" t="s">
        <v>24</v>
      </c>
      <c r="D9893">
        <v>1</v>
      </c>
    </row>
    <row r="9894" spans="1:4" ht="15.75" customHeight="1">
      <c r="A9894" t="s">
        <v>2371</v>
      </c>
      <c r="B9894" t="s">
        <v>37</v>
      </c>
      <c r="C9894" t="s">
        <v>24</v>
      </c>
      <c r="D9894">
        <v>1</v>
      </c>
    </row>
    <row r="9895" spans="1:4" ht="15.75" customHeight="1">
      <c r="A9895" t="s">
        <v>3783</v>
      </c>
      <c r="B9895" t="s">
        <v>37</v>
      </c>
      <c r="C9895" t="s">
        <v>24</v>
      </c>
      <c r="D9895">
        <v>1</v>
      </c>
    </row>
    <row r="9896" spans="1:4" ht="15.75" customHeight="1">
      <c r="A9896" t="s">
        <v>3398</v>
      </c>
      <c r="B9896" t="s">
        <v>37</v>
      </c>
      <c r="C9896" t="s">
        <v>24</v>
      </c>
      <c r="D9896">
        <v>1</v>
      </c>
    </row>
    <row r="9897" spans="1:4" ht="15.75" customHeight="1">
      <c r="A9897" t="s">
        <v>3400</v>
      </c>
      <c r="B9897" t="s">
        <v>37</v>
      </c>
      <c r="C9897" t="s">
        <v>24</v>
      </c>
      <c r="D9897">
        <v>1</v>
      </c>
    </row>
    <row r="9898" spans="1:4" ht="15.75" customHeight="1">
      <c r="A9898" t="s">
        <v>3402</v>
      </c>
      <c r="B9898" t="s">
        <v>37</v>
      </c>
      <c r="C9898" t="s">
        <v>24</v>
      </c>
      <c r="D9898">
        <v>1</v>
      </c>
    </row>
    <row r="9899" spans="1:4" ht="15.75" customHeight="1">
      <c r="A9899" t="s">
        <v>3737</v>
      </c>
      <c r="B9899" t="s">
        <v>37</v>
      </c>
      <c r="C9899" t="s">
        <v>24</v>
      </c>
      <c r="D9899">
        <v>1</v>
      </c>
    </row>
    <row r="9900" spans="1:4" ht="15.75" customHeight="1">
      <c r="A9900" t="s">
        <v>1499</v>
      </c>
      <c r="B9900" t="s">
        <v>37</v>
      </c>
      <c r="C9900" t="s">
        <v>24</v>
      </c>
      <c r="D9900">
        <v>1</v>
      </c>
    </row>
    <row r="9901" spans="1:4" ht="15.75" customHeight="1">
      <c r="A9901" t="s">
        <v>2303</v>
      </c>
      <c r="B9901" t="s">
        <v>37</v>
      </c>
      <c r="C9901" t="s">
        <v>24</v>
      </c>
      <c r="D9901">
        <v>1</v>
      </c>
    </row>
    <row r="9902" spans="1:4" ht="15.75" customHeight="1">
      <c r="A9902" t="s">
        <v>2305</v>
      </c>
      <c r="B9902" t="s">
        <v>37</v>
      </c>
      <c r="C9902" t="s">
        <v>24</v>
      </c>
      <c r="D9902">
        <v>1</v>
      </c>
    </row>
    <row r="9903" spans="1:4" ht="15.75" customHeight="1">
      <c r="A9903" t="s">
        <v>4191</v>
      </c>
      <c r="B9903" t="s">
        <v>37</v>
      </c>
      <c r="C9903" t="s">
        <v>24</v>
      </c>
      <c r="D9903">
        <v>1</v>
      </c>
    </row>
    <row r="9904" spans="1:4" ht="15.75" customHeight="1">
      <c r="A9904" t="s">
        <v>1545</v>
      </c>
      <c r="B9904" t="s">
        <v>37</v>
      </c>
      <c r="C9904" t="s">
        <v>24</v>
      </c>
      <c r="D9904">
        <v>1</v>
      </c>
    </row>
    <row r="9905" spans="1:4" ht="15.75" customHeight="1">
      <c r="A9905" t="s">
        <v>4193</v>
      </c>
      <c r="B9905" t="s">
        <v>37</v>
      </c>
      <c r="C9905" t="s">
        <v>24</v>
      </c>
      <c r="D9905">
        <v>1</v>
      </c>
    </row>
    <row r="9906" spans="1:4" ht="15.75" customHeight="1">
      <c r="A9906" t="s">
        <v>3731</v>
      </c>
      <c r="B9906" t="s">
        <v>37</v>
      </c>
      <c r="C9906" t="s">
        <v>24</v>
      </c>
      <c r="D9906">
        <v>1</v>
      </c>
    </row>
    <row r="9907" spans="1:4" ht="15.75" customHeight="1">
      <c r="A9907" t="s">
        <v>4905</v>
      </c>
      <c r="B9907" t="s">
        <v>37</v>
      </c>
      <c r="C9907" t="s">
        <v>24</v>
      </c>
      <c r="D9907">
        <v>1</v>
      </c>
    </row>
    <row r="9908" spans="1:4" ht="15.75" customHeight="1">
      <c r="A9908" t="s">
        <v>719</v>
      </c>
      <c r="B9908" t="s">
        <v>37</v>
      </c>
      <c r="C9908" t="s">
        <v>39</v>
      </c>
      <c r="D9908">
        <v>466</v>
      </c>
    </row>
    <row r="9909" spans="1:4" ht="15.75" customHeight="1">
      <c r="A9909" t="s">
        <v>712</v>
      </c>
      <c r="B9909" t="s">
        <v>37</v>
      </c>
      <c r="C9909" t="s">
        <v>39</v>
      </c>
      <c r="D9909">
        <v>464</v>
      </c>
    </row>
    <row r="9910" spans="1:4" ht="15.75" customHeight="1">
      <c r="A9910" t="s">
        <v>761</v>
      </c>
      <c r="B9910" t="s">
        <v>37</v>
      </c>
      <c r="C9910" t="s">
        <v>39</v>
      </c>
      <c r="D9910">
        <v>461</v>
      </c>
    </row>
    <row r="9911" spans="1:4" ht="15.75" customHeight="1">
      <c r="A9911" t="s">
        <v>721</v>
      </c>
      <c r="B9911" t="s">
        <v>37</v>
      </c>
      <c r="C9911" t="s">
        <v>39</v>
      </c>
      <c r="D9911">
        <v>459</v>
      </c>
    </row>
    <row r="9912" spans="1:4" ht="15.75" customHeight="1">
      <c r="A9912" t="s">
        <v>724</v>
      </c>
      <c r="B9912" t="s">
        <v>37</v>
      </c>
      <c r="C9912" t="s">
        <v>39</v>
      </c>
      <c r="D9912">
        <v>459</v>
      </c>
    </row>
    <row r="9913" spans="1:4" ht="15.75" customHeight="1">
      <c r="A9913" t="s">
        <v>734</v>
      </c>
      <c r="B9913" t="s">
        <v>37</v>
      </c>
      <c r="C9913" t="s">
        <v>39</v>
      </c>
      <c r="D9913">
        <v>456</v>
      </c>
    </row>
    <row r="9914" spans="1:4" ht="15.75" customHeight="1">
      <c r="A9914" t="s">
        <v>831</v>
      </c>
      <c r="B9914" t="s">
        <v>37</v>
      </c>
      <c r="C9914" t="s">
        <v>39</v>
      </c>
      <c r="D9914">
        <v>456</v>
      </c>
    </row>
    <row r="9915" spans="1:4" ht="15.75" customHeight="1">
      <c r="A9915" t="s">
        <v>1455</v>
      </c>
      <c r="B9915" t="s">
        <v>37</v>
      </c>
      <c r="C9915" t="s">
        <v>39</v>
      </c>
      <c r="D9915">
        <v>455</v>
      </c>
    </row>
    <row r="9916" spans="1:4" ht="15.75" customHeight="1">
      <c r="A9916" t="s">
        <v>802</v>
      </c>
      <c r="B9916" t="s">
        <v>37</v>
      </c>
      <c r="C9916" t="s">
        <v>39</v>
      </c>
      <c r="D9916">
        <v>455</v>
      </c>
    </row>
    <row r="9917" spans="1:4" ht="15.75" customHeight="1">
      <c r="A9917" t="s">
        <v>751</v>
      </c>
      <c r="B9917" t="s">
        <v>37</v>
      </c>
      <c r="C9917" t="s">
        <v>39</v>
      </c>
      <c r="D9917">
        <v>452</v>
      </c>
    </row>
    <row r="9918" spans="1:4" ht="15.75" customHeight="1">
      <c r="A9918" t="s">
        <v>1521</v>
      </c>
      <c r="B9918" t="s">
        <v>37</v>
      </c>
      <c r="C9918" t="s">
        <v>39</v>
      </c>
      <c r="D9918">
        <v>447</v>
      </c>
    </row>
    <row r="9919" spans="1:4" ht="15.75" customHeight="1">
      <c r="A9919" t="s">
        <v>736</v>
      </c>
      <c r="B9919" t="s">
        <v>37</v>
      </c>
      <c r="C9919" t="s">
        <v>39</v>
      </c>
      <c r="D9919">
        <v>440</v>
      </c>
    </row>
    <row r="9920" spans="1:4" ht="15.75" customHeight="1">
      <c r="A9920" t="s">
        <v>754</v>
      </c>
      <c r="B9920" t="s">
        <v>37</v>
      </c>
      <c r="C9920" t="s">
        <v>39</v>
      </c>
      <c r="D9920">
        <v>438</v>
      </c>
    </row>
    <row r="9921" spans="1:4" ht="15.75" customHeight="1">
      <c r="A9921" t="s">
        <v>814</v>
      </c>
      <c r="B9921" t="s">
        <v>37</v>
      </c>
      <c r="C9921" t="s">
        <v>39</v>
      </c>
      <c r="D9921">
        <v>433</v>
      </c>
    </row>
    <row r="9922" spans="1:4" ht="15.75" customHeight="1">
      <c r="A9922" t="s">
        <v>800</v>
      </c>
      <c r="B9922" t="s">
        <v>37</v>
      </c>
      <c r="C9922" t="s">
        <v>39</v>
      </c>
      <c r="D9922">
        <v>433</v>
      </c>
    </row>
    <row r="9923" spans="1:4" ht="15.75" customHeight="1">
      <c r="A9923" t="s">
        <v>709</v>
      </c>
      <c r="B9923" t="s">
        <v>37</v>
      </c>
      <c r="C9923" t="s">
        <v>39</v>
      </c>
      <c r="D9923">
        <v>432</v>
      </c>
    </row>
    <row r="9924" spans="1:4" ht="15.75" customHeight="1">
      <c r="A9924" t="s">
        <v>727</v>
      </c>
      <c r="B9924" t="s">
        <v>37</v>
      </c>
      <c r="C9924" t="s">
        <v>39</v>
      </c>
      <c r="D9924">
        <v>431</v>
      </c>
    </row>
    <row r="9925" spans="1:4" ht="15.75" customHeight="1">
      <c r="A9925" t="s">
        <v>822</v>
      </c>
      <c r="B9925" t="s">
        <v>37</v>
      </c>
      <c r="C9925" t="s">
        <v>39</v>
      </c>
      <c r="D9925">
        <v>430</v>
      </c>
    </row>
    <row r="9926" spans="1:4" ht="15.75" customHeight="1">
      <c r="A9926" t="s">
        <v>769</v>
      </c>
      <c r="B9926" t="s">
        <v>37</v>
      </c>
      <c r="C9926" t="s">
        <v>39</v>
      </c>
      <c r="D9926">
        <v>430</v>
      </c>
    </row>
    <row r="9927" spans="1:4" ht="15.75" customHeight="1">
      <c r="A9927" t="s">
        <v>2924</v>
      </c>
      <c r="B9927" t="s">
        <v>37</v>
      </c>
      <c r="C9927" t="s">
        <v>39</v>
      </c>
      <c r="D9927">
        <v>429</v>
      </c>
    </row>
    <row r="9928" spans="1:4" ht="15.75" customHeight="1">
      <c r="A9928" t="s">
        <v>909</v>
      </c>
      <c r="B9928" t="s">
        <v>37</v>
      </c>
      <c r="C9928" t="s">
        <v>39</v>
      </c>
      <c r="D9928">
        <v>427</v>
      </c>
    </row>
    <row r="9929" spans="1:4" ht="15.75" customHeight="1">
      <c r="A9929" t="s">
        <v>840</v>
      </c>
      <c r="B9929" t="s">
        <v>37</v>
      </c>
      <c r="C9929" t="s">
        <v>39</v>
      </c>
      <c r="D9929">
        <v>422</v>
      </c>
    </row>
    <row r="9930" spans="1:4" ht="15.75" customHeight="1">
      <c r="A9930" t="s">
        <v>778</v>
      </c>
      <c r="B9930" t="s">
        <v>37</v>
      </c>
      <c r="C9930" t="s">
        <v>39</v>
      </c>
      <c r="D9930">
        <v>422</v>
      </c>
    </row>
    <row r="9931" spans="1:4" ht="15.75" customHeight="1">
      <c r="A9931" t="s">
        <v>765</v>
      </c>
      <c r="B9931" t="s">
        <v>37</v>
      </c>
      <c r="C9931" t="s">
        <v>39</v>
      </c>
      <c r="D9931">
        <v>420</v>
      </c>
    </row>
    <row r="9932" spans="1:4" ht="15.75" customHeight="1">
      <c r="A9932" t="s">
        <v>808</v>
      </c>
      <c r="B9932" t="s">
        <v>37</v>
      </c>
      <c r="C9932" t="s">
        <v>39</v>
      </c>
      <c r="D9932">
        <v>418</v>
      </c>
    </row>
    <row r="9933" spans="1:4" ht="15.75" customHeight="1">
      <c r="A9933" t="s">
        <v>746</v>
      </c>
      <c r="B9933" t="s">
        <v>37</v>
      </c>
      <c r="C9933" t="s">
        <v>39</v>
      </c>
      <c r="D9933">
        <v>418</v>
      </c>
    </row>
    <row r="9934" spans="1:4" ht="15.75" customHeight="1">
      <c r="A9934" t="s">
        <v>804</v>
      </c>
      <c r="B9934" t="s">
        <v>37</v>
      </c>
      <c r="C9934" t="s">
        <v>39</v>
      </c>
      <c r="D9934">
        <v>415</v>
      </c>
    </row>
    <row r="9935" spans="1:4" ht="15.75" customHeight="1">
      <c r="A9935" t="s">
        <v>1503</v>
      </c>
      <c r="B9935" t="s">
        <v>37</v>
      </c>
      <c r="C9935" t="s">
        <v>39</v>
      </c>
      <c r="D9935">
        <v>412</v>
      </c>
    </row>
    <row r="9936" spans="1:4" ht="15.75" customHeight="1">
      <c r="A9936" t="s">
        <v>816</v>
      </c>
      <c r="B9936" t="s">
        <v>37</v>
      </c>
      <c r="C9936" t="s">
        <v>39</v>
      </c>
      <c r="D9936">
        <v>410</v>
      </c>
    </row>
    <row r="9937" spans="1:4" ht="15.75" customHeight="1">
      <c r="A9937" t="s">
        <v>1461</v>
      </c>
      <c r="B9937" t="s">
        <v>37</v>
      </c>
      <c r="C9937" t="s">
        <v>39</v>
      </c>
      <c r="D9937">
        <v>408</v>
      </c>
    </row>
    <row r="9938" spans="1:4" ht="15.75" customHeight="1">
      <c r="A9938" t="s">
        <v>820</v>
      </c>
      <c r="B9938" t="s">
        <v>37</v>
      </c>
      <c r="C9938" t="s">
        <v>39</v>
      </c>
      <c r="D9938">
        <v>408</v>
      </c>
    </row>
    <row r="9939" spans="1:4" ht="15.75" customHeight="1">
      <c r="A9939" t="s">
        <v>2353</v>
      </c>
      <c r="B9939" t="s">
        <v>37</v>
      </c>
      <c r="C9939" t="s">
        <v>39</v>
      </c>
      <c r="D9939">
        <v>407</v>
      </c>
    </row>
    <row r="9940" spans="1:4" ht="15.75" customHeight="1">
      <c r="A9940" t="s">
        <v>1511</v>
      </c>
      <c r="B9940" t="s">
        <v>37</v>
      </c>
      <c r="C9940" t="s">
        <v>39</v>
      </c>
      <c r="D9940">
        <v>406</v>
      </c>
    </row>
    <row r="9941" spans="1:4" ht="15.75" customHeight="1">
      <c r="A9941" t="s">
        <v>837</v>
      </c>
      <c r="B9941" t="s">
        <v>37</v>
      </c>
      <c r="C9941" t="s">
        <v>39</v>
      </c>
      <c r="D9941">
        <v>405</v>
      </c>
    </row>
    <row r="9942" spans="1:4" ht="15.75" customHeight="1">
      <c r="A9942" t="s">
        <v>2926</v>
      </c>
      <c r="B9942" t="s">
        <v>37</v>
      </c>
      <c r="C9942" t="s">
        <v>39</v>
      </c>
      <c r="D9942">
        <v>404</v>
      </c>
    </row>
    <row r="9943" spans="1:4" ht="15.75" customHeight="1">
      <c r="A9943" t="s">
        <v>905</v>
      </c>
      <c r="B9943" t="s">
        <v>37</v>
      </c>
      <c r="C9943" t="s">
        <v>39</v>
      </c>
      <c r="D9943">
        <v>403</v>
      </c>
    </row>
    <row r="9944" spans="1:4" ht="15.75" customHeight="1">
      <c r="A9944" t="s">
        <v>784</v>
      </c>
      <c r="B9944" t="s">
        <v>37</v>
      </c>
      <c r="C9944" t="s">
        <v>39</v>
      </c>
      <c r="D9944">
        <v>401</v>
      </c>
    </row>
    <row r="9945" spans="1:4" ht="15.75" customHeight="1">
      <c r="A9945" t="s">
        <v>790</v>
      </c>
      <c r="B9945" t="s">
        <v>37</v>
      </c>
      <c r="C9945" t="s">
        <v>39</v>
      </c>
      <c r="D9945">
        <v>400</v>
      </c>
    </row>
    <row r="9946" spans="1:4" ht="15.75" customHeight="1">
      <c r="A9946" t="s">
        <v>706</v>
      </c>
      <c r="B9946" t="s">
        <v>37</v>
      </c>
      <c r="C9946" t="s">
        <v>39</v>
      </c>
      <c r="D9946">
        <v>400</v>
      </c>
    </row>
    <row r="9947" spans="1:4" ht="15.75" customHeight="1">
      <c r="A9947" t="s">
        <v>2359</v>
      </c>
      <c r="B9947" t="s">
        <v>37</v>
      </c>
      <c r="C9947" t="s">
        <v>39</v>
      </c>
      <c r="D9947">
        <v>399</v>
      </c>
    </row>
    <row r="9948" spans="1:4" ht="15.75" customHeight="1">
      <c r="A9948" t="s">
        <v>824</v>
      </c>
      <c r="B9948" t="s">
        <v>37</v>
      </c>
      <c r="C9948" t="s">
        <v>39</v>
      </c>
      <c r="D9948">
        <v>397</v>
      </c>
    </row>
    <row r="9949" spans="1:4" ht="15.75" customHeight="1">
      <c r="A9949" t="s">
        <v>2934</v>
      </c>
      <c r="B9949" t="s">
        <v>37</v>
      </c>
      <c r="C9949" t="s">
        <v>39</v>
      </c>
      <c r="D9949">
        <v>392</v>
      </c>
    </row>
    <row r="9950" spans="1:4" ht="15.75" customHeight="1">
      <c r="A9950" t="s">
        <v>863</v>
      </c>
      <c r="B9950" t="s">
        <v>37</v>
      </c>
      <c r="C9950" t="s">
        <v>39</v>
      </c>
      <c r="D9950">
        <v>392</v>
      </c>
    </row>
    <row r="9951" spans="1:4" ht="15.75" customHeight="1">
      <c r="A9951" s="7" t="s">
        <v>740</v>
      </c>
      <c r="B9951" t="s">
        <v>37</v>
      </c>
      <c r="C9951" t="s">
        <v>39</v>
      </c>
      <c r="D9951">
        <v>389</v>
      </c>
    </row>
    <row r="9952" spans="1:4" ht="15.75" customHeight="1">
      <c r="A9952" t="s">
        <v>826</v>
      </c>
      <c r="B9952" t="s">
        <v>37</v>
      </c>
      <c r="C9952" t="s">
        <v>39</v>
      </c>
      <c r="D9952">
        <v>389</v>
      </c>
    </row>
    <row r="9953" spans="1:4" ht="15.75" customHeight="1">
      <c r="A9953" t="s">
        <v>828</v>
      </c>
      <c r="B9953" t="s">
        <v>37</v>
      </c>
      <c r="C9953" t="s">
        <v>39</v>
      </c>
      <c r="D9953">
        <v>389</v>
      </c>
    </row>
    <row r="9954" spans="1:4" ht="15.75" customHeight="1">
      <c r="A9954" t="s">
        <v>873</v>
      </c>
      <c r="B9954" t="s">
        <v>37</v>
      </c>
      <c r="C9954" t="s">
        <v>39</v>
      </c>
      <c r="D9954">
        <v>389</v>
      </c>
    </row>
    <row r="9955" spans="1:4" ht="15.75" customHeight="1">
      <c r="A9955" t="s">
        <v>780</v>
      </c>
      <c r="B9955" t="s">
        <v>37</v>
      </c>
      <c r="C9955" t="s">
        <v>39</v>
      </c>
      <c r="D9955">
        <v>388</v>
      </c>
    </row>
    <row r="9956" spans="1:4" ht="15.75" customHeight="1">
      <c r="A9956" t="s">
        <v>763</v>
      </c>
      <c r="B9956" t="s">
        <v>37</v>
      </c>
      <c r="C9956" t="s">
        <v>39</v>
      </c>
      <c r="D9956">
        <v>388</v>
      </c>
    </row>
    <row r="9957" spans="1:4" ht="15.75" customHeight="1">
      <c r="A9957" t="s">
        <v>776</v>
      </c>
      <c r="B9957" t="s">
        <v>37</v>
      </c>
      <c r="C9957" t="s">
        <v>39</v>
      </c>
      <c r="D9957">
        <v>387</v>
      </c>
    </row>
    <row r="9958" spans="1:4" ht="15.75" customHeight="1">
      <c r="A9958" t="s">
        <v>889</v>
      </c>
      <c r="B9958" t="s">
        <v>37</v>
      </c>
      <c r="C9958" t="s">
        <v>39</v>
      </c>
      <c r="D9958">
        <v>386</v>
      </c>
    </row>
    <row r="9959" spans="1:4" ht="15.75" customHeight="1">
      <c r="A9959" t="s">
        <v>887</v>
      </c>
      <c r="B9959" t="s">
        <v>37</v>
      </c>
      <c r="C9959" t="s">
        <v>39</v>
      </c>
      <c r="D9959">
        <v>382</v>
      </c>
    </row>
    <row r="9960" spans="1:4" ht="15.75" customHeight="1">
      <c r="A9960" t="s">
        <v>788</v>
      </c>
      <c r="B9960" t="s">
        <v>37</v>
      </c>
      <c r="C9960" t="s">
        <v>39</v>
      </c>
      <c r="D9960">
        <v>382</v>
      </c>
    </row>
    <row r="9961" spans="1:4" ht="15.75" customHeight="1">
      <c r="A9961" t="s">
        <v>2361</v>
      </c>
      <c r="B9961" t="s">
        <v>37</v>
      </c>
      <c r="C9961" t="s">
        <v>39</v>
      </c>
      <c r="D9961">
        <v>382</v>
      </c>
    </row>
    <row r="9962" spans="1:4" ht="15.75" customHeight="1">
      <c r="A9962" t="s">
        <v>833</v>
      </c>
      <c r="B9962" t="s">
        <v>37</v>
      </c>
      <c r="C9962" t="s">
        <v>39</v>
      </c>
      <c r="D9962">
        <v>382</v>
      </c>
    </row>
    <row r="9963" spans="1:4" ht="15.75" customHeight="1">
      <c r="A9963" t="s">
        <v>3785</v>
      </c>
      <c r="B9963" t="s">
        <v>37</v>
      </c>
      <c r="C9963" t="s">
        <v>39</v>
      </c>
      <c r="D9963">
        <v>382</v>
      </c>
    </row>
    <row r="9964" spans="1:4" ht="15.75" customHeight="1">
      <c r="A9964" t="s">
        <v>2943</v>
      </c>
      <c r="B9964" t="s">
        <v>37</v>
      </c>
      <c r="C9964" t="s">
        <v>39</v>
      </c>
      <c r="D9964">
        <v>380</v>
      </c>
    </row>
    <row r="9965" spans="1:4" ht="15.75" customHeight="1">
      <c r="A9965" t="s">
        <v>917</v>
      </c>
      <c r="B9965" t="s">
        <v>37</v>
      </c>
      <c r="C9965" t="s">
        <v>39</v>
      </c>
      <c r="D9965">
        <v>380</v>
      </c>
    </row>
    <row r="9966" spans="1:4" ht="15.75" customHeight="1">
      <c r="A9966" t="s">
        <v>875</v>
      </c>
      <c r="B9966" t="s">
        <v>37</v>
      </c>
      <c r="C9966" t="s">
        <v>39</v>
      </c>
      <c r="D9966">
        <v>379</v>
      </c>
    </row>
    <row r="9967" spans="1:4" ht="15.75" customHeight="1">
      <c r="A9967" t="s">
        <v>891</v>
      </c>
      <c r="B9967" t="s">
        <v>37</v>
      </c>
      <c r="C9967" t="s">
        <v>39</v>
      </c>
      <c r="D9967">
        <v>378</v>
      </c>
    </row>
    <row r="9968" spans="1:4" ht="15.75" customHeight="1">
      <c r="A9968" t="s">
        <v>2894</v>
      </c>
      <c r="B9968" t="s">
        <v>37</v>
      </c>
      <c r="C9968" t="s">
        <v>39</v>
      </c>
      <c r="D9968">
        <v>378</v>
      </c>
    </row>
    <row r="9969" spans="1:4" ht="15.75" customHeight="1">
      <c r="A9969" t="s">
        <v>1563</v>
      </c>
      <c r="B9969" t="s">
        <v>37</v>
      </c>
      <c r="C9969" t="s">
        <v>39</v>
      </c>
      <c r="D9969">
        <v>377</v>
      </c>
    </row>
    <row r="9970" spans="1:4" ht="15.75" customHeight="1">
      <c r="A9970" t="s">
        <v>2373</v>
      </c>
      <c r="B9970" t="s">
        <v>37</v>
      </c>
      <c r="C9970" t="s">
        <v>39</v>
      </c>
      <c r="D9970">
        <v>375</v>
      </c>
    </row>
    <row r="9971" spans="1:4" ht="15.75" customHeight="1">
      <c r="A9971" t="s">
        <v>1539</v>
      </c>
      <c r="B9971" t="s">
        <v>37</v>
      </c>
      <c r="C9971" t="s">
        <v>39</v>
      </c>
      <c r="D9971">
        <v>372</v>
      </c>
    </row>
    <row r="9972" spans="1:4" ht="15.75" customHeight="1">
      <c r="A9972" t="s">
        <v>1553</v>
      </c>
      <c r="B9972" t="s">
        <v>37</v>
      </c>
      <c r="C9972" t="s">
        <v>39</v>
      </c>
      <c r="D9972">
        <v>370</v>
      </c>
    </row>
    <row r="9973" spans="1:4" ht="15.75" customHeight="1">
      <c r="A9973" t="s">
        <v>3318</v>
      </c>
      <c r="B9973" t="s">
        <v>37</v>
      </c>
      <c r="C9973" t="s">
        <v>39</v>
      </c>
      <c r="D9973">
        <v>369</v>
      </c>
    </row>
    <row r="9974" spans="1:4" ht="15.75" customHeight="1">
      <c r="A9974" t="s">
        <v>842</v>
      </c>
      <c r="B9974" t="s">
        <v>37</v>
      </c>
      <c r="C9974" t="s">
        <v>39</v>
      </c>
      <c r="D9974">
        <v>368</v>
      </c>
    </row>
    <row r="9975" spans="1:4" ht="15.75" customHeight="1">
      <c r="A9975" t="s">
        <v>738</v>
      </c>
      <c r="B9975" t="s">
        <v>37</v>
      </c>
      <c r="C9975" t="s">
        <v>39</v>
      </c>
      <c r="D9975">
        <v>368</v>
      </c>
    </row>
    <row r="9976" spans="1:4" ht="15.75" customHeight="1">
      <c r="A9976" t="s">
        <v>883</v>
      </c>
      <c r="B9976" t="s">
        <v>37</v>
      </c>
      <c r="C9976" t="s">
        <v>39</v>
      </c>
      <c r="D9976">
        <v>368</v>
      </c>
    </row>
    <row r="9977" spans="1:4" ht="15.75" customHeight="1">
      <c r="A9977" t="s">
        <v>2902</v>
      </c>
      <c r="B9977" t="s">
        <v>37</v>
      </c>
      <c r="C9977" t="s">
        <v>39</v>
      </c>
      <c r="D9977">
        <v>367</v>
      </c>
    </row>
    <row r="9978" spans="1:4" ht="15.75" customHeight="1">
      <c r="A9978" t="s">
        <v>792</v>
      </c>
      <c r="B9978" t="s">
        <v>37</v>
      </c>
      <c r="C9978" t="s">
        <v>39</v>
      </c>
      <c r="D9978">
        <v>365</v>
      </c>
    </row>
    <row r="9979" spans="1:4" ht="15.75" customHeight="1">
      <c r="A9979" t="s">
        <v>1819</v>
      </c>
      <c r="B9979" t="s">
        <v>37</v>
      </c>
      <c r="C9979" t="s">
        <v>39</v>
      </c>
      <c r="D9979">
        <v>365</v>
      </c>
    </row>
    <row r="9980" spans="1:4" ht="15.75" customHeight="1">
      <c r="A9980" t="s">
        <v>744</v>
      </c>
      <c r="B9980" t="s">
        <v>37</v>
      </c>
      <c r="C9980" t="s">
        <v>39</v>
      </c>
      <c r="D9980">
        <v>365</v>
      </c>
    </row>
    <row r="9981" spans="1:4" ht="15.75" customHeight="1">
      <c r="A9981" t="s">
        <v>869</v>
      </c>
      <c r="B9981" t="s">
        <v>37</v>
      </c>
      <c r="C9981" t="s">
        <v>39</v>
      </c>
      <c r="D9981">
        <v>364</v>
      </c>
    </row>
    <row r="9982" spans="1:4" ht="15.75" customHeight="1">
      <c r="A9982" t="s">
        <v>4174</v>
      </c>
      <c r="B9982" t="s">
        <v>37</v>
      </c>
      <c r="C9982" t="s">
        <v>39</v>
      </c>
      <c r="D9982">
        <v>364</v>
      </c>
    </row>
    <row r="9983" spans="1:4" ht="15.75" customHeight="1">
      <c r="A9983" t="s">
        <v>782</v>
      </c>
      <c r="B9983" t="s">
        <v>37</v>
      </c>
      <c r="C9983" t="s">
        <v>39</v>
      </c>
      <c r="D9983">
        <v>364</v>
      </c>
    </row>
    <row r="9984" spans="1:4" ht="15.75" customHeight="1">
      <c r="A9984" t="s">
        <v>2930</v>
      </c>
      <c r="B9984" t="s">
        <v>37</v>
      </c>
      <c r="C9984" t="s">
        <v>39</v>
      </c>
      <c r="D9984">
        <v>363</v>
      </c>
    </row>
    <row r="9985" spans="1:4" ht="15.75" customHeight="1">
      <c r="A9985" t="s">
        <v>732</v>
      </c>
      <c r="B9985" t="s">
        <v>37</v>
      </c>
      <c r="C9985" t="s">
        <v>39</v>
      </c>
      <c r="D9985">
        <v>360</v>
      </c>
    </row>
    <row r="9986" spans="1:4" ht="15.75" customHeight="1">
      <c r="A9986" t="s">
        <v>767</v>
      </c>
      <c r="B9986" t="s">
        <v>37</v>
      </c>
      <c r="C9986" t="s">
        <v>39</v>
      </c>
      <c r="D9986">
        <v>360</v>
      </c>
    </row>
    <row r="9987" spans="1:4" ht="15.75" customHeight="1">
      <c r="A9987" t="s">
        <v>812</v>
      </c>
      <c r="B9987" t="s">
        <v>37</v>
      </c>
      <c r="C9987" t="s">
        <v>39</v>
      </c>
      <c r="D9987">
        <v>359</v>
      </c>
    </row>
    <row r="9988" spans="1:4" ht="15.75" customHeight="1">
      <c r="A9988" t="s">
        <v>1807</v>
      </c>
      <c r="B9988" t="s">
        <v>37</v>
      </c>
      <c r="C9988" t="s">
        <v>39</v>
      </c>
      <c r="D9988">
        <v>358</v>
      </c>
    </row>
    <row r="9989" spans="1:4" ht="15.75" customHeight="1">
      <c r="A9989" t="s">
        <v>877</v>
      </c>
      <c r="B9989" t="s">
        <v>37</v>
      </c>
      <c r="C9989" t="s">
        <v>39</v>
      </c>
      <c r="D9989">
        <v>357</v>
      </c>
    </row>
    <row r="9990" spans="1:4" ht="15.75" customHeight="1">
      <c r="A9990" t="s">
        <v>893</v>
      </c>
      <c r="B9990" t="s">
        <v>37</v>
      </c>
      <c r="C9990" t="s">
        <v>39</v>
      </c>
      <c r="D9990">
        <v>357</v>
      </c>
    </row>
    <row r="9991" spans="1:4" ht="15.75" customHeight="1">
      <c r="A9991" t="s">
        <v>2908</v>
      </c>
      <c r="B9991" t="s">
        <v>37</v>
      </c>
      <c r="C9991" t="s">
        <v>39</v>
      </c>
      <c r="D9991">
        <v>355</v>
      </c>
    </row>
    <row r="9992" spans="1:4" ht="15.75" customHeight="1">
      <c r="A9992" t="s">
        <v>756</v>
      </c>
      <c r="B9992" t="s">
        <v>37</v>
      </c>
      <c r="C9992" t="s">
        <v>39</v>
      </c>
      <c r="D9992">
        <v>354</v>
      </c>
    </row>
    <row r="9993" spans="1:4" ht="15.75" customHeight="1">
      <c r="A9993" t="s">
        <v>3364</v>
      </c>
      <c r="B9993" t="s">
        <v>37</v>
      </c>
      <c r="C9993" t="s">
        <v>39</v>
      </c>
      <c r="D9993">
        <v>351</v>
      </c>
    </row>
    <row r="9994" spans="1:4" ht="15.75" customHeight="1">
      <c r="A9994" t="s">
        <v>1545</v>
      </c>
      <c r="B9994" t="s">
        <v>37</v>
      </c>
      <c r="C9994" t="s">
        <v>39</v>
      </c>
      <c r="D9994">
        <v>350</v>
      </c>
    </row>
    <row r="9995" spans="1:4" ht="15.75" customHeight="1">
      <c r="A9995" t="s">
        <v>899</v>
      </c>
      <c r="B9995" t="s">
        <v>37</v>
      </c>
      <c r="C9995" t="s">
        <v>39</v>
      </c>
      <c r="D9995">
        <v>348</v>
      </c>
    </row>
    <row r="9996" spans="1:4" ht="15.75" customHeight="1">
      <c r="A9996" t="s">
        <v>1517</v>
      </c>
      <c r="B9996" t="s">
        <v>37</v>
      </c>
      <c r="C9996" t="s">
        <v>39</v>
      </c>
      <c r="D9996">
        <v>348</v>
      </c>
    </row>
    <row r="9997" spans="1:4" ht="15.75" customHeight="1">
      <c r="A9997" t="s">
        <v>855</v>
      </c>
      <c r="B9997" t="s">
        <v>37</v>
      </c>
      <c r="C9997" t="s">
        <v>39</v>
      </c>
      <c r="D9997">
        <v>347</v>
      </c>
    </row>
    <row r="9998" spans="1:4" ht="15.75" customHeight="1">
      <c r="A9998" t="s">
        <v>3320</v>
      </c>
      <c r="B9998" t="s">
        <v>37</v>
      </c>
      <c r="C9998" t="s">
        <v>39</v>
      </c>
      <c r="D9998">
        <v>347</v>
      </c>
    </row>
    <row r="9999" spans="1:4" ht="15.75" customHeight="1">
      <c r="A9999" t="s">
        <v>2906</v>
      </c>
      <c r="B9999" t="s">
        <v>37</v>
      </c>
      <c r="C9999" t="s">
        <v>39</v>
      </c>
      <c r="D9999">
        <v>347</v>
      </c>
    </row>
    <row r="10000" spans="1:4" ht="15.75" customHeight="1">
      <c r="A10000" t="s">
        <v>4207</v>
      </c>
      <c r="B10000" t="s">
        <v>37</v>
      </c>
      <c r="C10000" t="s">
        <v>39</v>
      </c>
      <c r="D10000">
        <v>345</v>
      </c>
    </row>
    <row r="10001" spans="1:4" ht="15.75" customHeight="1">
      <c r="A10001" t="s">
        <v>2877</v>
      </c>
      <c r="B10001" t="s">
        <v>37</v>
      </c>
      <c r="C10001" t="s">
        <v>39</v>
      </c>
      <c r="D10001">
        <v>344</v>
      </c>
    </row>
    <row r="10002" spans="1:4" ht="15.75" customHeight="1">
      <c r="A10002" t="s">
        <v>3384</v>
      </c>
      <c r="B10002" t="s">
        <v>37</v>
      </c>
      <c r="C10002" t="s">
        <v>39</v>
      </c>
      <c r="D10002">
        <v>344</v>
      </c>
    </row>
    <row r="10003" spans="1:4" ht="15.75" customHeight="1">
      <c r="A10003" t="s">
        <v>2936</v>
      </c>
      <c r="B10003" t="s">
        <v>37</v>
      </c>
      <c r="C10003" t="s">
        <v>39</v>
      </c>
      <c r="D10003">
        <v>344</v>
      </c>
    </row>
    <row r="10004" spans="1:4" ht="15.75" customHeight="1">
      <c r="A10004" t="s">
        <v>3356</v>
      </c>
      <c r="B10004" t="s">
        <v>37</v>
      </c>
      <c r="C10004" t="s">
        <v>39</v>
      </c>
      <c r="D10004">
        <v>343</v>
      </c>
    </row>
    <row r="10005" spans="1:4" ht="15.75" customHeight="1">
      <c r="A10005" t="s">
        <v>3772</v>
      </c>
      <c r="B10005" t="s">
        <v>37</v>
      </c>
      <c r="C10005" t="s">
        <v>39</v>
      </c>
      <c r="D10005">
        <v>343</v>
      </c>
    </row>
    <row r="10006" spans="1:4" ht="15.75" customHeight="1">
      <c r="A10006" t="s">
        <v>3396</v>
      </c>
      <c r="B10006" t="s">
        <v>37</v>
      </c>
      <c r="C10006" t="s">
        <v>39</v>
      </c>
      <c r="D10006">
        <v>343</v>
      </c>
    </row>
    <row r="10007" spans="1:4" ht="15.75" customHeight="1">
      <c r="A10007" t="s">
        <v>835</v>
      </c>
      <c r="B10007" t="s">
        <v>37</v>
      </c>
      <c r="C10007" t="s">
        <v>39</v>
      </c>
      <c r="D10007">
        <v>342</v>
      </c>
    </row>
    <row r="10008" spans="1:4" ht="15.75" customHeight="1">
      <c r="A10008" t="s">
        <v>2315</v>
      </c>
      <c r="B10008" t="s">
        <v>37</v>
      </c>
      <c r="C10008" t="s">
        <v>39</v>
      </c>
      <c r="D10008">
        <v>341</v>
      </c>
    </row>
    <row r="10009" spans="1:4" ht="15.75" customHeight="1">
      <c r="A10009" t="s">
        <v>3402</v>
      </c>
      <c r="B10009" t="s">
        <v>37</v>
      </c>
      <c r="C10009" t="s">
        <v>39</v>
      </c>
      <c r="D10009">
        <v>340</v>
      </c>
    </row>
    <row r="10010" spans="1:4" ht="15.75" customHeight="1">
      <c r="A10010" t="s">
        <v>2882</v>
      </c>
      <c r="B10010" t="s">
        <v>37</v>
      </c>
      <c r="C10010" t="s">
        <v>39</v>
      </c>
      <c r="D10010">
        <v>339</v>
      </c>
    </row>
    <row r="10011" spans="1:4" ht="15.75" customHeight="1">
      <c r="A10011" t="s">
        <v>742</v>
      </c>
      <c r="B10011" t="s">
        <v>37</v>
      </c>
      <c r="C10011" t="s">
        <v>39</v>
      </c>
      <c r="D10011">
        <v>335</v>
      </c>
    </row>
    <row r="10012" spans="1:4" ht="15.75" customHeight="1">
      <c r="A10012" t="s">
        <v>859</v>
      </c>
      <c r="B10012" t="s">
        <v>37</v>
      </c>
      <c r="C10012" t="s">
        <v>39</v>
      </c>
      <c r="D10012">
        <v>335</v>
      </c>
    </row>
    <row r="10013" spans="1:4" ht="15.75" customHeight="1">
      <c r="A10013" t="s">
        <v>4150</v>
      </c>
      <c r="B10013" t="s">
        <v>37</v>
      </c>
      <c r="C10013" t="s">
        <v>39</v>
      </c>
      <c r="D10013">
        <v>335</v>
      </c>
    </row>
    <row r="10014" spans="1:4" ht="15.75" customHeight="1">
      <c r="A10014" t="s">
        <v>2325</v>
      </c>
      <c r="B10014" t="s">
        <v>37</v>
      </c>
      <c r="C10014" t="s">
        <v>39</v>
      </c>
      <c r="D10014">
        <v>335</v>
      </c>
    </row>
    <row r="10015" spans="1:4" ht="15.75" customHeight="1">
      <c r="A10015" t="s">
        <v>2345</v>
      </c>
      <c r="B10015" t="s">
        <v>37</v>
      </c>
      <c r="C10015" t="s">
        <v>39</v>
      </c>
      <c r="D10015">
        <v>334</v>
      </c>
    </row>
    <row r="10016" spans="1:4" ht="15.75" customHeight="1">
      <c r="A10016" t="s">
        <v>907</v>
      </c>
      <c r="B10016" t="s">
        <v>37</v>
      </c>
      <c r="C10016" t="s">
        <v>39</v>
      </c>
      <c r="D10016">
        <v>334</v>
      </c>
    </row>
    <row r="10017" spans="1:4" ht="15.75" customHeight="1">
      <c r="A10017" t="s">
        <v>1537</v>
      </c>
      <c r="B10017" t="s">
        <v>37</v>
      </c>
      <c r="C10017" t="s">
        <v>39</v>
      </c>
      <c r="D10017">
        <v>334</v>
      </c>
    </row>
    <row r="10018" spans="1:4" ht="15.75" customHeight="1">
      <c r="A10018" t="s">
        <v>1471</v>
      </c>
      <c r="B10018" t="s">
        <v>37</v>
      </c>
      <c r="C10018" t="s">
        <v>39</v>
      </c>
      <c r="D10018">
        <v>333</v>
      </c>
    </row>
    <row r="10019" spans="1:4" ht="15.75" customHeight="1">
      <c r="A10019" t="s">
        <v>1535</v>
      </c>
      <c r="B10019" t="s">
        <v>37</v>
      </c>
      <c r="C10019" t="s">
        <v>39</v>
      </c>
      <c r="D10019">
        <v>333</v>
      </c>
    </row>
    <row r="10020" spans="1:4" ht="15.75" customHeight="1">
      <c r="A10020" t="s">
        <v>1492</v>
      </c>
      <c r="B10020" t="s">
        <v>37</v>
      </c>
      <c r="C10020" t="s">
        <v>39</v>
      </c>
      <c r="D10020">
        <v>329</v>
      </c>
    </row>
    <row r="10021" spans="1:4" ht="15.75" customHeight="1">
      <c r="A10021" t="s">
        <v>2296</v>
      </c>
      <c r="B10021" t="s">
        <v>37</v>
      </c>
      <c r="C10021" t="s">
        <v>39</v>
      </c>
      <c r="D10021">
        <v>327</v>
      </c>
    </row>
    <row r="10022" spans="1:4" ht="15.75" customHeight="1">
      <c r="A10022" t="s">
        <v>2956</v>
      </c>
      <c r="B10022" t="s">
        <v>37</v>
      </c>
      <c r="C10022" t="s">
        <v>39</v>
      </c>
      <c r="D10022">
        <v>326</v>
      </c>
    </row>
    <row r="10023" spans="1:4" ht="15.75" customHeight="1">
      <c r="A10023" t="s">
        <v>2333</v>
      </c>
      <c r="B10023" t="s">
        <v>37</v>
      </c>
      <c r="C10023" t="s">
        <v>39</v>
      </c>
      <c r="D10023">
        <v>324</v>
      </c>
    </row>
    <row r="10024" spans="1:4" ht="15.75" customHeight="1">
      <c r="A10024" t="s">
        <v>4870</v>
      </c>
      <c r="B10024" t="s">
        <v>37</v>
      </c>
      <c r="C10024" t="s">
        <v>39</v>
      </c>
      <c r="D10024">
        <v>324</v>
      </c>
    </row>
    <row r="10025" spans="1:4" ht="15.75" customHeight="1">
      <c r="A10025" t="s">
        <v>895</v>
      </c>
      <c r="B10025" t="s">
        <v>37</v>
      </c>
      <c r="C10025" t="s">
        <v>39</v>
      </c>
      <c r="D10025">
        <v>323</v>
      </c>
    </row>
    <row r="10026" spans="1:4" ht="15.75" customHeight="1">
      <c r="A10026" t="s">
        <v>2910</v>
      </c>
      <c r="B10026" t="s">
        <v>37</v>
      </c>
      <c r="C10026" t="s">
        <v>39</v>
      </c>
      <c r="D10026">
        <v>322</v>
      </c>
    </row>
    <row r="10027" spans="1:4" ht="15.75" customHeight="1">
      <c r="A10027" t="s">
        <v>2940</v>
      </c>
      <c r="B10027" t="s">
        <v>37</v>
      </c>
      <c r="C10027" t="s">
        <v>39</v>
      </c>
      <c r="D10027">
        <v>322</v>
      </c>
    </row>
    <row r="10028" spans="1:4" ht="15.75" customHeight="1">
      <c r="A10028" t="s">
        <v>4155</v>
      </c>
      <c r="B10028" t="s">
        <v>37</v>
      </c>
      <c r="C10028" t="s">
        <v>39</v>
      </c>
      <c r="D10028">
        <v>321</v>
      </c>
    </row>
    <row r="10029" spans="1:4" ht="15.75" customHeight="1">
      <c r="A10029" t="s">
        <v>4210</v>
      </c>
      <c r="B10029" t="s">
        <v>37</v>
      </c>
      <c r="C10029" t="s">
        <v>39</v>
      </c>
      <c r="D10029">
        <v>317</v>
      </c>
    </row>
    <row r="10030" spans="1:4" ht="15.75" customHeight="1">
      <c r="A10030" t="s">
        <v>2331</v>
      </c>
      <c r="B10030" t="s">
        <v>37</v>
      </c>
      <c r="C10030" t="s">
        <v>39</v>
      </c>
      <c r="D10030">
        <v>316</v>
      </c>
    </row>
    <row r="10031" spans="1:4" ht="15.75" customHeight="1">
      <c r="A10031" t="s">
        <v>2898</v>
      </c>
      <c r="B10031" t="s">
        <v>37</v>
      </c>
      <c r="C10031" t="s">
        <v>39</v>
      </c>
      <c r="D10031">
        <v>313</v>
      </c>
    </row>
    <row r="10032" spans="1:4" ht="15.75" customHeight="1">
      <c r="A10032" t="s">
        <v>2954</v>
      </c>
      <c r="B10032" t="s">
        <v>37</v>
      </c>
      <c r="C10032" t="s">
        <v>39</v>
      </c>
      <c r="D10032">
        <v>311</v>
      </c>
    </row>
    <row r="10033" spans="1:4" ht="15.75" customHeight="1">
      <c r="A10033" t="s">
        <v>2918</v>
      </c>
      <c r="B10033" t="s">
        <v>37</v>
      </c>
      <c r="C10033" t="s">
        <v>39</v>
      </c>
      <c r="D10033">
        <v>308</v>
      </c>
    </row>
    <row r="10034" spans="1:4" ht="15.75" customHeight="1">
      <c r="A10034" t="s">
        <v>4193</v>
      </c>
      <c r="B10034" t="s">
        <v>37</v>
      </c>
      <c r="C10034" t="s">
        <v>39</v>
      </c>
      <c r="D10034">
        <v>307</v>
      </c>
    </row>
    <row r="10035" spans="1:4" ht="15.75" customHeight="1">
      <c r="A10035" t="s">
        <v>1523</v>
      </c>
      <c r="B10035" t="s">
        <v>37</v>
      </c>
      <c r="C10035" t="s">
        <v>39</v>
      </c>
      <c r="D10035">
        <v>305</v>
      </c>
    </row>
    <row r="10036" spans="1:4" ht="15.75" customHeight="1">
      <c r="A10036" t="s">
        <v>810</v>
      </c>
      <c r="B10036" t="s">
        <v>37</v>
      </c>
      <c r="C10036" t="s">
        <v>39</v>
      </c>
      <c r="D10036">
        <v>304</v>
      </c>
    </row>
    <row r="10037" spans="1:4" ht="15.75" customHeight="1">
      <c r="A10037" t="s">
        <v>3348</v>
      </c>
      <c r="B10037" t="s">
        <v>37</v>
      </c>
      <c r="C10037" t="s">
        <v>39</v>
      </c>
      <c r="D10037">
        <v>301</v>
      </c>
    </row>
    <row r="10038" spans="1:4" ht="15.75" customHeight="1">
      <c r="A10038" t="s">
        <v>2290</v>
      </c>
      <c r="B10038" t="s">
        <v>37</v>
      </c>
      <c r="C10038" t="s">
        <v>39</v>
      </c>
      <c r="D10038">
        <v>299</v>
      </c>
    </row>
    <row r="10039" spans="1:4" ht="15.75" customHeight="1">
      <c r="A10039" t="s">
        <v>806</v>
      </c>
      <c r="B10039" t="s">
        <v>37</v>
      </c>
      <c r="C10039" t="s">
        <v>39</v>
      </c>
      <c r="D10039">
        <v>297</v>
      </c>
    </row>
    <row r="10040" spans="1:4" ht="15.75" customHeight="1">
      <c r="A10040" t="s">
        <v>4450</v>
      </c>
      <c r="B10040" t="s">
        <v>37</v>
      </c>
      <c r="C10040" t="s">
        <v>39</v>
      </c>
      <c r="D10040">
        <v>292</v>
      </c>
    </row>
    <row r="10041" spans="1:4" ht="15.75" customHeight="1">
      <c r="A10041" t="s">
        <v>2945</v>
      </c>
      <c r="B10041" t="s">
        <v>37</v>
      </c>
      <c r="C10041" t="s">
        <v>39</v>
      </c>
      <c r="D10041">
        <v>292</v>
      </c>
    </row>
    <row r="10042" spans="1:4" ht="15.75" customHeight="1">
      <c r="A10042" t="s">
        <v>4872</v>
      </c>
      <c r="B10042" t="s">
        <v>37</v>
      </c>
      <c r="C10042" t="s">
        <v>39</v>
      </c>
      <c r="D10042">
        <v>291</v>
      </c>
    </row>
    <row r="10043" spans="1:4" ht="15.75" customHeight="1">
      <c r="A10043" t="s">
        <v>1473</v>
      </c>
      <c r="B10043" t="s">
        <v>37</v>
      </c>
      <c r="C10043" t="s">
        <v>39</v>
      </c>
      <c r="D10043">
        <v>289</v>
      </c>
    </row>
    <row r="10044" spans="1:4" ht="15.75" customHeight="1">
      <c r="A10044" t="s">
        <v>786</v>
      </c>
      <c r="B10044" t="s">
        <v>37</v>
      </c>
      <c r="C10044" t="s">
        <v>39</v>
      </c>
      <c r="D10044">
        <v>287</v>
      </c>
    </row>
    <row r="10045" spans="1:4" ht="15.75" customHeight="1">
      <c r="A10045" t="s">
        <v>794</v>
      </c>
      <c r="B10045" t="s">
        <v>37</v>
      </c>
      <c r="C10045" t="s">
        <v>39</v>
      </c>
      <c r="D10045">
        <v>287</v>
      </c>
    </row>
    <row r="10046" spans="1:4" ht="15.75" customHeight="1">
      <c r="A10046" t="s">
        <v>885</v>
      </c>
      <c r="B10046" t="s">
        <v>37</v>
      </c>
      <c r="C10046" t="s">
        <v>39</v>
      </c>
      <c r="D10046">
        <v>285</v>
      </c>
    </row>
    <row r="10047" spans="1:4" ht="15.75" customHeight="1">
      <c r="A10047" t="s">
        <v>857</v>
      </c>
      <c r="B10047" t="s">
        <v>37</v>
      </c>
      <c r="C10047" t="s">
        <v>39</v>
      </c>
      <c r="D10047">
        <v>282</v>
      </c>
    </row>
    <row r="10048" spans="1:4" ht="15.75" customHeight="1">
      <c r="A10048" t="s">
        <v>2914</v>
      </c>
      <c r="B10048" t="s">
        <v>37</v>
      </c>
      <c r="C10048" t="s">
        <v>39</v>
      </c>
      <c r="D10048">
        <v>281</v>
      </c>
    </row>
    <row r="10049" spans="1:4" ht="15.75" customHeight="1">
      <c r="A10049" t="s">
        <v>2317</v>
      </c>
      <c r="B10049" t="s">
        <v>37</v>
      </c>
      <c r="C10049" t="s">
        <v>39</v>
      </c>
      <c r="D10049">
        <v>281</v>
      </c>
    </row>
    <row r="10050" spans="1:4" ht="15.75" customHeight="1">
      <c r="A10050" t="s">
        <v>2892</v>
      </c>
      <c r="B10050" t="s">
        <v>37</v>
      </c>
      <c r="C10050" t="s">
        <v>39</v>
      </c>
      <c r="D10050">
        <v>281</v>
      </c>
    </row>
    <row r="10051" spans="1:4" ht="15.75" customHeight="1">
      <c r="A10051" t="s">
        <v>913</v>
      </c>
      <c r="B10051" t="s">
        <v>37</v>
      </c>
      <c r="C10051" t="s">
        <v>39</v>
      </c>
      <c r="D10051">
        <v>280</v>
      </c>
    </row>
    <row r="10052" spans="1:4" ht="15.75" customHeight="1">
      <c r="A10052" t="s">
        <v>853</v>
      </c>
      <c r="B10052" t="s">
        <v>37</v>
      </c>
      <c r="C10052" t="s">
        <v>39</v>
      </c>
      <c r="D10052">
        <v>277</v>
      </c>
    </row>
    <row r="10053" spans="1:4" ht="15.75" customHeight="1">
      <c r="A10053" t="s">
        <v>1479</v>
      </c>
      <c r="B10053" t="s">
        <v>37</v>
      </c>
      <c r="C10053" t="s">
        <v>39</v>
      </c>
      <c r="D10053">
        <v>277</v>
      </c>
    </row>
    <row r="10054" spans="1:4" ht="15.75" customHeight="1">
      <c r="A10054" t="s">
        <v>911</v>
      </c>
      <c r="B10054" t="s">
        <v>37</v>
      </c>
      <c r="C10054" t="s">
        <v>39</v>
      </c>
      <c r="D10054">
        <v>276</v>
      </c>
    </row>
    <row r="10055" spans="1:4" ht="15.75" customHeight="1">
      <c r="A10055" t="s">
        <v>4884</v>
      </c>
      <c r="B10055" t="s">
        <v>37</v>
      </c>
      <c r="C10055" t="s">
        <v>39</v>
      </c>
      <c r="D10055">
        <v>276</v>
      </c>
    </row>
    <row r="10056" spans="1:4" ht="15.75" customHeight="1">
      <c r="A10056" t="s">
        <v>919</v>
      </c>
      <c r="B10056" t="s">
        <v>37</v>
      </c>
      <c r="C10056" t="s">
        <v>39</v>
      </c>
      <c r="D10056">
        <v>276</v>
      </c>
    </row>
    <row r="10057" spans="1:4" ht="15.75" customHeight="1">
      <c r="A10057" t="s">
        <v>1489</v>
      </c>
      <c r="B10057" t="s">
        <v>37</v>
      </c>
      <c r="C10057" t="s">
        <v>39</v>
      </c>
      <c r="D10057">
        <v>275</v>
      </c>
    </row>
    <row r="10058" spans="1:4" ht="15.75" customHeight="1">
      <c r="A10058" t="s">
        <v>865</v>
      </c>
      <c r="B10058" t="s">
        <v>37</v>
      </c>
      <c r="C10058" t="s">
        <v>39</v>
      </c>
      <c r="D10058">
        <v>273</v>
      </c>
    </row>
    <row r="10059" spans="1:4" ht="15.75" customHeight="1">
      <c r="A10059" t="s">
        <v>2916</v>
      </c>
      <c r="B10059" t="s">
        <v>37</v>
      </c>
      <c r="C10059" t="s">
        <v>39</v>
      </c>
      <c r="D10059">
        <v>272</v>
      </c>
    </row>
    <row r="10060" spans="1:4" ht="15.75" customHeight="1">
      <c r="A10060" t="s">
        <v>1557</v>
      </c>
      <c r="B10060" t="s">
        <v>37</v>
      </c>
      <c r="C10060" t="s">
        <v>39</v>
      </c>
      <c r="D10060">
        <v>272</v>
      </c>
    </row>
    <row r="10061" spans="1:4" ht="15.75" customHeight="1">
      <c r="A10061" t="s">
        <v>3342</v>
      </c>
      <c r="B10061" t="s">
        <v>37</v>
      </c>
      <c r="C10061" t="s">
        <v>39</v>
      </c>
      <c r="D10061">
        <v>265</v>
      </c>
    </row>
    <row r="10062" spans="1:4" ht="15.75" customHeight="1">
      <c r="A10062" t="s">
        <v>4880</v>
      </c>
      <c r="B10062" t="s">
        <v>37</v>
      </c>
      <c r="C10062" t="s">
        <v>39</v>
      </c>
      <c r="D10062">
        <v>263</v>
      </c>
    </row>
    <row r="10063" spans="1:4" ht="15.75" customHeight="1">
      <c r="A10063" t="s">
        <v>3330</v>
      </c>
      <c r="B10063" t="s">
        <v>37</v>
      </c>
      <c r="C10063" t="s">
        <v>39</v>
      </c>
      <c r="D10063">
        <v>263</v>
      </c>
    </row>
    <row r="10064" spans="1:4" ht="15.75" customHeight="1">
      <c r="A10064" t="s">
        <v>796</v>
      </c>
      <c r="B10064" t="s">
        <v>37</v>
      </c>
      <c r="C10064" t="s">
        <v>39</v>
      </c>
      <c r="D10064">
        <v>260</v>
      </c>
    </row>
    <row r="10065" spans="1:4" ht="15.75" customHeight="1">
      <c r="A10065" t="s">
        <v>4163</v>
      </c>
      <c r="B10065" t="s">
        <v>37</v>
      </c>
      <c r="C10065" t="s">
        <v>39</v>
      </c>
      <c r="D10065">
        <v>259</v>
      </c>
    </row>
    <row r="10066" spans="1:4" ht="15.75" customHeight="1">
      <c r="A10066" t="s">
        <v>798</v>
      </c>
      <c r="B10066" t="s">
        <v>37</v>
      </c>
      <c r="C10066" t="s">
        <v>39</v>
      </c>
      <c r="D10066">
        <v>257</v>
      </c>
    </row>
    <row r="10067" spans="1:4" ht="15.75" customHeight="1">
      <c r="A10067" t="s">
        <v>851</v>
      </c>
      <c r="B10067" t="s">
        <v>37</v>
      </c>
      <c r="C10067" t="s">
        <v>39</v>
      </c>
      <c r="D10067">
        <v>257</v>
      </c>
    </row>
    <row r="10068" spans="1:4" ht="15.75" customHeight="1">
      <c r="A10068" t="s">
        <v>4191</v>
      </c>
      <c r="B10068" t="s">
        <v>37</v>
      </c>
      <c r="C10068" t="s">
        <v>39</v>
      </c>
      <c r="D10068">
        <v>256</v>
      </c>
    </row>
    <row r="10069" spans="1:4" ht="15.75" customHeight="1">
      <c r="A10069" t="s">
        <v>2329</v>
      </c>
      <c r="B10069" t="s">
        <v>37</v>
      </c>
      <c r="C10069" t="s">
        <v>39</v>
      </c>
      <c r="D10069">
        <v>255</v>
      </c>
    </row>
    <row r="10070" spans="1:4" ht="15.75" customHeight="1">
      <c r="A10070" t="s">
        <v>2351</v>
      </c>
      <c r="B10070" t="s">
        <v>37</v>
      </c>
      <c r="C10070" t="s">
        <v>39</v>
      </c>
      <c r="D10070">
        <v>253</v>
      </c>
    </row>
    <row r="10071" spans="1:4" ht="15.75" customHeight="1">
      <c r="A10071" t="s">
        <v>2922</v>
      </c>
      <c r="B10071" t="s">
        <v>37</v>
      </c>
      <c r="C10071" t="s">
        <v>39</v>
      </c>
      <c r="D10071">
        <v>251</v>
      </c>
    </row>
    <row r="10072" spans="1:4" ht="15.75" customHeight="1">
      <c r="A10072" t="s">
        <v>2301</v>
      </c>
      <c r="B10072" t="s">
        <v>37</v>
      </c>
      <c r="C10072" t="s">
        <v>39</v>
      </c>
      <c r="D10072">
        <v>250</v>
      </c>
    </row>
    <row r="10073" spans="1:4" ht="15.75" customHeight="1">
      <c r="A10073" t="s">
        <v>4892</v>
      </c>
      <c r="B10073" t="s">
        <v>37</v>
      </c>
      <c r="C10073" t="s">
        <v>39</v>
      </c>
      <c r="D10073">
        <v>248</v>
      </c>
    </row>
    <row r="10074" spans="1:4" ht="15.75" customHeight="1">
      <c r="A10074" t="s">
        <v>3350</v>
      </c>
      <c r="B10074" t="s">
        <v>37</v>
      </c>
      <c r="C10074" t="s">
        <v>39</v>
      </c>
      <c r="D10074">
        <v>245</v>
      </c>
    </row>
    <row r="10075" spans="1:4" ht="15.75" customHeight="1">
      <c r="A10075" t="s">
        <v>2912</v>
      </c>
      <c r="B10075" t="s">
        <v>37</v>
      </c>
      <c r="C10075" t="s">
        <v>39</v>
      </c>
      <c r="D10075">
        <v>245</v>
      </c>
    </row>
    <row r="10076" spans="1:4" ht="15.75" customHeight="1">
      <c r="A10076" t="s">
        <v>4170</v>
      </c>
      <c r="B10076" t="s">
        <v>37</v>
      </c>
      <c r="C10076" t="s">
        <v>39</v>
      </c>
      <c r="D10076">
        <v>244</v>
      </c>
    </row>
    <row r="10077" spans="1:4" ht="15.75" customHeight="1">
      <c r="A10077" t="s">
        <v>1555</v>
      </c>
      <c r="B10077" t="s">
        <v>37</v>
      </c>
      <c r="C10077" t="s">
        <v>39</v>
      </c>
      <c r="D10077">
        <v>243</v>
      </c>
    </row>
    <row r="10078" spans="1:4" ht="15.75" customHeight="1">
      <c r="A10078" t="s">
        <v>2339</v>
      </c>
      <c r="B10078" t="s">
        <v>37</v>
      </c>
      <c r="C10078" t="s">
        <v>39</v>
      </c>
      <c r="D10078">
        <v>241</v>
      </c>
    </row>
    <row r="10079" spans="1:4" ht="15.75" customHeight="1">
      <c r="A10079" t="s">
        <v>774</v>
      </c>
      <c r="B10079" t="s">
        <v>37</v>
      </c>
      <c r="C10079" t="s">
        <v>39</v>
      </c>
      <c r="D10079">
        <v>240</v>
      </c>
    </row>
    <row r="10080" spans="1:4" ht="15.75" customHeight="1">
      <c r="A10080" t="s">
        <v>2343</v>
      </c>
      <c r="B10080" t="s">
        <v>37</v>
      </c>
      <c r="C10080" t="s">
        <v>39</v>
      </c>
      <c r="D10080">
        <v>240</v>
      </c>
    </row>
    <row r="10081" spans="1:4" ht="15.75" customHeight="1">
      <c r="A10081" t="s">
        <v>2298</v>
      </c>
      <c r="B10081" t="s">
        <v>37</v>
      </c>
      <c r="C10081" t="s">
        <v>39</v>
      </c>
      <c r="D10081">
        <v>239</v>
      </c>
    </row>
    <row r="10082" spans="1:4" ht="15.75" customHeight="1">
      <c r="A10082" t="s">
        <v>3366</v>
      </c>
      <c r="B10082" t="s">
        <v>37</v>
      </c>
      <c r="C10082" t="s">
        <v>39</v>
      </c>
      <c r="D10082">
        <v>238</v>
      </c>
    </row>
    <row r="10083" spans="1:4" ht="15.75" customHeight="1">
      <c r="A10083" t="s">
        <v>3768</v>
      </c>
      <c r="B10083" t="s">
        <v>37</v>
      </c>
      <c r="C10083" t="s">
        <v>39</v>
      </c>
      <c r="D10083">
        <v>238</v>
      </c>
    </row>
    <row r="10084" spans="1:4" ht="15.75" customHeight="1">
      <c r="A10084" t="s">
        <v>1529</v>
      </c>
      <c r="B10084" t="s">
        <v>37</v>
      </c>
      <c r="C10084" t="s">
        <v>39</v>
      </c>
      <c r="D10084">
        <v>236</v>
      </c>
    </row>
    <row r="10085" spans="1:4" ht="15.75" customHeight="1">
      <c r="A10085" t="s">
        <v>3358</v>
      </c>
      <c r="B10085" t="s">
        <v>37</v>
      </c>
      <c r="C10085" t="s">
        <v>39</v>
      </c>
      <c r="D10085">
        <v>236</v>
      </c>
    </row>
    <row r="10086" spans="1:4" ht="15.75" customHeight="1">
      <c r="A10086" t="s">
        <v>4159</v>
      </c>
      <c r="B10086" t="s">
        <v>37</v>
      </c>
      <c r="C10086" t="s">
        <v>39</v>
      </c>
      <c r="D10086">
        <v>235</v>
      </c>
    </row>
    <row r="10087" spans="1:4" ht="15.75" customHeight="1">
      <c r="A10087" t="s">
        <v>4890</v>
      </c>
      <c r="B10087" t="s">
        <v>37</v>
      </c>
      <c r="C10087" t="s">
        <v>39</v>
      </c>
      <c r="D10087">
        <v>235</v>
      </c>
    </row>
    <row r="10088" spans="1:4" ht="15.75" customHeight="1">
      <c r="A10088" t="s">
        <v>2311</v>
      </c>
      <c r="B10088" t="s">
        <v>37</v>
      </c>
      <c r="C10088" t="s">
        <v>39</v>
      </c>
      <c r="D10088">
        <v>233</v>
      </c>
    </row>
    <row r="10089" spans="1:4" ht="15.75" customHeight="1">
      <c r="A10089" t="s">
        <v>1469</v>
      </c>
      <c r="B10089" t="s">
        <v>37</v>
      </c>
      <c r="C10089" t="s">
        <v>39</v>
      </c>
      <c r="D10089">
        <v>230</v>
      </c>
    </row>
    <row r="10090" spans="1:4" ht="15.75" customHeight="1">
      <c r="A10090" t="s">
        <v>1475</v>
      </c>
      <c r="B10090" t="s">
        <v>37</v>
      </c>
      <c r="C10090" t="s">
        <v>39</v>
      </c>
      <c r="D10090">
        <v>230</v>
      </c>
    </row>
    <row r="10091" spans="1:4" ht="15.75" customHeight="1">
      <c r="A10091" t="s">
        <v>4866</v>
      </c>
      <c r="B10091" t="s">
        <v>37</v>
      </c>
      <c r="C10091" t="s">
        <v>39</v>
      </c>
      <c r="D10091">
        <v>229</v>
      </c>
    </row>
    <row r="10092" spans="1:4" ht="15.75" customHeight="1">
      <c r="A10092" t="s">
        <v>871</v>
      </c>
      <c r="B10092" t="s">
        <v>37</v>
      </c>
      <c r="C10092" t="s">
        <v>39</v>
      </c>
      <c r="D10092">
        <v>229</v>
      </c>
    </row>
    <row r="10093" spans="1:4" ht="15.75" customHeight="1">
      <c r="A10093" t="s">
        <v>2950</v>
      </c>
      <c r="B10093" t="s">
        <v>37</v>
      </c>
      <c r="C10093" t="s">
        <v>39</v>
      </c>
      <c r="D10093">
        <v>228</v>
      </c>
    </row>
    <row r="10094" spans="1:4" ht="15.75" customHeight="1">
      <c r="A10094" t="s">
        <v>1801</v>
      </c>
      <c r="B10094" t="s">
        <v>37</v>
      </c>
      <c r="C10094" t="s">
        <v>39</v>
      </c>
      <c r="D10094">
        <v>226</v>
      </c>
    </row>
    <row r="10095" spans="1:4" ht="15.75" customHeight="1">
      <c r="A10095" t="s">
        <v>4189</v>
      </c>
      <c r="B10095" t="s">
        <v>37</v>
      </c>
      <c r="C10095" t="s">
        <v>39</v>
      </c>
      <c r="D10095">
        <v>225</v>
      </c>
    </row>
    <row r="10096" spans="1:4" ht="15.75" customHeight="1">
      <c r="A10096" t="s">
        <v>2283</v>
      </c>
      <c r="B10096" t="s">
        <v>37</v>
      </c>
      <c r="C10096" t="s">
        <v>39</v>
      </c>
      <c r="D10096">
        <v>219</v>
      </c>
    </row>
    <row r="10097" spans="1:4" ht="15.75" customHeight="1">
      <c r="A10097" t="s">
        <v>3398</v>
      </c>
      <c r="B10097" t="s">
        <v>37</v>
      </c>
      <c r="C10097" t="s">
        <v>39</v>
      </c>
      <c r="D10097">
        <v>214</v>
      </c>
    </row>
    <row r="10098" spans="1:4" ht="15.75" customHeight="1">
      <c r="A10098" t="s">
        <v>748</v>
      </c>
      <c r="B10098" t="s">
        <v>37</v>
      </c>
      <c r="C10098" t="s">
        <v>39</v>
      </c>
      <c r="D10098">
        <v>210</v>
      </c>
    </row>
    <row r="10099" spans="1:4" ht="15.75" customHeight="1">
      <c r="A10099" t="s">
        <v>2313</v>
      </c>
      <c r="B10099" t="s">
        <v>37</v>
      </c>
      <c r="C10099" t="s">
        <v>39</v>
      </c>
      <c r="D10099">
        <v>207</v>
      </c>
    </row>
    <row r="10100" spans="1:4" ht="15.75" customHeight="1">
      <c r="A10100" t="s">
        <v>3776</v>
      </c>
      <c r="B10100" t="s">
        <v>37</v>
      </c>
      <c r="C10100" t="s">
        <v>39</v>
      </c>
      <c r="D10100">
        <v>207</v>
      </c>
    </row>
    <row r="10101" spans="1:4" ht="15.75" customHeight="1">
      <c r="A10101" t="s">
        <v>1519</v>
      </c>
      <c r="B10101" t="s">
        <v>37</v>
      </c>
      <c r="C10101" t="s">
        <v>39</v>
      </c>
      <c r="D10101">
        <v>207</v>
      </c>
    </row>
    <row r="10102" spans="1:4" ht="15.75" customHeight="1">
      <c r="A10102" t="s">
        <v>4460</v>
      </c>
      <c r="B10102" t="s">
        <v>37</v>
      </c>
      <c r="C10102" t="s">
        <v>39</v>
      </c>
      <c r="D10102">
        <v>204</v>
      </c>
    </row>
    <row r="10103" spans="1:4" ht="15.75" customHeight="1">
      <c r="A10103" t="s">
        <v>2958</v>
      </c>
      <c r="B10103" t="s">
        <v>37</v>
      </c>
      <c r="C10103" t="s">
        <v>39</v>
      </c>
      <c r="D10103">
        <v>203</v>
      </c>
    </row>
    <row r="10104" spans="1:4" ht="15.75" customHeight="1">
      <c r="A10104" t="s">
        <v>861</v>
      </c>
      <c r="B10104" t="s">
        <v>37</v>
      </c>
      <c r="C10104" t="s">
        <v>39</v>
      </c>
      <c r="D10104">
        <v>202</v>
      </c>
    </row>
    <row r="10105" spans="1:4" ht="15.75" customHeight="1">
      <c r="A10105" t="s">
        <v>4472</v>
      </c>
      <c r="B10105" t="s">
        <v>37</v>
      </c>
      <c r="C10105" t="s">
        <v>39</v>
      </c>
      <c r="D10105">
        <v>202</v>
      </c>
    </row>
    <row r="10106" spans="1:4" ht="15.75" customHeight="1">
      <c r="A10106" t="s">
        <v>3747</v>
      </c>
      <c r="B10106" t="s">
        <v>37</v>
      </c>
      <c r="C10106" t="s">
        <v>39</v>
      </c>
      <c r="D10106">
        <v>201</v>
      </c>
    </row>
    <row r="10107" spans="1:4" ht="15.75" customHeight="1">
      <c r="A10107" t="s">
        <v>4886</v>
      </c>
      <c r="B10107" t="s">
        <v>37</v>
      </c>
      <c r="C10107" t="s">
        <v>39</v>
      </c>
      <c r="D10107">
        <v>201</v>
      </c>
    </row>
    <row r="10108" spans="1:4" ht="15.75" customHeight="1">
      <c r="A10108" t="s">
        <v>3756</v>
      </c>
      <c r="B10108" t="s">
        <v>37</v>
      </c>
      <c r="C10108" t="s">
        <v>39</v>
      </c>
      <c r="D10108">
        <v>201</v>
      </c>
    </row>
    <row r="10109" spans="1:4" ht="15.75" customHeight="1">
      <c r="A10109" t="s">
        <v>1573</v>
      </c>
      <c r="B10109" t="s">
        <v>37</v>
      </c>
      <c r="C10109" t="s">
        <v>39</v>
      </c>
      <c r="D10109">
        <v>201</v>
      </c>
    </row>
    <row r="10110" spans="1:4" ht="15.75" customHeight="1">
      <c r="A10110" t="s">
        <v>2323</v>
      </c>
      <c r="B10110" t="s">
        <v>37</v>
      </c>
      <c r="C10110" t="s">
        <v>39</v>
      </c>
      <c r="D10110">
        <v>199</v>
      </c>
    </row>
    <row r="10111" spans="1:4" ht="15.75" customHeight="1">
      <c r="A10111" t="s">
        <v>4864</v>
      </c>
      <c r="B10111" t="s">
        <v>37</v>
      </c>
      <c r="C10111" t="s">
        <v>39</v>
      </c>
      <c r="D10111">
        <v>198</v>
      </c>
    </row>
    <row r="10112" spans="1:4" ht="15.75" customHeight="1">
      <c r="A10112" t="s">
        <v>1813</v>
      </c>
      <c r="B10112" t="s">
        <v>37</v>
      </c>
      <c r="C10112" t="s">
        <v>39</v>
      </c>
      <c r="D10112">
        <v>198</v>
      </c>
    </row>
    <row r="10113" spans="1:4" ht="15.75" customHeight="1">
      <c r="A10113" t="s">
        <v>3390</v>
      </c>
      <c r="B10113" t="s">
        <v>37</v>
      </c>
      <c r="C10113" t="s">
        <v>39</v>
      </c>
      <c r="D10113">
        <v>198</v>
      </c>
    </row>
    <row r="10114" spans="1:4" ht="15.75" customHeight="1">
      <c r="A10114" t="s">
        <v>3340</v>
      </c>
      <c r="B10114" t="s">
        <v>37</v>
      </c>
      <c r="C10114" t="s">
        <v>39</v>
      </c>
      <c r="D10114">
        <v>197</v>
      </c>
    </row>
    <row r="10115" spans="1:4" ht="15.75" customHeight="1">
      <c r="A10115" t="s">
        <v>4212</v>
      </c>
      <c r="B10115" t="s">
        <v>37</v>
      </c>
      <c r="C10115" t="s">
        <v>39</v>
      </c>
      <c r="D10115">
        <v>197</v>
      </c>
    </row>
    <row r="10116" spans="1:4" ht="15.75" customHeight="1">
      <c r="A10116" t="s">
        <v>2367</v>
      </c>
      <c r="B10116" t="s">
        <v>37</v>
      </c>
      <c r="C10116" t="s">
        <v>39</v>
      </c>
      <c r="D10116">
        <v>197</v>
      </c>
    </row>
    <row r="10117" spans="1:4" ht="15.75" customHeight="1">
      <c r="A10117" t="s">
        <v>2307</v>
      </c>
      <c r="B10117" t="s">
        <v>37</v>
      </c>
      <c r="C10117" t="s">
        <v>39</v>
      </c>
      <c r="D10117">
        <v>195</v>
      </c>
    </row>
    <row r="10118" spans="1:4" ht="15.75" customHeight="1">
      <c r="A10118" t="s">
        <v>4896</v>
      </c>
      <c r="B10118" t="s">
        <v>37</v>
      </c>
      <c r="C10118" t="s">
        <v>39</v>
      </c>
      <c r="D10118">
        <v>195</v>
      </c>
    </row>
    <row r="10119" spans="1:4" ht="15.75" customHeight="1">
      <c r="A10119" t="s">
        <v>4855</v>
      </c>
      <c r="B10119" t="s">
        <v>37</v>
      </c>
      <c r="C10119" t="s">
        <v>39</v>
      </c>
      <c r="D10119">
        <v>195</v>
      </c>
    </row>
    <row r="10120" spans="1:4" ht="15.75" customHeight="1">
      <c r="A10120" t="s">
        <v>4182</v>
      </c>
      <c r="B10120" t="s">
        <v>37</v>
      </c>
      <c r="C10120" t="s">
        <v>39</v>
      </c>
      <c r="D10120">
        <v>192</v>
      </c>
    </row>
    <row r="10121" spans="1:4" ht="15.75" customHeight="1">
      <c r="A10121" t="s">
        <v>915</v>
      </c>
      <c r="B10121" t="s">
        <v>37</v>
      </c>
      <c r="C10121" t="s">
        <v>39</v>
      </c>
      <c r="D10121">
        <v>191</v>
      </c>
    </row>
    <row r="10122" spans="1:4" ht="15.75" customHeight="1">
      <c r="A10122" t="s">
        <v>3764</v>
      </c>
      <c r="B10122" t="s">
        <v>37</v>
      </c>
      <c r="C10122" t="s">
        <v>39</v>
      </c>
      <c r="D10122">
        <v>191</v>
      </c>
    </row>
    <row r="10123" spans="1:4" ht="15.75" customHeight="1">
      <c r="A10123" t="s">
        <v>2880</v>
      </c>
      <c r="B10123" t="s">
        <v>37</v>
      </c>
      <c r="C10123" t="s">
        <v>39</v>
      </c>
      <c r="D10123">
        <v>191</v>
      </c>
    </row>
    <row r="10124" spans="1:4" ht="15.75" customHeight="1">
      <c r="A10124" t="s">
        <v>3745</v>
      </c>
      <c r="B10124" t="s">
        <v>37</v>
      </c>
      <c r="C10124" t="s">
        <v>39</v>
      </c>
      <c r="D10124">
        <v>190</v>
      </c>
    </row>
    <row r="10125" spans="1:4" ht="15.75" customHeight="1">
      <c r="A10125" t="s">
        <v>1805</v>
      </c>
      <c r="B10125" t="s">
        <v>37</v>
      </c>
      <c r="C10125" t="s">
        <v>39</v>
      </c>
      <c r="D10125">
        <v>190</v>
      </c>
    </row>
    <row r="10126" spans="1:4" ht="15.75" customHeight="1">
      <c r="A10126" t="s">
        <v>3743</v>
      </c>
      <c r="B10126" t="s">
        <v>37</v>
      </c>
      <c r="C10126" t="s">
        <v>39</v>
      </c>
      <c r="D10126">
        <v>184</v>
      </c>
    </row>
    <row r="10127" spans="1:4" ht="15.75" customHeight="1">
      <c r="A10127" t="s">
        <v>846</v>
      </c>
      <c r="B10127" t="s">
        <v>37</v>
      </c>
      <c r="C10127" t="s">
        <v>39</v>
      </c>
      <c r="D10127">
        <v>184</v>
      </c>
    </row>
    <row r="10128" spans="1:4" ht="15.75" customHeight="1">
      <c r="A10128" t="s">
        <v>4456</v>
      </c>
      <c r="B10128" t="s">
        <v>37</v>
      </c>
      <c r="C10128" t="s">
        <v>39</v>
      </c>
      <c r="D10128">
        <v>182</v>
      </c>
    </row>
    <row r="10129" spans="1:4" ht="15.75" customHeight="1">
      <c r="A10129" t="s">
        <v>2960</v>
      </c>
      <c r="B10129" t="s">
        <v>37</v>
      </c>
      <c r="C10129" t="s">
        <v>39</v>
      </c>
      <c r="D10129">
        <v>180</v>
      </c>
    </row>
    <row r="10130" spans="1:4" ht="15.75" customHeight="1">
      <c r="A10130" t="s">
        <v>3362</v>
      </c>
      <c r="B10130" t="s">
        <v>37</v>
      </c>
      <c r="C10130" t="s">
        <v>39</v>
      </c>
      <c r="D10130">
        <v>179</v>
      </c>
    </row>
    <row r="10131" spans="1:4" ht="15.75" customHeight="1">
      <c r="A10131" t="s">
        <v>1809</v>
      </c>
      <c r="B10131" t="s">
        <v>37</v>
      </c>
      <c r="C10131" t="s">
        <v>39</v>
      </c>
      <c r="D10131">
        <v>177</v>
      </c>
    </row>
    <row r="10132" spans="1:4" ht="15.75" customHeight="1">
      <c r="A10132" t="s">
        <v>4178</v>
      </c>
      <c r="B10132" t="s">
        <v>37</v>
      </c>
      <c r="C10132" t="s">
        <v>39</v>
      </c>
      <c r="D10132">
        <v>176</v>
      </c>
    </row>
    <row r="10133" spans="1:4" ht="15.75" customHeight="1">
      <c r="A10133" t="s">
        <v>2293</v>
      </c>
      <c r="B10133" t="s">
        <v>37</v>
      </c>
      <c r="C10133" t="s">
        <v>39</v>
      </c>
      <c r="D10133">
        <v>173</v>
      </c>
    </row>
    <row r="10134" spans="1:4" ht="15.75" customHeight="1">
      <c r="A10134" t="s">
        <v>2347</v>
      </c>
      <c r="B10134" t="s">
        <v>37</v>
      </c>
      <c r="C10134" t="s">
        <v>39</v>
      </c>
      <c r="D10134">
        <v>172</v>
      </c>
    </row>
    <row r="10135" spans="1:4" ht="15.75" customHeight="1">
      <c r="A10135" t="s">
        <v>3372</v>
      </c>
      <c r="B10135" t="s">
        <v>37</v>
      </c>
      <c r="C10135" t="s">
        <v>39</v>
      </c>
      <c r="D10135">
        <v>172</v>
      </c>
    </row>
    <row r="10136" spans="1:4" ht="15.75" customHeight="1">
      <c r="A10136" t="s">
        <v>2920</v>
      </c>
      <c r="B10136" t="s">
        <v>37</v>
      </c>
      <c r="C10136" t="s">
        <v>39</v>
      </c>
      <c r="D10136">
        <v>172</v>
      </c>
    </row>
    <row r="10137" spans="1:4" ht="15.75" customHeight="1">
      <c r="A10137" t="s">
        <v>3739</v>
      </c>
      <c r="B10137" t="s">
        <v>37</v>
      </c>
      <c r="C10137" t="s">
        <v>39</v>
      </c>
      <c r="D10137">
        <v>171</v>
      </c>
    </row>
    <row r="10138" spans="1:4" ht="15.75" customHeight="1">
      <c r="A10138" t="s">
        <v>4197</v>
      </c>
      <c r="B10138" t="s">
        <v>37</v>
      </c>
      <c r="C10138" t="s">
        <v>39</v>
      </c>
      <c r="D10138">
        <v>171</v>
      </c>
    </row>
    <row r="10139" spans="1:4" ht="15.75" customHeight="1">
      <c r="A10139" t="s">
        <v>2355</v>
      </c>
      <c r="B10139" t="s">
        <v>37</v>
      </c>
      <c r="C10139" t="s">
        <v>39</v>
      </c>
      <c r="D10139">
        <v>171</v>
      </c>
    </row>
    <row r="10140" spans="1:4" ht="15.75" customHeight="1">
      <c r="A10140" t="s">
        <v>1467</v>
      </c>
      <c r="B10140" t="s">
        <v>37</v>
      </c>
      <c r="C10140" t="s">
        <v>39</v>
      </c>
      <c r="D10140">
        <v>170</v>
      </c>
    </row>
    <row r="10141" spans="1:4" ht="15.75" customHeight="1">
      <c r="A10141" t="s">
        <v>1549</v>
      </c>
      <c r="B10141" t="s">
        <v>37</v>
      </c>
      <c r="C10141" t="s">
        <v>39</v>
      </c>
      <c r="D10141">
        <v>164</v>
      </c>
    </row>
    <row r="10142" spans="1:4" ht="15.75" customHeight="1">
      <c r="A10142" t="s">
        <v>2357</v>
      </c>
      <c r="B10142" t="s">
        <v>37</v>
      </c>
      <c r="C10142" t="s">
        <v>39</v>
      </c>
      <c r="D10142">
        <v>164</v>
      </c>
    </row>
    <row r="10143" spans="1:4" ht="15.75" customHeight="1">
      <c r="A10143" t="s">
        <v>849</v>
      </c>
      <c r="B10143" t="s">
        <v>37</v>
      </c>
      <c r="C10143" t="s">
        <v>39</v>
      </c>
      <c r="D10143">
        <v>164</v>
      </c>
    </row>
    <row r="10144" spans="1:4" ht="15.75" customHeight="1">
      <c r="A10144" t="s">
        <v>4470</v>
      </c>
      <c r="B10144" t="s">
        <v>37</v>
      </c>
      <c r="C10144" t="s">
        <v>39</v>
      </c>
      <c r="D10144">
        <v>162</v>
      </c>
    </row>
    <row r="10145" spans="1:4" ht="15.75" customHeight="1">
      <c r="A10145" t="s">
        <v>3760</v>
      </c>
      <c r="B10145" t="s">
        <v>37</v>
      </c>
      <c r="C10145" t="s">
        <v>39</v>
      </c>
      <c r="D10145">
        <v>161</v>
      </c>
    </row>
    <row r="10146" spans="1:4" ht="15.75" customHeight="1">
      <c r="A10146" t="s">
        <v>4851</v>
      </c>
      <c r="B10146" t="s">
        <v>37</v>
      </c>
      <c r="C10146" t="s">
        <v>39</v>
      </c>
      <c r="D10146">
        <v>161</v>
      </c>
    </row>
    <row r="10147" spans="1:4" ht="15.75" customHeight="1">
      <c r="A10147" t="s">
        <v>759</v>
      </c>
      <c r="B10147" t="s">
        <v>37</v>
      </c>
      <c r="C10147" t="s">
        <v>39</v>
      </c>
      <c r="D10147">
        <v>161</v>
      </c>
    </row>
    <row r="10148" spans="1:4" ht="15.75" customHeight="1">
      <c r="A10148" t="s">
        <v>4857</v>
      </c>
      <c r="B10148" t="s">
        <v>37</v>
      </c>
      <c r="C10148" t="s">
        <v>39</v>
      </c>
      <c r="D10148">
        <v>159</v>
      </c>
    </row>
    <row r="10149" spans="1:4" ht="15.75" customHeight="1">
      <c r="A10149" t="s">
        <v>2886</v>
      </c>
      <c r="B10149" t="s">
        <v>37</v>
      </c>
      <c r="C10149" t="s">
        <v>39</v>
      </c>
      <c r="D10149">
        <v>157</v>
      </c>
    </row>
    <row r="10150" spans="1:4" ht="15.75" customHeight="1">
      <c r="A10150" t="s">
        <v>3766</v>
      </c>
      <c r="B10150" t="s">
        <v>37</v>
      </c>
      <c r="C10150" t="s">
        <v>39</v>
      </c>
      <c r="D10150">
        <v>153</v>
      </c>
    </row>
    <row r="10151" spans="1:4" ht="15.75" customHeight="1">
      <c r="A10151" t="s">
        <v>3328</v>
      </c>
      <c r="B10151" t="s">
        <v>37</v>
      </c>
      <c r="C10151" t="s">
        <v>39</v>
      </c>
      <c r="D10151">
        <v>152</v>
      </c>
    </row>
    <row r="10152" spans="1:4" ht="15.75" customHeight="1">
      <c r="A10152" t="s">
        <v>3378</v>
      </c>
      <c r="B10152" t="s">
        <v>37</v>
      </c>
      <c r="C10152" t="s">
        <v>39</v>
      </c>
      <c r="D10152">
        <v>150</v>
      </c>
    </row>
    <row r="10153" spans="1:4" ht="15.75" customHeight="1">
      <c r="A10153" t="s">
        <v>3752</v>
      </c>
      <c r="B10153" t="s">
        <v>37</v>
      </c>
      <c r="C10153" t="s">
        <v>39</v>
      </c>
      <c r="D10153">
        <v>149</v>
      </c>
    </row>
    <row r="10154" spans="1:4" ht="15.75" customHeight="1">
      <c r="A10154" t="s">
        <v>4454</v>
      </c>
      <c r="B10154" t="s">
        <v>37</v>
      </c>
      <c r="C10154" t="s">
        <v>39</v>
      </c>
      <c r="D10154">
        <v>148</v>
      </c>
    </row>
    <row r="10155" spans="1:4" ht="15.75" customHeight="1">
      <c r="A10155" t="s">
        <v>3376</v>
      </c>
      <c r="B10155" t="s">
        <v>37</v>
      </c>
      <c r="C10155" t="s">
        <v>39</v>
      </c>
      <c r="D10155">
        <v>148</v>
      </c>
    </row>
    <row r="10156" spans="1:4" ht="15.75" customHeight="1">
      <c r="A10156" t="s">
        <v>2327</v>
      </c>
      <c r="B10156" t="s">
        <v>37</v>
      </c>
      <c r="C10156" t="s">
        <v>39</v>
      </c>
      <c r="D10156">
        <v>146</v>
      </c>
    </row>
    <row r="10157" spans="1:4" ht="15.75" customHeight="1">
      <c r="A10157" t="s">
        <v>3326</v>
      </c>
      <c r="B10157" t="s">
        <v>37</v>
      </c>
      <c r="C10157" t="s">
        <v>39</v>
      </c>
      <c r="D10157">
        <v>146</v>
      </c>
    </row>
    <row r="10158" spans="1:4" ht="15.75" customHeight="1">
      <c r="A10158" t="s">
        <v>4167</v>
      </c>
      <c r="B10158" t="s">
        <v>37</v>
      </c>
      <c r="C10158" t="s">
        <v>39</v>
      </c>
      <c r="D10158">
        <v>146</v>
      </c>
    </row>
    <row r="10159" spans="1:4" ht="15.75" customHeight="1">
      <c r="A10159" t="s">
        <v>897</v>
      </c>
      <c r="B10159" t="s">
        <v>37</v>
      </c>
      <c r="C10159" t="s">
        <v>39</v>
      </c>
      <c r="D10159">
        <v>145</v>
      </c>
    </row>
    <row r="10160" spans="1:4" ht="15.75" customHeight="1">
      <c r="A10160" t="s">
        <v>4438</v>
      </c>
      <c r="B10160" t="s">
        <v>37</v>
      </c>
      <c r="C10160" t="s">
        <v>39</v>
      </c>
      <c r="D10160">
        <v>142</v>
      </c>
    </row>
    <row r="10161" spans="1:4" ht="15.75" customHeight="1">
      <c r="A10161" t="s">
        <v>4161</v>
      </c>
      <c r="B10161" t="s">
        <v>37</v>
      </c>
      <c r="C10161" t="s">
        <v>39</v>
      </c>
      <c r="D10161">
        <v>142</v>
      </c>
    </row>
    <row r="10162" spans="1:4" ht="15.75" customHeight="1">
      <c r="A10162" t="s">
        <v>4199</v>
      </c>
      <c r="B10162" t="s">
        <v>37</v>
      </c>
      <c r="C10162" t="s">
        <v>39</v>
      </c>
      <c r="D10162">
        <v>141</v>
      </c>
    </row>
    <row r="10163" spans="1:4" ht="15.75" customHeight="1">
      <c r="A10163" t="s">
        <v>4195</v>
      </c>
      <c r="B10163" t="s">
        <v>37</v>
      </c>
      <c r="C10163" t="s">
        <v>39</v>
      </c>
      <c r="D10163">
        <v>139</v>
      </c>
    </row>
    <row r="10164" spans="1:4" ht="15.75" customHeight="1">
      <c r="A10164" t="s">
        <v>4176</v>
      </c>
      <c r="B10164" t="s">
        <v>37</v>
      </c>
      <c r="C10164" t="s">
        <v>39</v>
      </c>
      <c r="D10164">
        <v>139</v>
      </c>
    </row>
    <row r="10165" spans="1:4" ht="15.75" customHeight="1">
      <c r="A10165" t="s">
        <v>2365</v>
      </c>
      <c r="B10165" t="s">
        <v>37</v>
      </c>
      <c r="C10165" t="s">
        <v>39</v>
      </c>
      <c r="D10165">
        <v>138</v>
      </c>
    </row>
    <row r="10166" spans="1:4" ht="15.75" customHeight="1">
      <c r="A10166" t="s">
        <v>2287</v>
      </c>
      <c r="B10166" t="s">
        <v>37</v>
      </c>
      <c r="C10166" t="s">
        <v>39</v>
      </c>
      <c r="D10166">
        <v>137</v>
      </c>
    </row>
    <row r="10167" spans="1:4" ht="15.75" customHeight="1">
      <c r="A10167" t="s">
        <v>4165</v>
      </c>
      <c r="B10167" t="s">
        <v>37</v>
      </c>
      <c r="C10167" t="s">
        <v>39</v>
      </c>
      <c r="D10167">
        <v>136</v>
      </c>
    </row>
    <row r="10168" spans="1:4" ht="15.75" customHeight="1">
      <c r="A10168" t="s">
        <v>2932</v>
      </c>
      <c r="B10168" t="s">
        <v>37</v>
      </c>
      <c r="C10168" t="s">
        <v>39</v>
      </c>
      <c r="D10168">
        <v>135</v>
      </c>
    </row>
    <row r="10169" spans="1:4" ht="15.75" customHeight="1">
      <c r="A10169" t="s">
        <v>1803</v>
      </c>
      <c r="B10169" t="s">
        <v>37</v>
      </c>
      <c r="C10169" t="s">
        <v>39</v>
      </c>
      <c r="D10169">
        <v>135</v>
      </c>
    </row>
    <row r="10170" spans="1:4" ht="15.75" customHeight="1">
      <c r="A10170" t="s">
        <v>1817</v>
      </c>
      <c r="B10170" t="s">
        <v>37</v>
      </c>
      <c r="C10170" t="s">
        <v>39</v>
      </c>
      <c r="D10170">
        <v>134</v>
      </c>
    </row>
    <row r="10171" spans="1:4" ht="15.75" customHeight="1">
      <c r="A10171" t="s">
        <v>1494</v>
      </c>
      <c r="B10171" t="s">
        <v>37</v>
      </c>
      <c r="C10171" t="s">
        <v>39</v>
      </c>
      <c r="D10171">
        <v>134</v>
      </c>
    </row>
    <row r="10172" spans="1:4" ht="15.75" customHeight="1">
      <c r="A10172" t="s">
        <v>1509</v>
      </c>
      <c r="B10172" t="s">
        <v>37</v>
      </c>
      <c r="C10172" t="s">
        <v>39</v>
      </c>
      <c r="D10172">
        <v>132</v>
      </c>
    </row>
    <row r="10173" spans="1:4" ht="15.75" customHeight="1">
      <c r="A10173" t="s">
        <v>1571</v>
      </c>
      <c r="B10173" t="s">
        <v>37</v>
      </c>
      <c r="C10173" t="s">
        <v>39</v>
      </c>
      <c r="D10173">
        <v>131</v>
      </c>
    </row>
    <row r="10174" spans="1:4" ht="15.75" customHeight="1">
      <c r="A10174" t="s">
        <v>2938</v>
      </c>
      <c r="B10174" t="s">
        <v>37</v>
      </c>
      <c r="C10174" t="s">
        <v>39</v>
      </c>
      <c r="D10174">
        <v>131</v>
      </c>
    </row>
    <row r="10175" spans="1:4" ht="15.75" customHeight="1">
      <c r="A10175" t="s">
        <v>4203</v>
      </c>
      <c r="B10175" t="s">
        <v>37</v>
      </c>
      <c r="C10175" t="s">
        <v>39</v>
      </c>
      <c r="D10175">
        <v>130</v>
      </c>
    </row>
    <row r="10176" spans="1:4" ht="15.75" customHeight="1">
      <c r="A10176" t="s">
        <v>1541</v>
      </c>
      <c r="B10176" t="s">
        <v>37</v>
      </c>
      <c r="C10176" t="s">
        <v>39</v>
      </c>
      <c r="D10176">
        <v>129</v>
      </c>
    </row>
    <row r="10177" spans="1:4" ht="15.75" customHeight="1">
      <c r="A10177" t="s">
        <v>1799</v>
      </c>
      <c r="B10177" t="s">
        <v>37</v>
      </c>
      <c r="C10177" t="s">
        <v>39</v>
      </c>
      <c r="D10177">
        <v>127</v>
      </c>
    </row>
    <row r="10178" spans="1:4" ht="15.75" customHeight="1">
      <c r="A10178" t="s">
        <v>1499</v>
      </c>
      <c r="B10178" t="s">
        <v>37</v>
      </c>
      <c r="C10178" t="s">
        <v>39</v>
      </c>
      <c r="D10178">
        <v>126</v>
      </c>
    </row>
    <row r="10179" spans="1:4" ht="15.75" customHeight="1">
      <c r="A10179" t="s">
        <v>2896</v>
      </c>
      <c r="B10179" t="s">
        <v>37</v>
      </c>
      <c r="C10179" t="s">
        <v>39</v>
      </c>
      <c r="D10179">
        <v>125</v>
      </c>
    </row>
    <row r="10180" spans="1:4" ht="15.75" customHeight="1">
      <c r="A10180" t="s">
        <v>3737</v>
      </c>
      <c r="B10180" t="s">
        <v>37</v>
      </c>
      <c r="C10180" t="s">
        <v>39</v>
      </c>
      <c r="D10180">
        <v>125</v>
      </c>
    </row>
    <row r="10181" spans="1:4" ht="15.75" customHeight="1">
      <c r="A10181" t="s">
        <v>4172</v>
      </c>
      <c r="B10181" t="s">
        <v>37</v>
      </c>
      <c r="C10181" t="s">
        <v>39</v>
      </c>
      <c r="D10181">
        <v>124</v>
      </c>
    </row>
    <row r="10182" spans="1:4" ht="15.75" customHeight="1">
      <c r="A10182" t="s">
        <v>2904</v>
      </c>
      <c r="B10182" t="s">
        <v>37</v>
      </c>
      <c r="C10182" t="s">
        <v>39</v>
      </c>
      <c r="D10182">
        <v>124</v>
      </c>
    </row>
    <row r="10183" spans="1:4" ht="15.75" customHeight="1">
      <c r="A10183" t="s">
        <v>4452</v>
      </c>
      <c r="B10183" t="s">
        <v>37</v>
      </c>
      <c r="C10183" t="s">
        <v>39</v>
      </c>
      <c r="D10183">
        <v>121</v>
      </c>
    </row>
    <row r="10184" spans="1:4" ht="15.75" customHeight="1">
      <c r="A10184" t="s">
        <v>2948</v>
      </c>
      <c r="B10184" t="s">
        <v>37</v>
      </c>
      <c r="C10184" t="s">
        <v>39</v>
      </c>
      <c r="D10184">
        <v>121</v>
      </c>
    </row>
    <row r="10185" spans="1:4" ht="15.75" customHeight="1">
      <c r="A10185" t="s">
        <v>3382</v>
      </c>
      <c r="B10185" t="s">
        <v>37</v>
      </c>
      <c r="C10185" t="s">
        <v>39</v>
      </c>
      <c r="D10185">
        <v>121</v>
      </c>
    </row>
    <row r="10186" spans="1:4" ht="15.75" customHeight="1">
      <c r="A10186" t="s">
        <v>3360</v>
      </c>
      <c r="B10186" t="s">
        <v>37</v>
      </c>
      <c r="C10186" t="s">
        <v>39</v>
      </c>
      <c r="D10186">
        <v>120</v>
      </c>
    </row>
    <row r="10187" spans="1:4" ht="15.75" customHeight="1">
      <c r="A10187" t="s">
        <v>4845</v>
      </c>
      <c r="B10187" t="s">
        <v>37</v>
      </c>
      <c r="C10187" t="s">
        <v>39</v>
      </c>
      <c r="D10187">
        <v>119</v>
      </c>
    </row>
    <row r="10188" spans="1:4" ht="15.75" customHeight="1">
      <c r="A10188" t="s">
        <v>1505</v>
      </c>
      <c r="B10188" t="s">
        <v>37</v>
      </c>
      <c r="C10188" t="s">
        <v>39</v>
      </c>
      <c r="D10188">
        <v>117</v>
      </c>
    </row>
    <row r="10189" spans="1:4" ht="15.75" customHeight="1">
      <c r="A10189" t="s">
        <v>2363</v>
      </c>
      <c r="B10189" t="s">
        <v>37</v>
      </c>
      <c r="C10189" t="s">
        <v>39</v>
      </c>
      <c r="D10189">
        <v>117</v>
      </c>
    </row>
    <row r="10190" spans="1:4" ht="15.75" customHeight="1">
      <c r="A10190" t="s">
        <v>4157</v>
      </c>
      <c r="B10190" t="s">
        <v>37</v>
      </c>
      <c r="C10190" t="s">
        <v>39</v>
      </c>
      <c r="D10190">
        <v>116</v>
      </c>
    </row>
    <row r="10191" spans="1:4" ht="15.75" customHeight="1">
      <c r="A10191" t="s">
        <v>2900</v>
      </c>
      <c r="B10191" t="s">
        <v>37</v>
      </c>
      <c r="C10191" t="s">
        <v>39</v>
      </c>
      <c r="D10191">
        <v>113</v>
      </c>
    </row>
    <row r="10192" spans="1:4" ht="15.75" customHeight="1">
      <c r="A10192" t="s">
        <v>4861</v>
      </c>
      <c r="B10192" t="s">
        <v>37</v>
      </c>
      <c r="C10192" t="s">
        <v>39</v>
      </c>
      <c r="D10192">
        <v>111</v>
      </c>
    </row>
    <row r="10193" spans="1:4" ht="15.75" customHeight="1">
      <c r="A10193" t="s">
        <v>4894</v>
      </c>
      <c r="B10193" t="s">
        <v>37</v>
      </c>
      <c r="C10193" t="s">
        <v>39</v>
      </c>
      <c r="D10193">
        <v>110</v>
      </c>
    </row>
    <row r="10194" spans="1:4" ht="15.75" customHeight="1">
      <c r="A10194" t="s">
        <v>2349</v>
      </c>
      <c r="B10194" t="s">
        <v>37</v>
      </c>
      <c r="C10194" t="s">
        <v>39</v>
      </c>
      <c r="D10194">
        <v>110</v>
      </c>
    </row>
    <row r="10195" spans="1:4" ht="15.75" customHeight="1">
      <c r="A10195" t="s">
        <v>4868</v>
      </c>
      <c r="B10195" t="s">
        <v>37</v>
      </c>
      <c r="C10195" t="s">
        <v>39</v>
      </c>
      <c r="D10195">
        <v>107</v>
      </c>
    </row>
    <row r="10196" spans="1:4" ht="15.75" customHeight="1">
      <c r="A10196" t="s">
        <v>4186</v>
      </c>
      <c r="B10196" t="s">
        <v>37</v>
      </c>
      <c r="C10196" t="s">
        <v>39</v>
      </c>
      <c r="D10196">
        <v>106</v>
      </c>
    </row>
    <row r="10197" spans="1:4" ht="15.75" customHeight="1">
      <c r="A10197" t="s">
        <v>3754</v>
      </c>
      <c r="B10197" t="s">
        <v>37</v>
      </c>
      <c r="C10197" t="s">
        <v>39</v>
      </c>
      <c r="D10197">
        <v>105</v>
      </c>
    </row>
    <row r="10198" spans="1:4" ht="15.75" customHeight="1">
      <c r="A10198" t="s">
        <v>772</v>
      </c>
      <c r="B10198" t="s">
        <v>37</v>
      </c>
      <c r="C10198" t="s">
        <v>39</v>
      </c>
      <c r="D10198">
        <v>105</v>
      </c>
    </row>
    <row r="10199" spans="1:4" ht="15.75" customHeight="1">
      <c r="A10199" t="s">
        <v>3374</v>
      </c>
      <c r="B10199" t="s">
        <v>37</v>
      </c>
      <c r="C10199" t="s">
        <v>39</v>
      </c>
      <c r="D10199">
        <v>103</v>
      </c>
    </row>
    <row r="10200" spans="1:4" ht="15.75" customHeight="1">
      <c r="A10200" t="s">
        <v>903</v>
      </c>
      <c r="B10200" t="s">
        <v>37</v>
      </c>
      <c r="C10200" t="s">
        <v>39</v>
      </c>
      <c r="D10200">
        <v>101</v>
      </c>
    </row>
    <row r="10201" spans="1:4" ht="15.75" customHeight="1">
      <c r="A10201" t="s">
        <v>4458</v>
      </c>
      <c r="B10201" t="s">
        <v>37</v>
      </c>
      <c r="C10201" t="s">
        <v>39</v>
      </c>
      <c r="D10201">
        <v>98</v>
      </c>
    </row>
    <row r="10202" spans="1:4" ht="15.75" customHeight="1">
      <c r="A10202" t="s">
        <v>2341</v>
      </c>
      <c r="B10202" t="s">
        <v>37</v>
      </c>
      <c r="C10202" t="s">
        <v>39</v>
      </c>
      <c r="D10202">
        <v>98</v>
      </c>
    </row>
    <row r="10203" spans="1:4" ht="15.75" customHeight="1">
      <c r="A10203" t="s">
        <v>2952</v>
      </c>
      <c r="B10203" t="s">
        <v>37</v>
      </c>
      <c r="C10203" t="s">
        <v>39</v>
      </c>
      <c r="D10203">
        <v>97</v>
      </c>
    </row>
    <row r="10204" spans="1:4" ht="15.75" customHeight="1">
      <c r="A10204" t="s">
        <v>3338</v>
      </c>
      <c r="B10204" t="s">
        <v>37</v>
      </c>
      <c r="C10204" t="s">
        <v>39</v>
      </c>
      <c r="D10204">
        <v>97</v>
      </c>
    </row>
    <row r="10205" spans="1:4" ht="15.75" customHeight="1">
      <c r="A10205" t="s">
        <v>1543</v>
      </c>
      <c r="B10205" t="s">
        <v>37</v>
      </c>
      <c r="C10205" t="s">
        <v>39</v>
      </c>
      <c r="D10205">
        <v>97</v>
      </c>
    </row>
    <row r="10206" spans="1:4" ht="15.75" customHeight="1">
      <c r="A10206" t="s">
        <v>4878</v>
      </c>
      <c r="B10206" t="s">
        <v>37</v>
      </c>
      <c r="C10206" t="s">
        <v>39</v>
      </c>
      <c r="D10206">
        <v>96</v>
      </c>
    </row>
    <row r="10207" spans="1:4" ht="15.75" customHeight="1">
      <c r="A10207" t="s">
        <v>4152</v>
      </c>
      <c r="B10207" t="s">
        <v>37</v>
      </c>
      <c r="C10207" t="s">
        <v>39</v>
      </c>
      <c r="D10207">
        <v>96</v>
      </c>
    </row>
    <row r="10208" spans="1:4" ht="15.75" customHeight="1">
      <c r="A10208" t="s">
        <v>2321</v>
      </c>
      <c r="B10208" t="s">
        <v>37</v>
      </c>
      <c r="C10208" t="s">
        <v>39</v>
      </c>
      <c r="D10208">
        <v>95</v>
      </c>
    </row>
    <row r="10209" spans="1:4" ht="15.75" customHeight="1">
      <c r="A10209" t="s">
        <v>881</v>
      </c>
      <c r="B10209" t="s">
        <v>37</v>
      </c>
      <c r="C10209" t="s">
        <v>39</v>
      </c>
      <c r="D10209">
        <v>95</v>
      </c>
    </row>
    <row r="10210" spans="1:4" ht="15.75" customHeight="1">
      <c r="A10210" t="s">
        <v>4201</v>
      </c>
      <c r="B10210" t="s">
        <v>37</v>
      </c>
      <c r="C10210" t="s">
        <v>39</v>
      </c>
      <c r="D10210">
        <v>91</v>
      </c>
    </row>
    <row r="10211" spans="1:4" ht="15.75" customHeight="1">
      <c r="A10211" t="s">
        <v>1525</v>
      </c>
      <c r="B10211" t="s">
        <v>37</v>
      </c>
      <c r="C10211" t="s">
        <v>39</v>
      </c>
      <c r="D10211">
        <v>90</v>
      </c>
    </row>
    <row r="10212" spans="1:4" ht="15.75" customHeight="1">
      <c r="A10212" t="s">
        <v>3346</v>
      </c>
      <c r="B10212" t="s">
        <v>37</v>
      </c>
      <c r="C10212" t="s">
        <v>39</v>
      </c>
      <c r="D10212">
        <v>88</v>
      </c>
    </row>
    <row r="10213" spans="1:4" ht="15.75" customHeight="1">
      <c r="A10213" t="s">
        <v>879</v>
      </c>
      <c r="B10213" t="s">
        <v>37</v>
      </c>
      <c r="C10213" t="s">
        <v>39</v>
      </c>
      <c r="D10213">
        <v>88</v>
      </c>
    </row>
    <row r="10214" spans="1:4" ht="15.75" customHeight="1">
      <c r="A10214" t="s">
        <v>4468</v>
      </c>
      <c r="B10214" t="s">
        <v>37</v>
      </c>
      <c r="C10214" t="s">
        <v>39</v>
      </c>
      <c r="D10214">
        <v>87</v>
      </c>
    </row>
    <row r="10215" spans="1:4" ht="15.75" customHeight="1">
      <c r="A10215" t="s">
        <v>1481</v>
      </c>
      <c r="B10215" t="s">
        <v>37</v>
      </c>
      <c r="C10215" t="s">
        <v>39</v>
      </c>
      <c r="D10215">
        <v>86</v>
      </c>
    </row>
    <row r="10216" spans="1:4" ht="15.75" customHeight="1">
      <c r="A10216" t="s">
        <v>4905</v>
      </c>
      <c r="B10216" t="s">
        <v>37</v>
      </c>
      <c r="C10216" t="s">
        <v>39</v>
      </c>
      <c r="D10216">
        <v>86</v>
      </c>
    </row>
    <row r="10217" spans="1:4" ht="15.75" customHeight="1">
      <c r="A10217" t="s">
        <v>4888</v>
      </c>
      <c r="B10217" t="s">
        <v>37</v>
      </c>
      <c r="C10217" t="s">
        <v>39</v>
      </c>
      <c r="D10217">
        <v>85</v>
      </c>
    </row>
    <row r="10218" spans="1:4" ht="15.75" customHeight="1">
      <c r="A10218" t="s">
        <v>4184</v>
      </c>
      <c r="B10218" t="s">
        <v>37</v>
      </c>
      <c r="C10218" t="s">
        <v>39</v>
      </c>
      <c r="D10218">
        <v>85</v>
      </c>
    </row>
    <row r="10219" spans="1:4" ht="15.75" customHeight="1">
      <c r="A10219" t="s">
        <v>2335</v>
      </c>
      <c r="B10219" t="s">
        <v>37</v>
      </c>
      <c r="C10219" t="s">
        <v>39</v>
      </c>
      <c r="D10219">
        <v>84</v>
      </c>
    </row>
    <row r="10220" spans="1:4" ht="15.75" customHeight="1">
      <c r="A10220" t="s">
        <v>3774</v>
      </c>
      <c r="B10220" t="s">
        <v>37</v>
      </c>
      <c r="C10220" t="s">
        <v>39</v>
      </c>
      <c r="D10220">
        <v>83</v>
      </c>
    </row>
    <row r="10221" spans="1:4" ht="15.75" customHeight="1">
      <c r="A10221" t="s">
        <v>4180</v>
      </c>
      <c r="B10221" t="s">
        <v>37</v>
      </c>
      <c r="C10221" t="s">
        <v>39</v>
      </c>
      <c r="D10221">
        <v>81</v>
      </c>
    </row>
    <row r="10222" spans="1:4" ht="15.75" customHeight="1">
      <c r="A10222" t="s">
        <v>3392</v>
      </c>
      <c r="B10222" t="s">
        <v>37</v>
      </c>
      <c r="C10222" t="s">
        <v>39</v>
      </c>
      <c r="D10222">
        <v>74</v>
      </c>
    </row>
    <row r="10223" spans="1:4" ht="15.75" customHeight="1">
      <c r="A10223" t="s">
        <v>3731</v>
      </c>
      <c r="B10223" t="s">
        <v>37</v>
      </c>
      <c r="C10223" t="s">
        <v>39</v>
      </c>
      <c r="D10223">
        <v>74</v>
      </c>
    </row>
    <row r="10224" spans="1:4" ht="15.75" customHeight="1">
      <c r="A10224" t="s">
        <v>1547</v>
      </c>
      <c r="B10224" t="s">
        <v>37</v>
      </c>
      <c r="C10224" t="s">
        <v>39</v>
      </c>
      <c r="D10224">
        <v>73</v>
      </c>
    </row>
    <row r="10225" spans="1:4" ht="15.75" customHeight="1">
      <c r="A10225" t="s">
        <v>1513</v>
      </c>
      <c r="B10225" t="s">
        <v>37</v>
      </c>
      <c r="C10225" t="s">
        <v>39</v>
      </c>
      <c r="D10225">
        <v>73</v>
      </c>
    </row>
    <row r="10226" spans="1:4" ht="15.75" customHeight="1">
      <c r="A10226" t="s">
        <v>3735</v>
      </c>
      <c r="B10226" t="s">
        <v>37</v>
      </c>
      <c r="C10226" t="s">
        <v>39</v>
      </c>
      <c r="D10226">
        <v>71</v>
      </c>
    </row>
    <row r="10227" spans="1:4" ht="15.75" customHeight="1">
      <c r="A10227" t="s">
        <v>3370</v>
      </c>
      <c r="B10227" t="s">
        <v>37</v>
      </c>
      <c r="C10227" t="s">
        <v>39</v>
      </c>
      <c r="D10227">
        <v>71</v>
      </c>
    </row>
    <row r="10228" spans="1:4" ht="15.75" customHeight="1">
      <c r="A10228" t="s">
        <v>2337</v>
      </c>
      <c r="B10228" t="s">
        <v>37</v>
      </c>
      <c r="C10228" t="s">
        <v>39</v>
      </c>
      <c r="D10228">
        <v>69</v>
      </c>
    </row>
    <row r="10229" spans="1:4" ht="15.75" customHeight="1">
      <c r="A10229" t="s">
        <v>1823</v>
      </c>
      <c r="B10229" t="s">
        <v>37</v>
      </c>
      <c r="C10229" t="s">
        <v>39</v>
      </c>
      <c r="D10229">
        <v>69</v>
      </c>
    </row>
    <row r="10230" spans="1:4" ht="15.75" customHeight="1">
      <c r="A10230" t="s">
        <v>4874</v>
      </c>
      <c r="B10230" t="s">
        <v>37</v>
      </c>
      <c r="C10230" t="s">
        <v>39</v>
      </c>
      <c r="D10230">
        <v>68</v>
      </c>
    </row>
    <row r="10231" spans="1:4" ht="15.75" customHeight="1">
      <c r="A10231" t="s">
        <v>1561</v>
      </c>
      <c r="B10231" t="s">
        <v>37</v>
      </c>
      <c r="C10231" t="s">
        <v>39</v>
      </c>
      <c r="D10231">
        <v>67</v>
      </c>
    </row>
    <row r="10232" spans="1:4" ht="15.75" customHeight="1">
      <c r="A10232" t="s">
        <v>1811</v>
      </c>
      <c r="B10232" t="s">
        <v>37</v>
      </c>
      <c r="C10232" t="s">
        <v>39</v>
      </c>
      <c r="D10232">
        <v>66</v>
      </c>
    </row>
    <row r="10233" spans="1:4" ht="15.75" customHeight="1">
      <c r="A10233" t="s">
        <v>1485</v>
      </c>
      <c r="B10233" t="s">
        <v>37</v>
      </c>
      <c r="C10233" t="s">
        <v>39</v>
      </c>
      <c r="D10233">
        <v>66</v>
      </c>
    </row>
    <row r="10234" spans="1:4" ht="15.75" customHeight="1">
      <c r="A10234" t="s">
        <v>2369</v>
      </c>
      <c r="B10234" t="s">
        <v>37</v>
      </c>
      <c r="C10234" t="s">
        <v>39</v>
      </c>
      <c r="D10234">
        <v>66</v>
      </c>
    </row>
    <row r="10235" spans="1:4" ht="15.75" customHeight="1">
      <c r="A10235" t="s">
        <v>4859</v>
      </c>
      <c r="B10235" t="s">
        <v>37</v>
      </c>
      <c r="C10235" t="s">
        <v>39</v>
      </c>
      <c r="D10235">
        <v>63</v>
      </c>
    </row>
    <row r="10236" spans="1:4" ht="15.75" customHeight="1">
      <c r="A10236" t="s">
        <v>4442</v>
      </c>
      <c r="B10236" t="s">
        <v>37</v>
      </c>
      <c r="C10236" t="s">
        <v>39</v>
      </c>
      <c r="D10236">
        <v>59</v>
      </c>
    </row>
    <row r="10237" spans="1:4" ht="15.75" customHeight="1">
      <c r="A10237" t="s">
        <v>3334</v>
      </c>
      <c r="B10237" t="s">
        <v>37</v>
      </c>
      <c r="C10237" t="s">
        <v>39</v>
      </c>
      <c r="D10237">
        <v>59</v>
      </c>
    </row>
    <row r="10238" spans="1:4" ht="15.75" customHeight="1">
      <c r="A10238" t="s">
        <v>901</v>
      </c>
      <c r="B10238" t="s">
        <v>37</v>
      </c>
      <c r="C10238" t="s">
        <v>39</v>
      </c>
      <c r="D10238">
        <v>59</v>
      </c>
    </row>
    <row r="10239" spans="1:4" ht="15.75" customHeight="1">
      <c r="A10239" t="s">
        <v>4446</v>
      </c>
      <c r="B10239" t="s">
        <v>37</v>
      </c>
      <c r="C10239" t="s">
        <v>39</v>
      </c>
      <c r="D10239">
        <v>56</v>
      </c>
    </row>
    <row r="10240" spans="1:4" ht="15.75" customHeight="1">
      <c r="A10240" t="s">
        <v>1559</v>
      </c>
      <c r="B10240" t="s">
        <v>37</v>
      </c>
      <c r="C10240" t="s">
        <v>39</v>
      </c>
      <c r="D10240">
        <v>55</v>
      </c>
    </row>
    <row r="10241" spans="1:4" ht="15.75" customHeight="1">
      <c r="A10241" t="s">
        <v>1569</v>
      </c>
      <c r="B10241" t="s">
        <v>37</v>
      </c>
      <c r="C10241" t="s">
        <v>39</v>
      </c>
      <c r="D10241">
        <v>54</v>
      </c>
    </row>
    <row r="10242" spans="1:4" ht="15.75" customHeight="1">
      <c r="A10242" t="s">
        <v>3380</v>
      </c>
      <c r="B10242" t="s">
        <v>37</v>
      </c>
      <c r="C10242" t="s">
        <v>39</v>
      </c>
      <c r="D10242">
        <v>54</v>
      </c>
    </row>
    <row r="10243" spans="1:4" ht="15.75" customHeight="1">
      <c r="A10243" t="s">
        <v>4462</v>
      </c>
      <c r="B10243" t="s">
        <v>37</v>
      </c>
      <c r="C10243" t="s">
        <v>39</v>
      </c>
      <c r="D10243">
        <v>53</v>
      </c>
    </row>
    <row r="10244" spans="1:4" ht="15.75" customHeight="1">
      <c r="A10244" t="s">
        <v>3324</v>
      </c>
      <c r="B10244" t="s">
        <v>37</v>
      </c>
      <c r="C10244" t="s">
        <v>39</v>
      </c>
      <c r="D10244">
        <v>53</v>
      </c>
    </row>
    <row r="10245" spans="1:4" ht="15.75" customHeight="1">
      <c r="A10245" t="s">
        <v>3749</v>
      </c>
      <c r="B10245" t="s">
        <v>37</v>
      </c>
      <c r="C10245" t="s">
        <v>39</v>
      </c>
      <c r="D10245">
        <v>52</v>
      </c>
    </row>
    <row r="10246" spans="1:4" ht="15.75" customHeight="1">
      <c r="A10246" t="s">
        <v>1483</v>
      </c>
      <c r="B10246" t="s">
        <v>37</v>
      </c>
      <c r="C10246" t="s">
        <v>39</v>
      </c>
      <c r="D10246">
        <v>51</v>
      </c>
    </row>
    <row r="10247" spans="1:4" ht="15.75" customHeight="1">
      <c r="A10247" t="s">
        <v>3394</v>
      </c>
      <c r="B10247" t="s">
        <v>37</v>
      </c>
      <c r="C10247" t="s">
        <v>39</v>
      </c>
      <c r="D10247">
        <v>50</v>
      </c>
    </row>
    <row r="10248" spans="1:4" ht="15.75" customHeight="1">
      <c r="A10248" t="s">
        <v>1507</v>
      </c>
      <c r="B10248" t="s">
        <v>37</v>
      </c>
      <c r="C10248" t="s">
        <v>39</v>
      </c>
      <c r="D10248">
        <v>48</v>
      </c>
    </row>
    <row r="10249" spans="1:4" ht="15.75" customHeight="1">
      <c r="A10249" t="s">
        <v>844</v>
      </c>
      <c r="B10249" t="s">
        <v>37</v>
      </c>
      <c r="C10249" t="s">
        <v>39</v>
      </c>
      <c r="D10249">
        <v>47</v>
      </c>
    </row>
    <row r="10250" spans="1:4" ht="15.75" customHeight="1">
      <c r="A10250" t="s">
        <v>3354</v>
      </c>
      <c r="B10250" t="s">
        <v>37</v>
      </c>
      <c r="C10250" t="s">
        <v>39</v>
      </c>
      <c r="D10250">
        <v>46</v>
      </c>
    </row>
    <row r="10251" spans="1:4" ht="15.75" customHeight="1">
      <c r="A10251" t="s">
        <v>4444</v>
      </c>
      <c r="B10251" t="s">
        <v>37</v>
      </c>
      <c r="C10251" t="s">
        <v>39</v>
      </c>
      <c r="D10251">
        <v>45</v>
      </c>
    </row>
    <row r="10252" spans="1:4" ht="15.75" customHeight="1">
      <c r="A10252" t="s">
        <v>1577</v>
      </c>
      <c r="B10252" t="s">
        <v>37</v>
      </c>
      <c r="C10252" t="s">
        <v>39</v>
      </c>
      <c r="D10252">
        <v>45</v>
      </c>
    </row>
    <row r="10253" spans="1:4" ht="15.75" customHeight="1">
      <c r="A10253" t="s">
        <v>1527</v>
      </c>
      <c r="B10253" t="s">
        <v>37</v>
      </c>
      <c r="C10253" t="s">
        <v>39</v>
      </c>
      <c r="D10253">
        <v>43</v>
      </c>
    </row>
    <row r="10254" spans="1:4" ht="15.75" customHeight="1">
      <c r="A10254" t="s">
        <v>1496</v>
      </c>
      <c r="B10254" t="s">
        <v>37</v>
      </c>
      <c r="C10254" t="s">
        <v>39</v>
      </c>
      <c r="D10254">
        <v>43</v>
      </c>
    </row>
    <row r="10255" spans="1:4" ht="15.75" customHeight="1">
      <c r="A10255" t="s">
        <v>1515</v>
      </c>
      <c r="B10255" t="s">
        <v>37</v>
      </c>
      <c r="C10255" t="s">
        <v>39</v>
      </c>
      <c r="D10255">
        <v>40</v>
      </c>
    </row>
    <row r="10256" spans="1:4" ht="15.75" customHeight="1">
      <c r="A10256" t="s">
        <v>1533</v>
      </c>
      <c r="B10256" t="s">
        <v>37</v>
      </c>
      <c r="C10256" t="s">
        <v>39</v>
      </c>
      <c r="D10256">
        <v>38</v>
      </c>
    </row>
    <row r="10257" spans="1:4" ht="15.75" customHeight="1">
      <c r="A10257" t="s">
        <v>1487</v>
      </c>
      <c r="B10257" t="s">
        <v>37</v>
      </c>
      <c r="C10257" t="s">
        <v>39</v>
      </c>
      <c r="D10257">
        <v>38</v>
      </c>
    </row>
    <row r="10258" spans="1:4" ht="15.75" customHeight="1">
      <c r="A10258" t="s">
        <v>4435</v>
      </c>
      <c r="B10258" t="s">
        <v>37</v>
      </c>
      <c r="C10258" t="s">
        <v>39</v>
      </c>
      <c r="D10258">
        <v>36</v>
      </c>
    </row>
    <row r="10259" spans="1:4" ht="15.75" customHeight="1">
      <c r="A10259" t="s">
        <v>3388</v>
      </c>
      <c r="B10259" t="s">
        <v>37</v>
      </c>
      <c r="C10259" t="s">
        <v>39</v>
      </c>
      <c r="D10259">
        <v>36</v>
      </c>
    </row>
    <row r="10260" spans="1:4" ht="15.75" customHeight="1">
      <c r="A10260" t="s">
        <v>2371</v>
      </c>
      <c r="B10260" t="s">
        <v>37</v>
      </c>
      <c r="C10260" t="s">
        <v>39</v>
      </c>
      <c r="D10260">
        <v>36</v>
      </c>
    </row>
    <row r="10261" spans="1:4" ht="15.75" customHeight="1">
      <c r="A10261" t="s">
        <v>3733</v>
      </c>
      <c r="B10261" t="s">
        <v>37</v>
      </c>
      <c r="C10261" t="s">
        <v>39</v>
      </c>
      <c r="D10261">
        <v>35</v>
      </c>
    </row>
    <row r="10262" spans="1:4" ht="15.75" customHeight="1">
      <c r="A10262" t="s">
        <v>715</v>
      </c>
      <c r="B10262" t="s">
        <v>37</v>
      </c>
      <c r="C10262" t="s">
        <v>39</v>
      </c>
      <c r="D10262">
        <v>33</v>
      </c>
    </row>
    <row r="10263" spans="1:4" ht="15.75" customHeight="1">
      <c r="A10263" t="s">
        <v>3336</v>
      </c>
      <c r="B10263" t="s">
        <v>37</v>
      </c>
      <c r="C10263" t="s">
        <v>39</v>
      </c>
      <c r="D10263">
        <v>32</v>
      </c>
    </row>
    <row r="10264" spans="1:4" ht="15.75" customHeight="1">
      <c r="A10264" t="s">
        <v>4882</v>
      </c>
      <c r="B10264" t="s">
        <v>37</v>
      </c>
      <c r="C10264" t="s">
        <v>39</v>
      </c>
      <c r="D10264">
        <v>30</v>
      </c>
    </row>
    <row r="10265" spans="1:4" ht="15.75" customHeight="1">
      <c r="A10265" t="s">
        <v>3352</v>
      </c>
      <c r="B10265" t="s">
        <v>37</v>
      </c>
      <c r="C10265" t="s">
        <v>39</v>
      </c>
      <c r="D10265">
        <v>30</v>
      </c>
    </row>
    <row r="10266" spans="1:4" ht="15.75" customHeight="1">
      <c r="A10266" t="s">
        <v>2303</v>
      </c>
      <c r="B10266" t="s">
        <v>37</v>
      </c>
      <c r="C10266" t="s">
        <v>39</v>
      </c>
      <c r="D10266">
        <v>29</v>
      </c>
    </row>
    <row r="10267" spans="1:4" ht="15.75" customHeight="1">
      <c r="A10267" t="s">
        <v>2305</v>
      </c>
      <c r="B10267" t="s">
        <v>37</v>
      </c>
      <c r="C10267" t="s">
        <v>39</v>
      </c>
      <c r="D10267">
        <v>29</v>
      </c>
    </row>
    <row r="10268" spans="1:4" ht="15.75" customHeight="1">
      <c r="A10268" t="s">
        <v>4440</v>
      </c>
      <c r="B10268" t="s">
        <v>37</v>
      </c>
      <c r="C10268" t="s">
        <v>39</v>
      </c>
      <c r="D10268">
        <v>28</v>
      </c>
    </row>
    <row r="10269" spans="1:4" ht="15.75" customHeight="1">
      <c r="A10269" t="s">
        <v>4464</v>
      </c>
      <c r="B10269" t="s">
        <v>37</v>
      </c>
      <c r="C10269" t="s">
        <v>39</v>
      </c>
      <c r="D10269">
        <v>28</v>
      </c>
    </row>
    <row r="10270" spans="1:4" ht="15.75" customHeight="1">
      <c r="A10270" t="s">
        <v>3758</v>
      </c>
      <c r="B10270" t="s">
        <v>37</v>
      </c>
      <c r="C10270" t="s">
        <v>39</v>
      </c>
      <c r="D10270">
        <v>27</v>
      </c>
    </row>
    <row r="10271" spans="1:4" ht="15.75" customHeight="1">
      <c r="A10271" t="s">
        <v>3770</v>
      </c>
      <c r="B10271" t="s">
        <v>37</v>
      </c>
      <c r="C10271" t="s">
        <v>39</v>
      </c>
      <c r="D10271">
        <v>27</v>
      </c>
    </row>
    <row r="10272" spans="1:4" ht="15.75" customHeight="1">
      <c r="A10272" t="s">
        <v>4474</v>
      </c>
      <c r="B10272" t="s">
        <v>37</v>
      </c>
      <c r="C10272" t="s">
        <v>39</v>
      </c>
      <c r="D10272">
        <v>26</v>
      </c>
    </row>
    <row r="10273" spans="1:4" ht="15.75" customHeight="1">
      <c r="A10273" t="s">
        <v>1825</v>
      </c>
      <c r="B10273" t="s">
        <v>37</v>
      </c>
      <c r="C10273" t="s">
        <v>39</v>
      </c>
      <c r="D10273">
        <v>26</v>
      </c>
    </row>
    <row r="10274" spans="1:4" ht="15.75" customHeight="1">
      <c r="A10274" t="s">
        <v>1815</v>
      </c>
      <c r="B10274" t="s">
        <v>37</v>
      </c>
      <c r="C10274" t="s">
        <v>39</v>
      </c>
      <c r="D10274">
        <v>24</v>
      </c>
    </row>
    <row r="10275" spans="1:4" ht="15.75" customHeight="1">
      <c r="A10275" t="s">
        <v>4205</v>
      </c>
      <c r="B10275" t="s">
        <v>37</v>
      </c>
      <c r="C10275" t="s">
        <v>39</v>
      </c>
      <c r="D10275">
        <v>23</v>
      </c>
    </row>
    <row r="10276" spans="1:4" ht="15.75" customHeight="1">
      <c r="A10276" t="s">
        <v>4466</v>
      </c>
      <c r="B10276" t="s">
        <v>37</v>
      </c>
      <c r="C10276" t="s">
        <v>39</v>
      </c>
      <c r="D10276">
        <v>22</v>
      </c>
    </row>
    <row r="10277" spans="1:4" ht="15.75" customHeight="1">
      <c r="A10277" t="s">
        <v>3778</v>
      </c>
      <c r="B10277" t="s">
        <v>37</v>
      </c>
      <c r="C10277" t="s">
        <v>39</v>
      </c>
      <c r="D10277">
        <v>22</v>
      </c>
    </row>
    <row r="10278" spans="1:4" ht="15.75" customHeight="1">
      <c r="A10278" t="s">
        <v>3386</v>
      </c>
      <c r="B10278" t="s">
        <v>37</v>
      </c>
      <c r="C10278" t="s">
        <v>39</v>
      </c>
      <c r="D10278">
        <v>20</v>
      </c>
    </row>
    <row r="10279" spans="1:4" ht="15.75" customHeight="1">
      <c r="A10279" t="s">
        <v>4853</v>
      </c>
      <c r="B10279" t="s">
        <v>37</v>
      </c>
      <c r="C10279" t="s">
        <v>39</v>
      </c>
      <c r="D10279">
        <v>19</v>
      </c>
    </row>
    <row r="10280" spans="1:4" ht="15.75" customHeight="1">
      <c r="A10280" t="s">
        <v>4214</v>
      </c>
      <c r="B10280" t="s">
        <v>37</v>
      </c>
      <c r="C10280" t="s">
        <v>39</v>
      </c>
      <c r="D10280">
        <v>19</v>
      </c>
    </row>
    <row r="10281" spans="1:4" ht="15.75" customHeight="1">
      <c r="A10281" t="s">
        <v>729</v>
      </c>
      <c r="B10281" t="s">
        <v>37</v>
      </c>
      <c r="C10281" t="s">
        <v>39</v>
      </c>
      <c r="D10281">
        <v>18</v>
      </c>
    </row>
    <row r="10282" spans="1:4" ht="15.75" customHeight="1">
      <c r="A10282" t="s">
        <v>1464</v>
      </c>
      <c r="B10282" t="s">
        <v>37</v>
      </c>
      <c r="C10282" t="s">
        <v>39</v>
      </c>
      <c r="D10282">
        <v>18</v>
      </c>
    </row>
    <row r="10283" spans="1:4" ht="15.75" customHeight="1">
      <c r="A10283" t="s">
        <v>1821</v>
      </c>
      <c r="B10283" t="s">
        <v>37</v>
      </c>
      <c r="C10283" t="s">
        <v>39</v>
      </c>
      <c r="D10283">
        <v>16</v>
      </c>
    </row>
    <row r="10284" spans="1:4" ht="15.75" customHeight="1">
      <c r="A10284" t="s">
        <v>1567</v>
      </c>
      <c r="B10284" t="s">
        <v>37</v>
      </c>
      <c r="C10284" t="s">
        <v>39</v>
      </c>
      <c r="D10284">
        <v>15</v>
      </c>
    </row>
    <row r="10285" spans="1:4" ht="15.75" customHeight="1">
      <c r="A10285" t="s">
        <v>818</v>
      </c>
      <c r="B10285" t="s">
        <v>37</v>
      </c>
      <c r="C10285" t="s">
        <v>39</v>
      </c>
      <c r="D10285">
        <v>15</v>
      </c>
    </row>
    <row r="10286" spans="1:4" ht="15.75" customHeight="1">
      <c r="A10286" t="s">
        <v>1575</v>
      </c>
      <c r="B10286" t="s">
        <v>37</v>
      </c>
      <c r="C10286" t="s">
        <v>39</v>
      </c>
      <c r="D10286">
        <v>15</v>
      </c>
    </row>
    <row r="10287" spans="1:4" ht="15.75" customHeight="1">
      <c r="A10287" t="s">
        <v>1565</v>
      </c>
      <c r="B10287" t="s">
        <v>37</v>
      </c>
      <c r="C10287" t="s">
        <v>39</v>
      </c>
      <c r="D10287">
        <v>14</v>
      </c>
    </row>
    <row r="10288" spans="1:4" ht="15.75" customHeight="1">
      <c r="A10288" t="s">
        <v>3741</v>
      </c>
      <c r="B10288" t="s">
        <v>37</v>
      </c>
      <c r="C10288" t="s">
        <v>39</v>
      </c>
      <c r="D10288">
        <v>13</v>
      </c>
    </row>
    <row r="10289" spans="1:4" ht="15.75" customHeight="1">
      <c r="A10289" t="s">
        <v>1501</v>
      </c>
      <c r="B10289" t="s">
        <v>37</v>
      </c>
      <c r="C10289" t="s">
        <v>39</v>
      </c>
      <c r="D10289">
        <v>12</v>
      </c>
    </row>
    <row r="10290" spans="1:4" ht="15.75" customHeight="1">
      <c r="A10290" t="s">
        <v>4902</v>
      </c>
      <c r="B10290" t="s">
        <v>37</v>
      </c>
      <c r="C10290" t="s">
        <v>39</v>
      </c>
      <c r="D10290">
        <v>12</v>
      </c>
    </row>
    <row r="10291" spans="1:4" ht="15.75" customHeight="1">
      <c r="A10291" t="s">
        <v>1551</v>
      </c>
      <c r="B10291" t="s">
        <v>37</v>
      </c>
      <c r="C10291" t="s">
        <v>39</v>
      </c>
      <c r="D10291">
        <v>10</v>
      </c>
    </row>
    <row r="10292" spans="1:4" ht="15.75" customHeight="1">
      <c r="A10292" t="s">
        <v>1531</v>
      </c>
      <c r="B10292" t="s">
        <v>37</v>
      </c>
      <c r="C10292" t="s">
        <v>39</v>
      </c>
      <c r="D10292">
        <v>10</v>
      </c>
    </row>
    <row r="10293" spans="1:4" ht="15.75" customHeight="1">
      <c r="A10293" t="s">
        <v>1477</v>
      </c>
      <c r="B10293" t="s">
        <v>37</v>
      </c>
      <c r="C10293" t="s">
        <v>39</v>
      </c>
      <c r="D10293">
        <v>9</v>
      </c>
    </row>
    <row r="10294" spans="1:4" ht="15.75" customHeight="1">
      <c r="A10294" t="s">
        <v>3368</v>
      </c>
      <c r="B10294" t="s">
        <v>37</v>
      </c>
      <c r="C10294" t="s">
        <v>39</v>
      </c>
      <c r="D10294">
        <v>9</v>
      </c>
    </row>
    <row r="10295" spans="1:4" ht="15.75" customHeight="1">
      <c r="A10295" t="s">
        <v>3400</v>
      </c>
      <c r="B10295" t="s">
        <v>37</v>
      </c>
      <c r="C10295" t="s">
        <v>39</v>
      </c>
      <c r="D10295">
        <v>9</v>
      </c>
    </row>
    <row r="10296" spans="1:4" ht="15.75" customHeight="1">
      <c r="A10296" t="s">
        <v>2309</v>
      </c>
      <c r="B10296" t="s">
        <v>37</v>
      </c>
      <c r="C10296" t="s">
        <v>39</v>
      </c>
      <c r="D10296">
        <v>8</v>
      </c>
    </row>
    <row r="10297" spans="1:4" ht="15.75" customHeight="1">
      <c r="A10297" t="s">
        <v>4876</v>
      </c>
      <c r="B10297" t="s">
        <v>37</v>
      </c>
      <c r="C10297" t="s">
        <v>39</v>
      </c>
      <c r="D10297">
        <v>8</v>
      </c>
    </row>
    <row r="10298" spans="1:4" ht="15.75" customHeight="1">
      <c r="A10298" t="s">
        <v>3783</v>
      </c>
      <c r="B10298" t="s">
        <v>37</v>
      </c>
      <c r="C10298" t="s">
        <v>39</v>
      </c>
      <c r="D10298">
        <v>8</v>
      </c>
    </row>
    <row r="10299" spans="1:4" ht="15.75" customHeight="1">
      <c r="A10299" t="s">
        <v>3762</v>
      </c>
      <c r="B10299" t="s">
        <v>37</v>
      </c>
      <c r="C10299" t="s">
        <v>39</v>
      </c>
      <c r="D10299">
        <v>7</v>
      </c>
    </row>
    <row r="10300" spans="1:4" ht="15.75" customHeight="1">
      <c r="A10300" t="s">
        <v>3780</v>
      </c>
      <c r="B10300" t="s">
        <v>37</v>
      </c>
      <c r="C10300" t="s">
        <v>39</v>
      </c>
      <c r="D10300">
        <v>7</v>
      </c>
    </row>
    <row r="10301" spans="1:4" ht="15.75" customHeight="1">
      <c r="A10301" t="s">
        <v>3322</v>
      </c>
      <c r="B10301" t="s">
        <v>37</v>
      </c>
      <c r="C10301" t="s">
        <v>39</v>
      </c>
      <c r="D10301">
        <v>6</v>
      </c>
    </row>
    <row r="10302" spans="1:4" ht="15.75" customHeight="1">
      <c r="A10302" t="s">
        <v>867</v>
      </c>
      <c r="B10302" t="s">
        <v>37</v>
      </c>
      <c r="C10302" t="s">
        <v>39</v>
      </c>
      <c r="D10302">
        <v>5</v>
      </c>
    </row>
    <row r="10303" spans="1:4" ht="15.75" customHeight="1">
      <c r="A10303" t="s">
        <v>3332</v>
      </c>
      <c r="B10303" t="s">
        <v>37</v>
      </c>
      <c r="C10303" t="s">
        <v>39</v>
      </c>
      <c r="D10303">
        <v>5</v>
      </c>
    </row>
    <row r="10304" spans="1:4" ht="15.75" customHeight="1">
      <c r="A10304" t="s">
        <v>2928</v>
      </c>
      <c r="B10304" t="s">
        <v>37</v>
      </c>
      <c r="C10304" t="s">
        <v>39</v>
      </c>
      <c r="D10304">
        <v>5</v>
      </c>
    </row>
    <row r="10305" spans="1:4" ht="15.75" customHeight="1">
      <c r="A10305" t="s">
        <v>2319</v>
      </c>
      <c r="B10305" t="s">
        <v>37</v>
      </c>
      <c r="C10305" t="s">
        <v>39</v>
      </c>
      <c r="D10305">
        <v>4</v>
      </c>
    </row>
    <row r="10306" spans="1:4" ht="15.75" customHeight="1">
      <c r="A10306" t="s">
        <v>4448</v>
      </c>
      <c r="B10306" t="s">
        <v>37</v>
      </c>
      <c r="C10306" t="s">
        <v>39</v>
      </c>
      <c r="D10306">
        <v>3</v>
      </c>
    </row>
    <row r="10307" spans="1:4" ht="15.75" customHeight="1">
      <c r="A10307" t="s">
        <v>3344</v>
      </c>
      <c r="B10307" t="s">
        <v>37</v>
      </c>
      <c r="C10307" t="s">
        <v>39</v>
      </c>
      <c r="D10307">
        <v>2</v>
      </c>
    </row>
    <row r="10308" spans="1:4" ht="15.75" customHeight="1">
      <c r="A10308" t="s">
        <v>724</v>
      </c>
      <c r="B10308" t="s">
        <v>37</v>
      </c>
      <c r="C10308" t="s">
        <v>36</v>
      </c>
      <c r="D10308">
        <v>772</v>
      </c>
    </row>
    <row r="10309" spans="1:4" ht="15.75" customHeight="1">
      <c r="A10309" t="s">
        <v>761</v>
      </c>
      <c r="B10309" t="s">
        <v>37</v>
      </c>
      <c r="C10309" t="s">
        <v>36</v>
      </c>
      <c r="D10309">
        <v>769</v>
      </c>
    </row>
    <row r="10310" spans="1:4" ht="15.75" customHeight="1">
      <c r="A10310" t="s">
        <v>721</v>
      </c>
      <c r="B10310" t="s">
        <v>37</v>
      </c>
      <c r="C10310" t="s">
        <v>36</v>
      </c>
      <c r="D10310">
        <v>762</v>
      </c>
    </row>
    <row r="10311" spans="1:4" ht="15.75" customHeight="1">
      <c r="A10311" t="s">
        <v>719</v>
      </c>
      <c r="B10311" t="s">
        <v>37</v>
      </c>
      <c r="C10311" t="s">
        <v>36</v>
      </c>
      <c r="D10311">
        <v>736</v>
      </c>
    </row>
    <row r="10312" spans="1:4" ht="15.75" customHeight="1">
      <c r="A10312" t="s">
        <v>828</v>
      </c>
      <c r="B10312" t="s">
        <v>37</v>
      </c>
      <c r="C10312" t="s">
        <v>36</v>
      </c>
      <c r="D10312">
        <v>724</v>
      </c>
    </row>
    <row r="10313" spans="1:4" ht="15.75" customHeight="1">
      <c r="A10313" t="s">
        <v>754</v>
      </c>
      <c r="B10313" t="s">
        <v>37</v>
      </c>
      <c r="C10313" t="s">
        <v>36</v>
      </c>
      <c r="D10313">
        <v>722</v>
      </c>
    </row>
    <row r="10314" spans="1:4" ht="15.75" customHeight="1">
      <c r="A10314" t="s">
        <v>712</v>
      </c>
      <c r="B10314" t="s">
        <v>37</v>
      </c>
      <c r="C10314" t="s">
        <v>36</v>
      </c>
      <c r="D10314">
        <v>715</v>
      </c>
    </row>
    <row r="10315" spans="1:4" ht="15.75" customHeight="1">
      <c r="A10315" t="s">
        <v>738</v>
      </c>
      <c r="B10315" t="s">
        <v>37</v>
      </c>
      <c r="C10315" t="s">
        <v>36</v>
      </c>
      <c r="D10315">
        <v>709</v>
      </c>
    </row>
    <row r="10316" spans="1:4" ht="15.75" customHeight="1">
      <c r="A10316" t="s">
        <v>826</v>
      </c>
      <c r="B10316" t="s">
        <v>37</v>
      </c>
      <c r="C10316" t="s">
        <v>36</v>
      </c>
      <c r="D10316">
        <v>707</v>
      </c>
    </row>
    <row r="10317" spans="1:4" ht="15.75" customHeight="1">
      <c r="A10317" t="s">
        <v>736</v>
      </c>
      <c r="B10317" t="s">
        <v>37</v>
      </c>
      <c r="C10317" t="s">
        <v>36</v>
      </c>
      <c r="D10317">
        <v>707</v>
      </c>
    </row>
    <row r="10318" spans="1:4" ht="15.75" customHeight="1">
      <c r="A10318" t="s">
        <v>751</v>
      </c>
      <c r="B10318" t="s">
        <v>37</v>
      </c>
      <c r="C10318" t="s">
        <v>36</v>
      </c>
      <c r="D10318">
        <v>702</v>
      </c>
    </row>
    <row r="10319" spans="1:4" ht="15.75" customHeight="1">
      <c r="A10319" t="s">
        <v>802</v>
      </c>
      <c r="B10319" t="s">
        <v>37</v>
      </c>
      <c r="C10319" t="s">
        <v>36</v>
      </c>
      <c r="D10319">
        <v>693</v>
      </c>
    </row>
    <row r="10320" spans="1:4" ht="15.75" customHeight="1">
      <c r="A10320" t="s">
        <v>804</v>
      </c>
      <c r="B10320" t="s">
        <v>37</v>
      </c>
      <c r="C10320" t="s">
        <v>36</v>
      </c>
      <c r="D10320">
        <v>681</v>
      </c>
    </row>
    <row r="10321" spans="1:4" ht="15.75" customHeight="1">
      <c r="A10321" t="s">
        <v>800</v>
      </c>
      <c r="B10321" t="s">
        <v>37</v>
      </c>
      <c r="C10321" t="s">
        <v>36</v>
      </c>
      <c r="D10321">
        <v>677</v>
      </c>
    </row>
    <row r="10322" spans="1:4" ht="15.75" customHeight="1">
      <c r="A10322" t="s">
        <v>909</v>
      </c>
      <c r="B10322" t="s">
        <v>37</v>
      </c>
      <c r="C10322" t="s">
        <v>36</v>
      </c>
      <c r="D10322">
        <v>673</v>
      </c>
    </row>
    <row r="10323" spans="1:4" ht="15.75" customHeight="1">
      <c r="A10323" t="s">
        <v>765</v>
      </c>
      <c r="B10323" t="s">
        <v>37</v>
      </c>
      <c r="C10323" t="s">
        <v>36</v>
      </c>
      <c r="D10323">
        <v>667</v>
      </c>
    </row>
    <row r="10324" spans="1:4" ht="15.75" customHeight="1">
      <c r="A10324" t="s">
        <v>891</v>
      </c>
      <c r="B10324" t="s">
        <v>37</v>
      </c>
      <c r="C10324" t="s">
        <v>36</v>
      </c>
      <c r="D10324">
        <v>663</v>
      </c>
    </row>
    <row r="10325" spans="1:4" ht="15.75" customHeight="1">
      <c r="A10325" t="s">
        <v>734</v>
      </c>
      <c r="B10325" t="s">
        <v>37</v>
      </c>
      <c r="C10325" t="s">
        <v>36</v>
      </c>
      <c r="D10325">
        <v>656</v>
      </c>
    </row>
    <row r="10326" spans="1:4" ht="15.75" customHeight="1">
      <c r="A10326" t="s">
        <v>917</v>
      </c>
      <c r="B10326" t="s">
        <v>37</v>
      </c>
      <c r="C10326" t="s">
        <v>36</v>
      </c>
      <c r="D10326">
        <v>651</v>
      </c>
    </row>
    <row r="10327" spans="1:4" ht="15.75" customHeight="1">
      <c r="A10327" t="s">
        <v>814</v>
      </c>
      <c r="B10327" t="s">
        <v>37</v>
      </c>
      <c r="C10327" t="s">
        <v>36</v>
      </c>
      <c r="D10327">
        <v>644</v>
      </c>
    </row>
    <row r="10328" spans="1:4" ht="15.75" customHeight="1">
      <c r="A10328" t="s">
        <v>837</v>
      </c>
      <c r="B10328" t="s">
        <v>37</v>
      </c>
      <c r="C10328" t="s">
        <v>36</v>
      </c>
      <c r="D10328">
        <v>638</v>
      </c>
    </row>
    <row r="10329" spans="1:4" ht="15.75" customHeight="1">
      <c r="A10329" t="s">
        <v>778</v>
      </c>
      <c r="B10329" t="s">
        <v>37</v>
      </c>
      <c r="C10329" t="s">
        <v>36</v>
      </c>
      <c r="D10329">
        <v>626</v>
      </c>
    </row>
    <row r="10330" spans="1:4" ht="15.75" customHeight="1">
      <c r="A10330" t="s">
        <v>824</v>
      </c>
      <c r="B10330" t="s">
        <v>37</v>
      </c>
      <c r="C10330" t="s">
        <v>36</v>
      </c>
      <c r="D10330">
        <v>624</v>
      </c>
    </row>
    <row r="10331" spans="1:4" ht="15.75" customHeight="1">
      <c r="A10331" t="s">
        <v>831</v>
      </c>
      <c r="B10331" t="s">
        <v>37</v>
      </c>
      <c r="C10331" t="s">
        <v>36</v>
      </c>
      <c r="D10331">
        <v>624</v>
      </c>
    </row>
    <row r="10332" spans="1:4" ht="15.75" customHeight="1">
      <c r="A10332" t="s">
        <v>1537</v>
      </c>
      <c r="B10332" t="s">
        <v>37</v>
      </c>
      <c r="C10332" t="s">
        <v>36</v>
      </c>
      <c r="D10332">
        <v>621</v>
      </c>
    </row>
    <row r="10333" spans="1:4" ht="15.75" customHeight="1">
      <c r="A10333" t="s">
        <v>769</v>
      </c>
      <c r="B10333" t="s">
        <v>37</v>
      </c>
      <c r="C10333" t="s">
        <v>36</v>
      </c>
      <c r="D10333">
        <v>620</v>
      </c>
    </row>
    <row r="10334" spans="1:4" ht="15.75" customHeight="1">
      <c r="A10334" t="s">
        <v>883</v>
      </c>
      <c r="B10334" t="s">
        <v>37</v>
      </c>
      <c r="C10334" t="s">
        <v>36</v>
      </c>
      <c r="D10334">
        <v>618</v>
      </c>
    </row>
    <row r="10335" spans="1:4" ht="15.75" customHeight="1">
      <c r="A10335" t="s">
        <v>840</v>
      </c>
      <c r="B10335" t="s">
        <v>37</v>
      </c>
      <c r="C10335" t="s">
        <v>36</v>
      </c>
      <c r="D10335">
        <v>617</v>
      </c>
    </row>
    <row r="10336" spans="1:4" ht="15.75" customHeight="1">
      <c r="A10336" t="s">
        <v>873</v>
      </c>
      <c r="B10336" t="s">
        <v>37</v>
      </c>
      <c r="C10336" t="s">
        <v>36</v>
      </c>
      <c r="D10336">
        <v>615</v>
      </c>
    </row>
    <row r="10337" spans="1:4" ht="15.75" customHeight="1">
      <c r="A10337" t="s">
        <v>899</v>
      </c>
      <c r="B10337" t="s">
        <v>37</v>
      </c>
      <c r="C10337" t="s">
        <v>36</v>
      </c>
      <c r="D10337">
        <v>609</v>
      </c>
    </row>
    <row r="10338" spans="1:4" ht="15.75" customHeight="1">
      <c r="A10338" t="s">
        <v>756</v>
      </c>
      <c r="B10338" t="s">
        <v>37</v>
      </c>
      <c r="C10338" t="s">
        <v>36</v>
      </c>
      <c r="D10338">
        <v>600</v>
      </c>
    </row>
    <row r="10339" spans="1:4" ht="15.75" customHeight="1">
      <c r="A10339" t="s">
        <v>822</v>
      </c>
      <c r="B10339" t="s">
        <v>37</v>
      </c>
      <c r="C10339" t="s">
        <v>36</v>
      </c>
      <c r="D10339">
        <v>586</v>
      </c>
    </row>
    <row r="10340" spans="1:4" ht="15.75" customHeight="1">
      <c r="A10340" t="s">
        <v>796</v>
      </c>
      <c r="B10340" t="s">
        <v>37</v>
      </c>
      <c r="C10340" t="s">
        <v>36</v>
      </c>
      <c r="D10340">
        <v>584</v>
      </c>
    </row>
    <row r="10341" spans="1:4" ht="15.75" customHeight="1">
      <c r="A10341" t="s">
        <v>1461</v>
      </c>
      <c r="B10341" t="s">
        <v>37</v>
      </c>
      <c r="C10341" t="s">
        <v>36</v>
      </c>
      <c r="D10341">
        <v>583</v>
      </c>
    </row>
    <row r="10342" spans="1:4" ht="15.75" customHeight="1">
      <c r="A10342" t="s">
        <v>820</v>
      </c>
      <c r="B10342" t="s">
        <v>37</v>
      </c>
      <c r="C10342" t="s">
        <v>36</v>
      </c>
      <c r="D10342">
        <v>576</v>
      </c>
    </row>
    <row r="10343" spans="1:4" ht="15.75" customHeight="1">
      <c r="A10343" t="s">
        <v>1455</v>
      </c>
      <c r="B10343" t="s">
        <v>37</v>
      </c>
      <c r="C10343" t="s">
        <v>36</v>
      </c>
      <c r="D10343">
        <v>572</v>
      </c>
    </row>
    <row r="10344" spans="1:4" ht="15.75" customHeight="1">
      <c r="A10344" t="s">
        <v>2325</v>
      </c>
      <c r="B10344" t="s">
        <v>37</v>
      </c>
      <c r="C10344" t="s">
        <v>36</v>
      </c>
      <c r="D10344">
        <v>572</v>
      </c>
    </row>
    <row r="10345" spans="1:4" ht="15.75" customHeight="1">
      <c r="A10345" t="s">
        <v>727</v>
      </c>
      <c r="B10345" t="s">
        <v>37</v>
      </c>
      <c r="C10345" t="s">
        <v>36</v>
      </c>
      <c r="D10345">
        <v>568</v>
      </c>
    </row>
    <row r="10346" spans="1:4" ht="15.75" customHeight="1">
      <c r="A10346" t="s">
        <v>740</v>
      </c>
      <c r="B10346" t="s">
        <v>37</v>
      </c>
      <c r="C10346" t="s">
        <v>36</v>
      </c>
      <c r="D10346">
        <v>565</v>
      </c>
    </row>
    <row r="10347" spans="1:4" ht="15.75" customHeight="1">
      <c r="A10347" t="s">
        <v>776</v>
      </c>
      <c r="B10347" t="s">
        <v>37</v>
      </c>
      <c r="C10347" t="s">
        <v>36</v>
      </c>
      <c r="D10347">
        <v>564</v>
      </c>
    </row>
    <row r="10348" spans="1:4" ht="15.75" customHeight="1">
      <c r="A10348" t="s">
        <v>709</v>
      </c>
      <c r="B10348" t="s">
        <v>37</v>
      </c>
      <c r="C10348" t="s">
        <v>36</v>
      </c>
      <c r="D10348">
        <v>560</v>
      </c>
    </row>
    <row r="10349" spans="1:4" ht="15.75" customHeight="1">
      <c r="A10349" t="s">
        <v>1535</v>
      </c>
      <c r="B10349" t="s">
        <v>37</v>
      </c>
      <c r="C10349" t="s">
        <v>36</v>
      </c>
      <c r="D10349">
        <v>556</v>
      </c>
    </row>
    <row r="10350" spans="1:4" ht="15.75" customHeight="1">
      <c r="A10350" t="s">
        <v>1545</v>
      </c>
      <c r="B10350" t="s">
        <v>37</v>
      </c>
      <c r="C10350" t="s">
        <v>36</v>
      </c>
      <c r="D10350">
        <v>546</v>
      </c>
    </row>
    <row r="10351" spans="1:4" ht="15.75" customHeight="1">
      <c r="A10351" t="s">
        <v>2908</v>
      </c>
      <c r="B10351" t="s">
        <v>37</v>
      </c>
      <c r="C10351" t="s">
        <v>36</v>
      </c>
      <c r="D10351">
        <v>545</v>
      </c>
    </row>
    <row r="10352" spans="1:4" ht="15.75" customHeight="1">
      <c r="A10352" t="s">
        <v>2936</v>
      </c>
      <c r="B10352" t="s">
        <v>37</v>
      </c>
      <c r="C10352" t="s">
        <v>36</v>
      </c>
      <c r="D10352">
        <v>545</v>
      </c>
    </row>
    <row r="10353" spans="1:4" ht="15.75" customHeight="1">
      <c r="A10353" t="s">
        <v>2353</v>
      </c>
      <c r="B10353" t="s">
        <v>37</v>
      </c>
      <c r="C10353" t="s">
        <v>36</v>
      </c>
      <c r="D10353">
        <v>544</v>
      </c>
    </row>
    <row r="10354" spans="1:4" ht="15.75" customHeight="1">
      <c r="A10354" t="s">
        <v>2877</v>
      </c>
      <c r="B10354" t="s">
        <v>37</v>
      </c>
      <c r="C10354" t="s">
        <v>36</v>
      </c>
      <c r="D10354">
        <v>535</v>
      </c>
    </row>
    <row r="10355" spans="1:4" ht="15.75" customHeight="1">
      <c r="A10355" t="s">
        <v>1521</v>
      </c>
      <c r="B10355" t="s">
        <v>37</v>
      </c>
      <c r="C10355" t="s">
        <v>36</v>
      </c>
      <c r="D10355">
        <v>535</v>
      </c>
    </row>
    <row r="10356" spans="1:4" ht="15.75" customHeight="1">
      <c r="A10356" t="s">
        <v>1503</v>
      </c>
      <c r="B10356" t="s">
        <v>37</v>
      </c>
      <c r="C10356" t="s">
        <v>36</v>
      </c>
      <c r="D10356">
        <v>531</v>
      </c>
    </row>
    <row r="10357" spans="1:4" ht="15.75" customHeight="1">
      <c r="A10357" t="s">
        <v>1517</v>
      </c>
      <c r="B10357" t="s">
        <v>37</v>
      </c>
      <c r="C10357" t="s">
        <v>36</v>
      </c>
      <c r="D10357">
        <v>529</v>
      </c>
    </row>
    <row r="10358" spans="1:4" ht="15.75" customHeight="1">
      <c r="A10358" t="s">
        <v>780</v>
      </c>
      <c r="B10358" t="s">
        <v>37</v>
      </c>
      <c r="C10358" t="s">
        <v>36</v>
      </c>
      <c r="D10358">
        <v>525</v>
      </c>
    </row>
    <row r="10359" spans="1:4" ht="15.75" customHeight="1">
      <c r="A10359" t="s">
        <v>816</v>
      </c>
      <c r="B10359" t="s">
        <v>37</v>
      </c>
      <c r="C10359" t="s">
        <v>36</v>
      </c>
      <c r="D10359">
        <v>525</v>
      </c>
    </row>
    <row r="10360" spans="1:4" ht="15.75" customHeight="1">
      <c r="A10360" t="s">
        <v>1563</v>
      </c>
      <c r="B10360" t="s">
        <v>37</v>
      </c>
      <c r="C10360" t="s">
        <v>36</v>
      </c>
      <c r="D10360">
        <v>523</v>
      </c>
    </row>
    <row r="10361" spans="1:4" ht="15.75" customHeight="1">
      <c r="A10361" t="s">
        <v>887</v>
      </c>
      <c r="B10361" t="s">
        <v>37</v>
      </c>
      <c r="C10361" t="s">
        <v>36</v>
      </c>
      <c r="D10361">
        <v>520</v>
      </c>
    </row>
    <row r="10362" spans="1:4" ht="15.75" customHeight="1">
      <c r="A10362" t="s">
        <v>790</v>
      </c>
      <c r="B10362" t="s">
        <v>37</v>
      </c>
      <c r="C10362" t="s">
        <v>36</v>
      </c>
      <c r="D10362">
        <v>518</v>
      </c>
    </row>
    <row r="10363" spans="1:4" ht="15.75" customHeight="1">
      <c r="A10363" t="s">
        <v>1471</v>
      </c>
      <c r="B10363" t="s">
        <v>37</v>
      </c>
      <c r="C10363" t="s">
        <v>36</v>
      </c>
      <c r="D10363">
        <v>516</v>
      </c>
    </row>
    <row r="10364" spans="1:4" ht="15.75" customHeight="1">
      <c r="A10364" t="s">
        <v>2315</v>
      </c>
      <c r="B10364" t="s">
        <v>37</v>
      </c>
      <c r="C10364" t="s">
        <v>36</v>
      </c>
      <c r="D10364">
        <v>512</v>
      </c>
    </row>
    <row r="10365" spans="1:4" ht="15.75" customHeight="1">
      <c r="A10365" t="s">
        <v>792</v>
      </c>
      <c r="B10365" t="s">
        <v>37</v>
      </c>
      <c r="C10365" t="s">
        <v>36</v>
      </c>
      <c r="D10365">
        <v>511</v>
      </c>
    </row>
    <row r="10366" spans="1:4" ht="15.75" customHeight="1">
      <c r="A10366" t="s">
        <v>812</v>
      </c>
      <c r="B10366" t="s">
        <v>37</v>
      </c>
      <c r="C10366" t="s">
        <v>36</v>
      </c>
      <c r="D10366">
        <v>510</v>
      </c>
    </row>
    <row r="10367" spans="1:4" ht="15.75" customHeight="1">
      <c r="A10367" t="s">
        <v>842</v>
      </c>
      <c r="B10367" t="s">
        <v>37</v>
      </c>
      <c r="C10367" t="s">
        <v>36</v>
      </c>
      <c r="D10367">
        <v>509</v>
      </c>
    </row>
    <row r="10368" spans="1:4" ht="15.75" customHeight="1">
      <c r="A10368" t="s">
        <v>2882</v>
      </c>
      <c r="B10368" t="s">
        <v>37</v>
      </c>
      <c r="C10368" t="s">
        <v>36</v>
      </c>
      <c r="D10368">
        <v>504</v>
      </c>
    </row>
    <row r="10369" spans="1:4" ht="15.75" customHeight="1">
      <c r="A10369" t="s">
        <v>2902</v>
      </c>
      <c r="B10369" t="s">
        <v>37</v>
      </c>
      <c r="C10369" t="s">
        <v>36</v>
      </c>
      <c r="D10369">
        <v>503</v>
      </c>
    </row>
    <row r="10370" spans="1:4" ht="15.75" customHeight="1">
      <c r="A10370" t="s">
        <v>833</v>
      </c>
      <c r="B10370" t="s">
        <v>37</v>
      </c>
      <c r="C10370" t="s">
        <v>36</v>
      </c>
      <c r="D10370">
        <v>503</v>
      </c>
    </row>
    <row r="10371" spans="1:4" ht="15.75" customHeight="1">
      <c r="A10371" t="s">
        <v>763</v>
      </c>
      <c r="B10371" t="s">
        <v>37</v>
      </c>
      <c r="C10371" t="s">
        <v>36</v>
      </c>
      <c r="D10371">
        <v>499</v>
      </c>
    </row>
    <row r="10372" spans="1:4" ht="15.75" customHeight="1">
      <c r="A10372" t="s">
        <v>3356</v>
      </c>
      <c r="B10372" t="s">
        <v>37</v>
      </c>
      <c r="C10372" t="s">
        <v>36</v>
      </c>
      <c r="D10372">
        <v>498</v>
      </c>
    </row>
    <row r="10373" spans="1:4" ht="15.75" customHeight="1">
      <c r="A10373" t="s">
        <v>2924</v>
      </c>
      <c r="B10373" t="s">
        <v>37</v>
      </c>
      <c r="C10373" t="s">
        <v>36</v>
      </c>
      <c r="D10373">
        <v>493</v>
      </c>
    </row>
    <row r="10374" spans="1:4" ht="15.75" customHeight="1">
      <c r="A10374" t="s">
        <v>893</v>
      </c>
      <c r="B10374" t="s">
        <v>37</v>
      </c>
      <c r="C10374" t="s">
        <v>36</v>
      </c>
      <c r="D10374">
        <v>492</v>
      </c>
    </row>
    <row r="10375" spans="1:4" ht="15.75" customHeight="1">
      <c r="A10375" t="s">
        <v>732</v>
      </c>
      <c r="B10375" t="s">
        <v>37</v>
      </c>
      <c r="C10375" t="s">
        <v>36</v>
      </c>
      <c r="D10375">
        <v>492</v>
      </c>
    </row>
    <row r="10376" spans="1:4" ht="15.75" customHeight="1">
      <c r="A10376" t="s">
        <v>1511</v>
      </c>
      <c r="B10376" t="s">
        <v>37</v>
      </c>
      <c r="C10376" t="s">
        <v>36</v>
      </c>
      <c r="D10376">
        <v>491</v>
      </c>
    </row>
    <row r="10377" spans="1:4" ht="15.75" customHeight="1">
      <c r="A10377" t="s">
        <v>855</v>
      </c>
      <c r="B10377" t="s">
        <v>37</v>
      </c>
      <c r="C10377" t="s">
        <v>36</v>
      </c>
      <c r="D10377">
        <v>490</v>
      </c>
    </row>
    <row r="10378" spans="1:4" ht="15.75" customHeight="1">
      <c r="A10378" t="s">
        <v>808</v>
      </c>
      <c r="B10378" t="s">
        <v>37</v>
      </c>
      <c r="C10378" t="s">
        <v>36</v>
      </c>
      <c r="D10378">
        <v>488</v>
      </c>
    </row>
    <row r="10379" spans="1:4" ht="15.75" customHeight="1">
      <c r="A10379" t="s">
        <v>806</v>
      </c>
      <c r="B10379" t="s">
        <v>37</v>
      </c>
      <c r="C10379" t="s">
        <v>36</v>
      </c>
      <c r="D10379">
        <v>487</v>
      </c>
    </row>
    <row r="10380" spans="1:4" ht="15.75" customHeight="1">
      <c r="A10380" t="s">
        <v>784</v>
      </c>
      <c r="B10380" t="s">
        <v>37</v>
      </c>
      <c r="C10380" t="s">
        <v>36</v>
      </c>
      <c r="D10380">
        <v>486</v>
      </c>
    </row>
    <row r="10381" spans="1:4" ht="15.75" customHeight="1">
      <c r="A10381" t="s">
        <v>2956</v>
      </c>
      <c r="B10381" t="s">
        <v>37</v>
      </c>
      <c r="C10381" t="s">
        <v>36</v>
      </c>
      <c r="D10381">
        <v>479</v>
      </c>
    </row>
    <row r="10382" spans="1:4" ht="15.75" customHeight="1">
      <c r="A10382" t="s">
        <v>4174</v>
      </c>
      <c r="B10382" t="s">
        <v>37</v>
      </c>
      <c r="C10382" t="s">
        <v>36</v>
      </c>
      <c r="D10382">
        <v>477</v>
      </c>
    </row>
    <row r="10383" spans="1:4" ht="15.75" customHeight="1">
      <c r="A10383" t="s">
        <v>2361</v>
      </c>
      <c r="B10383" t="s">
        <v>37</v>
      </c>
      <c r="C10383" t="s">
        <v>36</v>
      </c>
      <c r="D10383">
        <v>476</v>
      </c>
    </row>
    <row r="10384" spans="1:4" ht="15.75" customHeight="1">
      <c r="A10384" t="s">
        <v>1819</v>
      </c>
      <c r="B10384" t="s">
        <v>37</v>
      </c>
      <c r="C10384" t="s">
        <v>36</v>
      </c>
      <c r="D10384">
        <v>474</v>
      </c>
    </row>
    <row r="10385" spans="1:4" ht="15.75" customHeight="1">
      <c r="A10385" t="s">
        <v>746</v>
      </c>
      <c r="B10385" t="s">
        <v>37</v>
      </c>
      <c r="C10385" t="s">
        <v>36</v>
      </c>
      <c r="D10385">
        <v>472</v>
      </c>
    </row>
    <row r="10386" spans="1:4" ht="15.75" customHeight="1">
      <c r="A10386" t="s">
        <v>767</v>
      </c>
      <c r="B10386" t="s">
        <v>37</v>
      </c>
      <c r="C10386" t="s">
        <v>36</v>
      </c>
      <c r="D10386">
        <v>471</v>
      </c>
    </row>
    <row r="10387" spans="1:4" ht="15.75" customHeight="1">
      <c r="A10387" t="s">
        <v>2333</v>
      </c>
      <c r="B10387" t="s">
        <v>37</v>
      </c>
      <c r="C10387" t="s">
        <v>36</v>
      </c>
      <c r="D10387">
        <v>469</v>
      </c>
    </row>
    <row r="10388" spans="1:4" ht="15.75" customHeight="1">
      <c r="A10388" t="s">
        <v>2910</v>
      </c>
      <c r="B10388" t="s">
        <v>37</v>
      </c>
      <c r="C10388" t="s">
        <v>36</v>
      </c>
      <c r="D10388">
        <v>466</v>
      </c>
    </row>
    <row r="10389" spans="1:4" ht="15.75" customHeight="1">
      <c r="A10389" t="s">
        <v>2894</v>
      </c>
      <c r="B10389" t="s">
        <v>37</v>
      </c>
      <c r="C10389" t="s">
        <v>36</v>
      </c>
      <c r="D10389">
        <v>460</v>
      </c>
    </row>
    <row r="10390" spans="1:4" ht="15.75" customHeight="1">
      <c r="A10390" t="s">
        <v>859</v>
      </c>
      <c r="B10390" t="s">
        <v>37</v>
      </c>
      <c r="C10390" t="s">
        <v>36</v>
      </c>
      <c r="D10390">
        <v>457</v>
      </c>
    </row>
    <row r="10391" spans="1:4" ht="15.75" customHeight="1">
      <c r="A10391" t="s">
        <v>1553</v>
      </c>
      <c r="B10391" t="s">
        <v>37</v>
      </c>
      <c r="C10391" t="s">
        <v>36</v>
      </c>
      <c r="D10391">
        <v>455</v>
      </c>
    </row>
    <row r="10392" spans="1:4" ht="15.75" customHeight="1">
      <c r="A10392" t="s">
        <v>1539</v>
      </c>
      <c r="B10392" t="s">
        <v>37</v>
      </c>
      <c r="C10392" t="s">
        <v>36</v>
      </c>
      <c r="D10392">
        <v>450</v>
      </c>
    </row>
    <row r="10393" spans="1:4" ht="15.75" customHeight="1">
      <c r="A10393" t="s">
        <v>2943</v>
      </c>
      <c r="B10393" t="s">
        <v>37</v>
      </c>
      <c r="C10393" t="s">
        <v>36</v>
      </c>
      <c r="D10393">
        <v>447</v>
      </c>
    </row>
    <row r="10394" spans="1:4" ht="15.75" customHeight="1">
      <c r="A10394" t="s">
        <v>1523</v>
      </c>
      <c r="B10394" t="s">
        <v>37</v>
      </c>
      <c r="C10394" t="s">
        <v>36</v>
      </c>
      <c r="D10394">
        <v>446</v>
      </c>
    </row>
    <row r="10395" spans="1:4" ht="15.75" customHeight="1">
      <c r="A10395" t="s">
        <v>2914</v>
      </c>
      <c r="B10395" t="s">
        <v>37</v>
      </c>
      <c r="C10395" t="s">
        <v>36</v>
      </c>
      <c r="D10395">
        <v>443</v>
      </c>
    </row>
    <row r="10396" spans="1:4" ht="15.75" customHeight="1">
      <c r="A10396" t="s">
        <v>782</v>
      </c>
      <c r="B10396" t="s">
        <v>37</v>
      </c>
      <c r="C10396" t="s">
        <v>36</v>
      </c>
      <c r="D10396">
        <v>443</v>
      </c>
    </row>
    <row r="10397" spans="1:4" ht="15.75" customHeight="1">
      <c r="A10397" t="s">
        <v>706</v>
      </c>
      <c r="B10397" t="s">
        <v>37</v>
      </c>
      <c r="C10397" t="s">
        <v>36</v>
      </c>
      <c r="D10397">
        <v>442</v>
      </c>
    </row>
    <row r="10398" spans="1:4" ht="15.75" customHeight="1">
      <c r="A10398" t="s">
        <v>3396</v>
      </c>
      <c r="B10398" t="s">
        <v>37</v>
      </c>
      <c r="C10398" t="s">
        <v>36</v>
      </c>
      <c r="D10398">
        <v>441</v>
      </c>
    </row>
    <row r="10399" spans="1:4" ht="15.75" customHeight="1">
      <c r="A10399" t="s">
        <v>4210</v>
      </c>
      <c r="B10399" t="s">
        <v>37</v>
      </c>
      <c r="C10399" t="s">
        <v>36</v>
      </c>
      <c r="D10399">
        <v>439</v>
      </c>
    </row>
    <row r="10400" spans="1:4" ht="15.75" customHeight="1">
      <c r="A10400" t="s">
        <v>774</v>
      </c>
      <c r="B10400" t="s">
        <v>37</v>
      </c>
      <c r="C10400" t="s">
        <v>36</v>
      </c>
      <c r="D10400">
        <v>438</v>
      </c>
    </row>
    <row r="10401" spans="1:4" ht="15.75" customHeight="1">
      <c r="A10401" t="s">
        <v>786</v>
      </c>
      <c r="B10401" t="s">
        <v>37</v>
      </c>
      <c r="C10401" t="s">
        <v>36</v>
      </c>
      <c r="D10401">
        <v>437</v>
      </c>
    </row>
    <row r="10402" spans="1:4" ht="15.75" customHeight="1">
      <c r="A10402" t="s">
        <v>889</v>
      </c>
      <c r="B10402" t="s">
        <v>37</v>
      </c>
      <c r="C10402" t="s">
        <v>36</v>
      </c>
      <c r="D10402">
        <v>436</v>
      </c>
    </row>
    <row r="10403" spans="1:4" ht="15.75" customHeight="1">
      <c r="A10403" t="s">
        <v>788</v>
      </c>
      <c r="B10403" t="s">
        <v>37</v>
      </c>
      <c r="C10403" t="s">
        <v>36</v>
      </c>
      <c r="D10403">
        <v>436</v>
      </c>
    </row>
    <row r="10404" spans="1:4" ht="15.75" customHeight="1">
      <c r="A10404" t="s">
        <v>2359</v>
      </c>
      <c r="B10404" t="s">
        <v>37</v>
      </c>
      <c r="C10404" t="s">
        <v>36</v>
      </c>
      <c r="D10404">
        <v>436</v>
      </c>
    </row>
    <row r="10405" spans="1:4" ht="15.75" customHeight="1">
      <c r="A10405" t="s">
        <v>4155</v>
      </c>
      <c r="B10405" t="s">
        <v>37</v>
      </c>
      <c r="C10405" t="s">
        <v>36</v>
      </c>
      <c r="D10405">
        <v>434</v>
      </c>
    </row>
    <row r="10406" spans="1:4" ht="15.75" customHeight="1">
      <c r="A10406" t="s">
        <v>863</v>
      </c>
      <c r="B10406" t="s">
        <v>37</v>
      </c>
      <c r="C10406" t="s">
        <v>36</v>
      </c>
      <c r="D10406">
        <v>433</v>
      </c>
    </row>
    <row r="10407" spans="1:4" ht="15.75" customHeight="1">
      <c r="A10407" t="s">
        <v>2343</v>
      </c>
      <c r="B10407" t="s">
        <v>37</v>
      </c>
      <c r="C10407" t="s">
        <v>36</v>
      </c>
      <c r="D10407">
        <v>431</v>
      </c>
    </row>
    <row r="10408" spans="1:4" ht="15.75" customHeight="1">
      <c r="A10408" t="s">
        <v>2373</v>
      </c>
      <c r="B10408" t="s">
        <v>37</v>
      </c>
      <c r="C10408" t="s">
        <v>36</v>
      </c>
      <c r="D10408">
        <v>426</v>
      </c>
    </row>
    <row r="10409" spans="1:4" ht="15.75" customHeight="1">
      <c r="A10409" t="s">
        <v>1479</v>
      </c>
      <c r="B10409" t="s">
        <v>37</v>
      </c>
      <c r="C10409" t="s">
        <v>36</v>
      </c>
      <c r="D10409">
        <v>426</v>
      </c>
    </row>
    <row r="10410" spans="1:4" ht="15.75" customHeight="1">
      <c r="A10410" t="s">
        <v>2930</v>
      </c>
      <c r="B10410" t="s">
        <v>37</v>
      </c>
      <c r="C10410" t="s">
        <v>36</v>
      </c>
      <c r="D10410">
        <v>425</v>
      </c>
    </row>
    <row r="10411" spans="1:4" ht="15.75" customHeight="1">
      <c r="A10411" t="s">
        <v>3364</v>
      </c>
      <c r="B10411" t="s">
        <v>37</v>
      </c>
      <c r="C10411" t="s">
        <v>36</v>
      </c>
      <c r="D10411">
        <v>424</v>
      </c>
    </row>
    <row r="10412" spans="1:4" ht="15.75" customHeight="1">
      <c r="A10412" t="s">
        <v>1492</v>
      </c>
      <c r="B10412" t="s">
        <v>37</v>
      </c>
      <c r="C10412" t="s">
        <v>36</v>
      </c>
      <c r="D10412">
        <v>424</v>
      </c>
    </row>
    <row r="10413" spans="1:4" ht="15.75" customHeight="1">
      <c r="A10413" t="s">
        <v>2367</v>
      </c>
      <c r="B10413" t="s">
        <v>37</v>
      </c>
      <c r="C10413" t="s">
        <v>36</v>
      </c>
      <c r="D10413">
        <v>423</v>
      </c>
    </row>
    <row r="10414" spans="1:4" ht="15.75" customHeight="1">
      <c r="A10414" t="s">
        <v>3384</v>
      </c>
      <c r="B10414" t="s">
        <v>37</v>
      </c>
      <c r="C10414" t="s">
        <v>36</v>
      </c>
      <c r="D10414">
        <v>420</v>
      </c>
    </row>
    <row r="10415" spans="1:4" ht="15.75" customHeight="1">
      <c r="A10415" t="s">
        <v>869</v>
      </c>
      <c r="B10415" t="s">
        <v>37</v>
      </c>
      <c r="C10415" t="s">
        <v>36</v>
      </c>
      <c r="D10415">
        <v>419</v>
      </c>
    </row>
    <row r="10416" spans="1:4" ht="15.75" customHeight="1">
      <c r="A10416" t="s">
        <v>1473</v>
      </c>
      <c r="B10416" t="s">
        <v>37</v>
      </c>
      <c r="C10416" t="s">
        <v>36</v>
      </c>
      <c r="D10416">
        <v>418</v>
      </c>
    </row>
    <row r="10417" spans="1:4" ht="15.75" customHeight="1">
      <c r="A10417" t="s">
        <v>835</v>
      </c>
      <c r="B10417" t="s">
        <v>37</v>
      </c>
      <c r="C10417" t="s">
        <v>36</v>
      </c>
      <c r="D10417">
        <v>417</v>
      </c>
    </row>
    <row r="10418" spans="1:4" ht="15.75" customHeight="1">
      <c r="A10418" t="s">
        <v>2301</v>
      </c>
      <c r="B10418" t="s">
        <v>37</v>
      </c>
      <c r="C10418" t="s">
        <v>36</v>
      </c>
      <c r="D10418">
        <v>416</v>
      </c>
    </row>
    <row r="10419" spans="1:4" ht="15.75" customHeight="1">
      <c r="A10419" t="s">
        <v>2954</v>
      </c>
      <c r="B10419" t="s">
        <v>37</v>
      </c>
      <c r="C10419" t="s">
        <v>36</v>
      </c>
      <c r="D10419">
        <v>415</v>
      </c>
    </row>
    <row r="10420" spans="1:4" ht="15.75" customHeight="1">
      <c r="A10420" t="s">
        <v>3342</v>
      </c>
      <c r="B10420" t="s">
        <v>37</v>
      </c>
      <c r="C10420" t="s">
        <v>36</v>
      </c>
      <c r="D10420">
        <v>414</v>
      </c>
    </row>
    <row r="10421" spans="1:4" ht="15.75" customHeight="1">
      <c r="A10421" t="s">
        <v>2331</v>
      </c>
      <c r="B10421" t="s">
        <v>37</v>
      </c>
      <c r="C10421" t="s">
        <v>36</v>
      </c>
      <c r="D10421">
        <v>412</v>
      </c>
    </row>
    <row r="10422" spans="1:4" ht="15.75" customHeight="1">
      <c r="A10422" t="s">
        <v>2906</v>
      </c>
      <c r="B10422" t="s">
        <v>37</v>
      </c>
      <c r="C10422" t="s">
        <v>36</v>
      </c>
      <c r="D10422">
        <v>412</v>
      </c>
    </row>
    <row r="10423" spans="1:4" ht="15.75" customHeight="1">
      <c r="A10423" t="s">
        <v>2329</v>
      </c>
      <c r="B10423" t="s">
        <v>37</v>
      </c>
      <c r="C10423" t="s">
        <v>36</v>
      </c>
      <c r="D10423">
        <v>411</v>
      </c>
    </row>
    <row r="10424" spans="1:4" ht="15.75" customHeight="1">
      <c r="A10424" t="s">
        <v>2317</v>
      </c>
      <c r="B10424" t="s">
        <v>37</v>
      </c>
      <c r="C10424" t="s">
        <v>36</v>
      </c>
      <c r="D10424">
        <v>411</v>
      </c>
    </row>
    <row r="10425" spans="1:4" ht="15.75" customHeight="1">
      <c r="A10425" t="s">
        <v>4150</v>
      </c>
      <c r="B10425" t="s">
        <v>37</v>
      </c>
      <c r="C10425" t="s">
        <v>36</v>
      </c>
      <c r="D10425">
        <v>410</v>
      </c>
    </row>
    <row r="10426" spans="1:4" ht="15.75" customHeight="1">
      <c r="A10426" t="s">
        <v>744</v>
      </c>
      <c r="B10426" t="s">
        <v>37</v>
      </c>
      <c r="C10426" t="s">
        <v>36</v>
      </c>
      <c r="D10426">
        <v>408</v>
      </c>
    </row>
    <row r="10427" spans="1:4" ht="15.75" customHeight="1">
      <c r="A10427" t="s">
        <v>2940</v>
      </c>
      <c r="B10427" t="s">
        <v>37</v>
      </c>
      <c r="C10427" t="s">
        <v>36</v>
      </c>
      <c r="D10427">
        <v>405</v>
      </c>
    </row>
    <row r="10428" spans="1:4" ht="15.75" customHeight="1">
      <c r="A10428" t="s">
        <v>2339</v>
      </c>
      <c r="B10428" t="s">
        <v>37</v>
      </c>
      <c r="C10428" t="s">
        <v>36</v>
      </c>
      <c r="D10428">
        <v>405</v>
      </c>
    </row>
    <row r="10429" spans="1:4" ht="15.75" customHeight="1">
      <c r="A10429" t="s">
        <v>1807</v>
      </c>
      <c r="B10429" t="s">
        <v>37</v>
      </c>
      <c r="C10429" t="s">
        <v>36</v>
      </c>
      <c r="D10429">
        <v>404</v>
      </c>
    </row>
    <row r="10430" spans="1:4" ht="15.75" customHeight="1">
      <c r="A10430" t="s">
        <v>857</v>
      </c>
      <c r="B10430" t="s">
        <v>37</v>
      </c>
      <c r="C10430" t="s">
        <v>36</v>
      </c>
      <c r="D10430">
        <v>403</v>
      </c>
    </row>
    <row r="10431" spans="1:4" ht="15.75" customHeight="1">
      <c r="A10431" t="s">
        <v>1489</v>
      </c>
      <c r="B10431" t="s">
        <v>37</v>
      </c>
      <c r="C10431" t="s">
        <v>36</v>
      </c>
      <c r="D10431">
        <v>399</v>
      </c>
    </row>
    <row r="10432" spans="1:4" ht="15.75" customHeight="1">
      <c r="A10432" t="s">
        <v>4207</v>
      </c>
      <c r="B10432" t="s">
        <v>37</v>
      </c>
      <c r="C10432" t="s">
        <v>36</v>
      </c>
      <c r="D10432">
        <v>399</v>
      </c>
    </row>
    <row r="10433" spans="1:4" ht="15.75" customHeight="1">
      <c r="A10433" t="s">
        <v>865</v>
      </c>
      <c r="B10433" t="s">
        <v>37</v>
      </c>
      <c r="C10433" t="s">
        <v>36</v>
      </c>
      <c r="D10433">
        <v>395</v>
      </c>
    </row>
    <row r="10434" spans="1:4" ht="15.75" customHeight="1">
      <c r="A10434" t="s">
        <v>4884</v>
      </c>
      <c r="B10434" t="s">
        <v>37</v>
      </c>
      <c r="C10434" t="s">
        <v>36</v>
      </c>
      <c r="D10434">
        <v>393</v>
      </c>
    </row>
    <row r="10435" spans="1:4" ht="15.75" customHeight="1">
      <c r="A10435" t="s">
        <v>3772</v>
      </c>
      <c r="B10435" t="s">
        <v>37</v>
      </c>
      <c r="C10435" t="s">
        <v>36</v>
      </c>
      <c r="D10435">
        <v>392</v>
      </c>
    </row>
    <row r="10436" spans="1:4" ht="15.75" customHeight="1">
      <c r="A10436" t="s">
        <v>2296</v>
      </c>
      <c r="B10436" t="s">
        <v>37</v>
      </c>
      <c r="C10436" t="s">
        <v>36</v>
      </c>
      <c r="D10436">
        <v>391</v>
      </c>
    </row>
    <row r="10437" spans="1:4" ht="15.75" customHeight="1">
      <c r="A10437" t="s">
        <v>877</v>
      </c>
      <c r="B10437" t="s">
        <v>37</v>
      </c>
      <c r="C10437" t="s">
        <v>36</v>
      </c>
      <c r="D10437">
        <v>390</v>
      </c>
    </row>
    <row r="10438" spans="1:4" ht="15.75" customHeight="1">
      <c r="A10438" t="s">
        <v>4872</v>
      </c>
      <c r="B10438" t="s">
        <v>37</v>
      </c>
      <c r="C10438" t="s">
        <v>36</v>
      </c>
      <c r="D10438">
        <v>390</v>
      </c>
    </row>
    <row r="10439" spans="1:4" ht="15.75" customHeight="1">
      <c r="A10439" t="s">
        <v>2916</v>
      </c>
      <c r="B10439" t="s">
        <v>37</v>
      </c>
      <c r="C10439" t="s">
        <v>36</v>
      </c>
      <c r="D10439">
        <v>390</v>
      </c>
    </row>
    <row r="10440" spans="1:4" ht="15.75" customHeight="1">
      <c r="A10440" t="s">
        <v>2290</v>
      </c>
      <c r="B10440" t="s">
        <v>37</v>
      </c>
      <c r="C10440" t="s">
        <v>36</v>
      </c>
      <c r="D10440">
        <v>389</v>
      </c>
    </row>
    <row r="10441" spans="1:4" ht="15.75" customHeight="1">
      <c r="A10441" t="s">
        <v>2945</v>
      </c>
      <c r="B10441" t="s">
        <v>37</v>
      </c>
      <c r="C10441" t="s">
        <v>36</v>
      </c>
      <c r="D10441">
        <v>389</v>
      </c>
    </row>
    <row r="10442" spans="1:4" ht="15.75" customHeight="1">
      <c r="A10442" t="s">
        <v>1557</v>
      </c>
      <c r="B10442" t="s">
        <v>37</v>
      </c>
      <c r="C10442" t="s">
        <v>36</v>
      </c>
      <c r="D10442">
        <v>387</v>
      </c>
    </row>
    <row r="10443" spans="1:4" ht="15.75" customHeight="1">
      <c r="A10443" t="s">
        <v>2892</v>
      </c>
      <c r="B10443" t="s">
        <v>37</v>
      </c>
      <c r="C10443" t="s">
        <v>36</v>
      </c>
      <c r="D10443">
        <v>385</v>
      </c>
    </row>
    <row r="10444" spans="1:4" ht="15.75" customHeight="1">
      <c r="A10444" t="s">
        <v>905</v>
      </c>
      <c r="B10444" t="s">
        <v>37</v>
      </c>
      <c r="C10444" t="s">
        <v>36</v>
      </c>
      <c r="D10444">
        <v>384</v>
      </c>
    </row>
    <row r="10445" spans="1:4" ht="15.75" customHeight="1">
      <c r="A10445" t="s">
        <v>2351</v>
      </c>
      <c r="B10445" t="s">
        <v>37</v>
      </c>
      <c r="C10445" t="s">
        <v>36</v>
      </c>
      <c r="D10445">
        <v>383</v>
      </c>
    </row>
    <row r="10446" spans="1:4" ht="15.75" customHeight="1">
      <c r="A10446" t="s">
        <v>4870</v>
      </c>
      <c r="B10446" t="s">
        <v>37</v>
      </c>
      <c r="C10446" t="s">
        <v>36</v>
      </c>
      <c r="D10446">
        <v>382</v>
      </c>
    </row>
    <row r="10447" spans="1:4" ht="15.75" customHeight="1">
      <c r="A10447" t="s">
        <v>3768</v>
      </c>
      <c r="B10447" t="s">
        <v>37</v>
      </c>
      <c r="C10447" t="s">
        <v>36</v>
      </c>
      <c r="D10447">
        <v>376</v>
      </c>
    </row>
    <row r="10448" spans="1:4" ht="15.75" customHeight="1">
      <c r="A10448" t="s">
        <v>2283</v>
      </c>
      <c r="B10448" t="s">
        <v>37</v>
      </c>
      <c r="C10448" t="s">
        <v>36</v>
      </c>
      <c r="D10448">
        <v>376</v>
      </c>
    </row>
    <row r="10449" spans="1:4" ht="15.75" customHeight="1">
      <c r="A10449" t="s">
        <v>2926</v>
      </c>
      <c r="B10449" t="s">
        <v>37</v>
      </c>
      <c r="C10449" t="s">
        <v>36</v>
      </c>
      <c r="D10449">
        <v>375</v>
      </c>
    </row>
    <row r="10450" spans="1:4" ht="15.75" customHeight="1">
      <c r="A10450" t="s">
        <v>4191</v>
      </c>
      <c r="B10450" t="s">
        <v>37</v>
      </c>
      <c r="C10450" t="s">
        <v>36</v>
      </c>
      <c r="D10450">
        <v>375</v>
      </c>
    </row>
    <row r="10451" spans="1:4" ht="15.75" customHeight="1">
      <c r="A10451" t="s">
        <v>2345</v>
      </c>
      <c r="B10451" t="s">
        <v>37</v>
      </c>
      <c r="C10451" t="s">
        <v>36</v>
      </c>
      <c r="D10451">
        <v>373</v>
      </c>
    </row>
    <row r="10452" spans="1:4" ht="15.75" customHeight="1">
      <c r="A10452" t="s">
        <v>4450</v>
      </c>
      <c r="B10452" t="s">
        <v>37</v>
      </c>
      <c r="C10452" t="s">
        <v>36</v>
      </c>
      <c r="D10452">
        <v>373</v>
      </c>
    </row>
    <row r="10453" spans="1:4" ht="15.75" customHeight="1">
      <c r="A10453" t="s">
        <v>2958</v>
      </c>
      <c r="B10453" t="s">
        <v>37</v>
      </c>
      <c r="C10453" t="s">
        <v>36</v>
      </c>
      <c r="D10453">
        <v>373</v>
      </c>
    </row>
    <row r="10454" spans="1:4" ht="15.75" customHeight="1">
      <c r="A10454" t="s">
        <v>4163</v>
      </c>
      <c r="B10454" t="s">
        <v>37</v>
      </c>
      <c r="C10454" t="s">
        <v>36</v>
      </c>
      <c r="D10454">
        <v>373</v>
      </c>
    </row>
    <row r="10455" spans="1:4" ht="15.75" customHeight="1">
      <c r="A10455" t="s">
        <v>875</v>
      </c>
      <c r="B10455" t="s">
        <v>37</v>
      </c>
      <c r="C10455" t="s">
        <v>36</v>
      </c>
      <c r="D10455">
        <v>373</v>
      </c>
    </row>
    <row r="10456" spans="1:4" ht="15.75" customHeight="1">
      <c r="A10456" t="s">
        <v>2934</v>
      </c>
      <c r="B10456" t="s">
        <v>37</v>
      </c>
      <c r="C10456" t="s">
        <v>36</v>
      </c>
      <c r="D10456">
        <v>371</v>
      </c>
    </row>
    <row r="10457" spans="1:4" ht="15.75" customHeight="1">
      <c r="A10457" t="s">
        <v>3402</v>
      </c>
      <c r="B10457" t="s">
        <v>37</v>
      </c>
      <c r="C10457" t="s">
        <v>36</v>
      </c>
      <c r="D10457">
        <v>370</v>
      </c>
    </row>
    <row r="10458" spans="1:4" ht="15.75" customHeight="1">
      <c r="A10458" t="s">
        <v>810</v>
      </c>
      <c r="B10458" t="s">
        <v>37</v>
      </c>
      <c r="C10458" t="s">
        <v>36</v>
      </c>
      <c r="D10458">
        <v>369</v>
      </c>
    </row>
    <row r="10459" spans="1:4" ht="15.75" customHeight="1">
      <c r="A10459" t="s">
        <v>849</v>
      </c>
      <c r="B10459" t="s">
        <v>37</v>
      </c>
      <c r="C10459" t="s">
        <v>36</v>
      </c>
      <c r="D10459">
        <v>367</v>
      </c>
    </row>
    <row r="10460" spans="1:4" ht="15.75" customHeight="1">
      <c r="A10460" t="s">
        <v>851</v>
      </c>
      <c r="B10460" t="s">
        <v>37</v>
      </c>
      <c r="C10460" t="s">
        <v>36</v>
      </c>
      <c r="D10460">
        <v>365</v>
      </c>
    </row>
    <row r="10461" spans="1:4" ht="15.75" customHeight="1">
      <c r="A10461" t="s">
        <v>895</v>
      </c>
      <c r="B10461" t="s">
        <v>37</v>
      </c>
      <c r="C10461" t="s">
        <v>36</v>
      </c>
      <c r="D10461">
        <v>362</v>
      </c>
    </row>
    <row r="10462" spans="1:4" ht="15.75" customHeight="1">
      <c r="A10462" t="s">
        <v>4182</v>
      </c>
      <c r="B10462" t="s">
        <v>37</v>
      </c>
      <c r="C10462" t="s">
        <v>36</v>
      </c>
      <c r="D10462">
        <v>360</v>
      </c>
    </row>
    <row r="10463" spans="1:4" ht="15.75" customHeight="1">
      <c r="A10463" t="s">
        <v>907</v>
      </c>
      <c r="B10463" t="s">
        <v>37</v>
      </c>
      <c r="C10463" t="s">
        <v>36</v>
      </c>
      <c r="D10463">
        <v>357</v>
      </c>
    </row>
    <row r="10464" spans="1:4" ht="15.75" customHeight="1">
      <c r="A10464" t="s">
        <v>742</v>
      </c>
      <c r="B10464" t="s">
        <v>37</v>
      </c>
      <c r="C10464" t="s">
        <v>36</v>
      </c>
      <c r="D10464">
        <v>357</v>
      </c>
    </row>
    <row r="10465" spans="1:4" ht="15.75" customHeight="1">
      <c r="A10465" t="s">
        <v>919</v>
      </c>
      <c r="B10465" t="s">
        <v>37</v>
      </c>
      <c r="C10465" t="s">
        <v>36</v>
      </c>
      <c r="D10465">
        <v>354</v>
      </c>
    </row>
    <row r="10466" spans="1:4" ht="15.75" customHeight="1">
      <c r="A10466" t="s">
        <v>4193</v>
      </c>
      <c r="B10466" t="s">
        <v>37</v>
      </c>
      <c r="C10466" t="s">
        <v>36</v>
      </c>
      <c r="D10466">
        <v>354</v>
      </c>
    </row>
    <row r="10467" spans="1:4" ht="15.75" customHeight="1">
      <c r="A10467" t="s">
        <v>3358</v>
      </c>
      <c r="B10467" t="s">
        <v>37</v>
      </c>
      <c r="C10467" t="s">
        <v>36</v>
      </c>
      <c r="D10467">
        <v>350</v>
      </c>
    </row>
    <row r="10468" spans="1:4" ht="15.75" customHeight="1">
      <c r="A10468" t="s">
        <v>3320</v>
      </c>
      <c r="B10468" t="s">
        <v>37</v>
      </c>
      <c r="C10468" t="s">
        <v>36</v>
      </c>
      <c r="D10468">
        <v>347</v>
      </c>
    </row>
    <row r="10469" spans="1:4" ht="15.75" customHeight="1">
      <c r="A10469" t="s">
        <v>794</v>
      </c>
      <c r="B10469" t="s">
        <v>37</v>
      </c>
      <c r="C10469" t="s">
        <v>36</v>
      </c>
      <c r="D10469">
        <v>346</v>
      </c>
    </row>
    <row r="10470" spans="1:4" ht="15.75" customHeight="1">
      <c r="A10470" t="s">
        <v>3318</v>
      </c>
      <c r="B10470" t="s">
        <v>37</v>
      </c>
      <c r="C10470" t="s">
        <v>36</v>
      </c>
      <c r="D10470">
        <v>344</v>
      </c>
    </row>
    <row r="10471" spans="1:4" ht="15.75" customHeight="1">
      <c r="A10471" t="s">
        <v>2307</v>
      </c>
      <c r="B10471" t="s">
        <v>37</v>
      </c>
      <c r="C10471" t="s">
        <v>36</v>
      </c>
      <c r="D10471">
        <v>344</v>
      </c>
    </row>
    <row r="10472" spans="1:4" ht="15.75" customHeight="1">
      <c r="A10472" t="s">
        <v>871</v>
      </c>
      <c r="B10472" t="s">
        <v>37</v>
      </c>
      <c r="C10472" t="s">
        <v>36</v>
      </c>
      <c r="D10472">
        <v>343</v>
      </c>
    </row>
    <row r="10473" spans="1:4" ht="15.75" customHeight="1">
      <c r="A10473" t="s">
        <v>2960</v>
      </c>
      <c r="B10473" t="s">
        <v>37</v>
      </c>
      <c r="C10473" t="s">
        <v>36</v>
      </c>
      <c r="D10473">
        <v>341</v>
      </c>
    </row>
    <row r="10474" spans="1:4" ht="15.75" customHeight="1">
      <c r="A10474" t="s">
        <v>3785</v>
      </c>
      <c r="B10474" t="s">
        <v>37</v>
      </c>
      <c r="C10474" t="s">
        <v>36</v>
      </c>
      <c r="D10474">
        <v>341</v>
      </c>
    </row>
    <row r="10475" spans="1:4" ht="15.75" customHeight="1">
      <c r="A10475" t="s">
        <v>2880</v>
      </c>
      <c r="B10475" t="s">
        <v>37</v>
      </c>
      <c r="C10475" t="s">
        <v>36</v>
      </c>
      <c r="D10475">
        <v>338</v>
      </c>
    </row>
    <row r="10476" spans="1:4" ht="15.75" customHeight="1">
      <c r="A10476" t="s">
        <v>2912</v>
      </c>
      <c r="B10476" t="s">
        <v>37</v>
      </c>
      <c r="C10476" t="s">
        <v>36</v>
      </c>
      <c r="D10476">
        <v>334</v>
      </c>
    </row>
    <row r="10477" spans="1:4" ht="15.75" customHeight="1">
      <c r="A10477" t="s">
        <v>3398</v>
      </c>
      <c r="B10477" t="s">
        <v>37</v>
      </c>
      <c r="C10477" t="s">
        <v>36</v>
      </c>
      <c r="D10477">
        <v>331</v>
      </c>
    </row>
    <row r="10478" spans="1:4" ht="15.75" customHeight="1">
      <c r="A10478" t="s">
        <v>748</v>
      </c>
      <c r="B10478" t="s">
        <v>37</v>
      </c>
      <c r="C10478" t="s">
        <v>36</v>
      </c>
      <c r="D10478">
        <v>327</v>
      </c>
    </row>
    <row r="10479" spans="1:4" ht="15.75" customHeight="1">
      <c r="A10479" t="s">
        <v>4880</v>
      </c>
      <c r="B10479" t="s">
        <v>37</v>
      </c>
      <c r="C10479" t="s">
        <v>36</v>
      </c>
      <c r="D10479">
        <v>324</v>
      </c>
    </row>
    <row r="10480" spans="1:4" ht="15.75" customHeight="1">
      <c r="A10480" t="s">
        <v>913</v>
      </c>
      <c r="B10480" t="s">
        <v>37</v>
      </c>
      <c r="C10480" t="s">
        <v>36</v>
      </c>
      <c r="D10480">
        <v>324</v>
      </c>
    </row>
    <row r="10481" spans="1:4" ht="15.75" customHeight="1">
      <c r="A10481" t="s">
        <v>4170</v>
      </c>
      <c r="B10481" t="s">
        <v>37</v>
      </c>
      <c r="C10481" t="s">
        <v>36</v>
      </c>
      <c r="D10481">
        <v>323</v>
      </c>
    </row>
    <row r="10482" spans="1:4" ht="15.75" customHeight="1">
      <c r="A10482" t="s">
        <v>4212</v>
      </c>
      <c r="B10482" t="s">
        <v>37</v>
      </c>
      <c r="C10482" t="s">
        <v>36</v>
      </c>
      <c r="D10482">
        <v>323</v>
      </c>
    </row>
    <row r="10483" spans="1:4" ht="15.75" customHeight="1">
      <c r="A10483" t="s">
        <v>1529</v>
      </c>
      <c r="B10483" t="s">
        <v>37</v>
      </c>
      <c r="C10483" t="s">
        <v>36</v>
      </c>
      <c r="D10483">
        <v>322</v>
      </c>
    </row>
    <row r="10484" spans="1:4" ht="15.75" customHeight="1">
      <c r="A10484" t="s">
        <v>2313</v>
      </c>
      <c r="B10484" t="s">
        <v>37</v>
      </c>
      <c r="C10484" t="s">
        <v>36</v>
      </c>
      <c r="D10484">
        <v>318</v>
      </c>
    </row>
    <row r="10485" spans="1:4" ht="15.75" customHeight="1">
      <c r="A10485" t="s">
        <v>1469</v>
      </c>
      <c r="B10485" t="s">
        <v>37</v>
      </c>
      <c r="C10485" t="s">
        <v>36</v>
      </c>
      <c r="D10485">
        <v>317</v>
      </c>
    </row>
    <row r="10486" spans="1:4" ht="15.75" customHeight="1">
      <c r="A10486" t="s">
        <v>2311</v>
      </c>
      <c r="B10486" t="s">
        <v>37</v>
      </c>
      <c r="C10486" t="s">
        <v>36</v>
      </c>
      <c r="D10486">
        <v>315</v>
      </c>
    </row>
    <row r="10487" spans="1:4" ht="15.75" customHeight="1">
      <c r="A10487" t="s">
        <v>759</v>
      </c>
      <c r="B10487" t="s">
        <v>37</v>
      </c>
      <c r="C10487" t="s">
        <v>36</v>
      </c>
      <c r="D10487">
        <v>315</v>
      </c>
    </row>
    <row r="10488" spans="1:4" ht="15.75" customHeight="1">
      <c r="A10488" t="s">
        <v>853</v>
      </c>
      <c r="B10488" t="s">
        <v>37</v>
      </c>
      <c r="C10488" t="s">
        <v>36</v>
      </c>
      <c r="D10488">
        <v>313</v>
      </c>
    </row>
    <row r="10489" spans="1:4" ht="15.75" customHeight="1">
      <c r="A10489" t="s">
        <v>2323</v>
      </c>
      <c r="B10489" t="s">
        <v>37</v>
      </c>
      <c r="C10489" t="s">
        <v>36</v>
      </c>
      <c r="D10489">
        <v>313</v>
      </c>
    </row>
    <row r="10490" spans="1:4" ht="15.75" customHeight="1">
      <c r="A10490" t="s">
        <v>846</v>
      </c>
      <c r="B10490" t="s">
        <v>37</v>
      </c>
      <c r="C10490" t="s">
        <v>36</v>
      </c>
      <c r="D10490">
        <v>310</v>
      </c>
    </row>
    <row r="10491" spans="1:4" ht="15.75" customHeight="1">
      <c r="A10491" t="s">
        <v>4851</v>
      </c>
      <c r="B10491" t="s">
        <v>37</v>
      </c>
      <c r="C10491" t="s">
        <v>36</v>
      </c>
      <c r="D10491">
        <v>308</v>
      </c>
    </row>
    <row r="10492" spans="1:4" ht="15.75" customHeight="1">
      <c r="A10492" t="s">
        <v>2920</v>
      </c>
      <c r="B10492" t="s">
        <v>37</v>
      </c>
      <c r="C10492" t="s">
        <v>36</v>
      </c>
      <c r="D10492">
        <v>308</v>
      </c>
    </row>
    <row r="10493" spans="1:4" ht="15.75" customHeight="1">
      <c r="A10493" t="s">
        <v>798</v>
      </c>
      <c r="B10493" t="s">
        <v>37</v>
      </c>
      <c r="C10493" t="s">
        <v>36</v>
      </c>
      <c r="D10493">
        <v>307</v>
      </c>
    </row>
    <row r="10494" spans="1:4" ht="15.75" customHeight="1">
      <c r="A10494" t="s">
        <v>2298</v>
      </c>
      <c r="B10494" t="s">
        <v>37</v>
      </c>
      <c r="C10494" t="s">
        <v>36</v>
      </c>
      <c r="D10494">
        <v>304</v>
      </c>
    </row>
    <row r="10495" spans="1:4" ht="15.75" customHeight="1">
      <c r="A10495" t="s">
        <v>885</v>
      </c>
      <c r="B10495" t="s">
        <v>37</v>
      </c>
      <c r="C10495" t="s">
        <v>36</v>
      </c>
      <c r="D10495">
        <v>302</v>
      </c>
    </row>
    <row r="10496" spans="1:4" ht="15.75" customHeight="1">
      <c r="A10496" t="s">
        <v>861</v>
      </c>
      <c r="B10496" t="s">
        <v>37</v>
      </c>
      <c r="C10496" t="s">
        <v>36</v>
      </c>
      <c r="D10496">
        <v>300</v>
      </c>
    </row>
    <row r="10497" spans="1:4" ht="15.75" customHeight="1">
      <c r="A10497" t="s">
        <v>4161</v>
      </c>
      <c r="B10497" t="s">
        <v>37</v>
      </c>
      <c r="C10497" t="s">
        <v>36</v>
      </c>
      <c r="D10497">
        <v>300</v>
      </c>
    </row>
    <row r="10498" spans="1:4" ht="15.75" customHeight="1">
      <c r="A10498" t="s">
        <v>4892</v>
      </c>
      <c r="B10498" t="s">
        <v>37</v>
      </c>
      <c r="C10498" t="s">
        <v>36</v>
      </c>
      <c r="D10498">
        <v>297</v>
      </c>
    </row>
    <row r="10499" spans="1:4" ht="15.75" customHeight="1">
      <c r="A10499" t="s">
        <v>2904</v>
      </c>
      <c r="B10499" t="s">
        <v>37</v>
      </c>
      <c r="C10499" t="s">
        <v>36</v>
      </c>
      <c r="D10499">
        <v>295</v>
      </c>
    </row>
    <row r="10500" spans="1:4" ht="15.75" customHeight="1">
      <c r="A10500" t="s">
        <v>2898</v>
      </c>
      <c r="B10500" t="s">
        <v>37</v>
      </c>
      <c r="C10500" t="s">
        <v>36</v>
      </c>
      <c r="D10500">
        <v>290</v>
      </c>
    </row>
    <row r="10501" spans="1:4" ht="15.75" customHeight="1">
      <c r="A10501" t="s">
        <v>2365</v>
      </c>
      <c r="B10501" t="s">
        <v>37</v>
      </c>
      <c r="C10501" t="s">
        <v>36</v>
      </c>
      <c r="D10501">
        <v>290</v>
      </c>
    </row>
    <row r="10502" spans="1:4" ht="15.75" customHeight="1">
      <c r="A10502" t="s">
        <v>4197</v>
      </c>
      <c r="B10502" t="s">
        <v>37</v>
      </c>
      <c r="C10502" t="s">
        <v>36</v>
      </c>
      <c r="D10502">
        <v>289</v>
      </c>
    </row>
    <row r="10503" spans="1:4" ht="15.75" customHeight="1">
      <c r="A10503" t="s">
        <v>915</v>
      </c>
      <c r="B10503" t="s">
        <v>37</v>
      </c>
      <c r="C10503" t="s">
        <v>36</v>
      </c>
      <c r="D10503">
        <v>287</v>
      </c>
    </row>
    <row r="10504" spans="1:4" ht="15.75" customHeight="1">
      <c r="A10504" t="s">
        <v>3766</v>
      </c>
      <c r="B10504" t="s">
        <v>37</v>
      </c>
      <c r="C10504" t="s">
        <v>36</v>
      </c>
      <c r="D10504">
        <v>285</v>
      </c>
    </row>
    <row r="10505" spans="1:4" ht="15.75" customHeight="1">
      <c r="A10505" t="s">
        <v>3340</v>
      </c>
      <c r="B10505" t="s">
        <v>37</v>
      </c>
      <c r="C10505" t="s">
        <v>36</v>
      </c>
      <c r="D10505">
        <v>284</v>
      </c>
    </row>
    <row r="10506" spans="1:4" ht="15.75" customHeight="1">
      <c r="A10506" t="s">
        <v>4159</v>
      </c>
      <c r="B10506" t="s">
        <v>37</v>
      </c>
      <c r="C10506" t="s">
        <v>36</v>
      </c>
      <c r="D10506">
        <v>280</v>
      </c>
    </row>
    <row r="10507" spans="1:4" ht="15.75" customHeight="1">
      <c r="A10507" t="s">
        <v>3348</v>
      </c>
      <c r="B10507" t="s">
        <v>37</v>
      </c>
      <c r="C10507" t="s">
        <v>36</v>
      </c>
      <c r="D10507">
        <v>278</v>
      </c>
    </row>
    <row r="10508" spans="1:4" ht="15.75" customHeight="1">
      <c r="A10508" t="s">
        <v>4195</v>
      </c>
      <c r="B10508" t="s">
        <v>37</v>
      </c>
      <c r="C10508" t="s">
        <v>36</v>
      </c>
      <c r="D10508">
        <v>275</v>
      </c>
    </row>
    <row r="10509" spans="1:4" ht="15.75" customHeight="1">
      <c r="A10509" t="s">
        <v>4172</v>
      </c>
      <c r="B10509" t="s">
        <v>37</v>
      </c>
      <c r="C10509" t="s">
        <v>36</v>
      </c>
      <c r="D10509">
        <v>275</v>
      </c>
    </row>
    <row r="10510" spans="1:4" ht="15.75" customHeight="1">
      <c r="A10510" t="s">
        <v>4896</v>
      </c>
      <c r="B10510" t="s">
        <v>37</v>
      </c>
      <c r="C10510" t="s">
        <v>36</v>
      </c>
      <c r="D10510">
        <v>275</v>
      </c>
    </row>
    <row r="10511" spans="1:4" ht="15.75" customHeight="1">
      <c r="A10511" t="s">
        <v>2950</v>
      </c>
      <c r="B10511" t="s">
        <v>37</v>
      </c>
      <c r="C10511" t="s">
        <v>36</v>
      </c>
      <c r="D10511">
        <v>272</v>
      </c>
    </row>
    <row r="10512" spans="1:4" ht="15.75" customHeight="1">
      <c r="A10512" t="s">
        <v>2355</v>
      </c>
      <c r="B10512" t="s">
        <v>37</v>
      </c>
      <c r="C10512" t="s">
        <v>36</v>
      </c>
      <c r="D10512">
        <v>270</v>
      </c>
    </row>
    <row r="10513" spans="1:4" ht="15.75" customHeight="1">
      <c r="A10513" t="s">
        <v>4167</v>
      </c>
      <c r="B10513" t="s">
        <v>37</v>
      </c>
      <c r="C10513" t="s">
        <v>36</v>
      </c>
      <c r="D10513">
        <v>268</v>
      </c>
    </row>
    <row r="10514" spans="1:4" ht="15.75" customHeight="1">
      <c r="A10514" t="s">
        <v>897</v>
      </c>
      <c r="B10514" t="s">
        <v>37</v>
      </c>
      <c r="C10514" t="s">
        <v>36</v>
      </c>
      <c r="D10514">
        <v>265</v>
      </c>
    </row>
    <row r="10515" spans="1:4" ht="15.75" customHeight="1">
      <c r="A10515" t="s">
        <v>2896</v>
      </c>
      <c r="B10515" t="s">
        <v>37</v>
      </c>
      <c r="C10515" t="s">
        <v>36</v>
      </c>
      <c r="D10515">
        <v>263</v>
      </c>
    </row>
    <row r="10516" spans="1:4" ht="15.75" customHeight="1">
      <c r="A10516" t="s">
        <v>1519</v>
      </c>
      <c r="B10516" t="s">
        <v>37</v>
      </c>
      <c r="C10516" t="s">
        <v>36</v>
      </c>
      <c r="D10516">
        <v>263</v>
      </c>
    </row>
    <row r="10517" spans="1:4" ht="15.75" customHeight="1">
      <c r="A10517" t="s">
        <v>4845</v>
      </c>
      <c r="B10517" t="s">
        <v>37</v>
      </c>
      <c r="C10517" t="s">
        <v>36</v>
      </c>
      <c r="D10517">
        <v>262</v>
      </c>
    </row>
    <row r="10518" spans="1:4" ht="15.75" customHeight="1">
      <c r="A10518" t="s">
        <v>3366</v>
      </c>
      <c r="B10518" t="s">
        <v>37</v>
      </c>
      <c r="C10518" t="s">
        <v>36</v>
      </c>
      <c r="D10518">
        <v>261</v>
      </c>
    </row>
    <row r="10519" spans="1:4" ht="15.75" customHeight="1">
      <c r="A10519" t="s">
        <v>3378</v>
      </c>
      <c r="B10519" t="s">
        <v>37</v>
      </c>
      <c r="C10519" t="s">
        <v>36</v>
      </c>
      <c r="D10519">
        <v>261</v>
      </c>
    </row>
    <row r="10520" spans="1:4" ht="15.75" customHeight="1">
      <c r="A10520" t="s">
        <v>1467</v>
      </c>
      <c r="B10520" t="s">
        <v>37</v>
      </c>
      <c r="C10520" t="s">
        <v>36</v>
      </c>
      <c r="D10520">
        <v>259</v>
      </c>
    </row>
    <row r="10521" spans="1:4" ht="15.75" customHeight="1">
      <c r="A10521" t="s">
        <v>1475</v>
      </c>
      <c r="B10521" t="s">
        <v>37</v>
      </c>
      <c r="C10521" t="s">
        <v>36</v>
      </c>
      <c r="D10521">
        <v>257</v>
      </c>
    </row>
    <row r="10522" spans="1:4" ht="15.75" customHeight="1">
      <c r="A10522" t="s">
        <v>1555</v>
      </c>
      <c r="B10522" t="s">
        <v>37</v>
      </c>
      <c r="C10522" t="s">
        <v>36</v>
      </c>
      <c r="D10522">
        <v>256</v>
      </c>
    </row>
    <row r="10523" spans="1:4" ht="15.75" customHeight="1">
      <c r="A10523" t="s">
        <v>3739</v>
      </c>
      <c r="B10523" t="s">
        <v>37</v>
      </c>
      <c r="C10523" t="s">
        <v>36</v>
      </c>
      <c r="D10523">
        <v>255</v>
      </c>
    </row>
    <row r="10524" spans="1:4" ht="15.75" customHeight="1">
      <c r="A10524" t="s">
        <v>4199</v>
      </c>
      <c r="B10524" t="s">
        <v>37</v>
      </c>
      <c r="C10524" t="s">
        <v>36</v>
      </c>
      <c r="D10524">
        <v>254</v>
      </c>
    </row>
    <row r="10525" spans="1:4" ht="15.75" customHeight="1">
      <c r="A10525" t="s">
        <v>3330</v>
      </c>
      <c r="B10525" t="s">
        <v>37</v>
      </c>
      <c r="C10525" t="s">
        <v>36</v>
      </c>
      <c r="D10525">
        <v>254</v>
      </c>
    </row>
    <row r="10526" spans="1:4" ht="15.75" customHeight="1">
      <c r="A10526" t="s">
        <v>3390</v>
      </c>
      <c r="B10526" t="s">
        <v>37</v>
      </c>
      <c r="C10526" t="s">
        <v>36</v>
      </c>
      <c r="D10526">
        <v>252</v>
      </c>
    </row>
    <row r="10527" spans="1:4" ht="15.75" customHeight="1">
      <c r="A10527" t="s">
        <v>4189</v>
      </c>
      <c r="B10527" t="s">
        <v>37</v>
      </c>
      <c r="C10527" t="s">
        <v>36</v>
      </c>
      <c r="D10527">
        <v>252</v>
      </c>
    </row>
    <row r="10528" spans="1:4" ht="15.75" customHeight="1">
      <c r="A10528" t="s">
        <v>4864</v>
      </c>
      <c r="B10528" t="s">
        <v>37</v>
      </c>
      <c r="C10528" t="s">
        <v>36</v>
      </c>
      <c r="D10528">
        <v>250</v>
      </c>
    </row>
    <row r="10529" spans="1:4" ht="15.75" customHeight="1">
      <c r="A10529" t="s">
        <v>4868</v>
      </c>
      <c r="B10529" t="s">
        <v>37</v>
      </c>
      <c r="C10529" t="s">
        <v>36</v>
      </c>
      <c r="D10529">
        <v>249</v>
      </c>
    </row>
    <row r="10530" spans="1:4" ht="15.75" customHeight="1">
      <c r="A10530" t="s">
        <v>4866</v>
      </c>
      <c r="B10530" t="s">
        <v>37</v>
      </c>
      <c r="C10530" t="s">
        <v>36</v>
      </c>
      <c r="D10530">
        <v>248</v>
      </c>
    </row>
    <row r="10531" spans="1:4" ht="15.75" customHeight="1">
      <c r="A10531" t="s">
        <v>4886</v>
      </c>
      <c r="B10531" t="s">
        <v>37</v>
      </c>
      <c r="C10531" t="s">
        <v>36</v>
      </c>
      <c r="D10531">
        <v>248</v>
      </c>
    </row>
    <row r="10532" spans="1:4" ht="15.75" customHeight="1">
      <c r="A10532" t="s">
        <v>2347</v>
      </c>
      <c r="B10532" t="s">
        <v>37</v>
      </c>
      <c r="C10532" t="s">
        <v>36</v>
      </c>
      <c r="D10532">
        <v>247</v>
      </c>
    </row>
    <row r="10533" spans="1:4" ht="15.75" customHeight="1">
      <c r="A10533" t="s">
        <v>3350</v>
      </c>
      <c r="B10533" t="s">
        <v>37</v>
      </c>
      <c r="C10533" t="s">
        <v>36</v>
      </c>
      <c r="D10533">
        <v>246</v>
      </c>
    </row>
    <row r="10534" spans="1:4" ht="15.75" customHeight="1">
      <c r="A10534" t="s">
        <v>4890</v>
      </c>
      <c r="B10534" t="s">
        <v>37</v>
      </c>
      <c r="C10534" t="s">
        <v>36</v>
      </c>
      <c r="D10534">
        <v>244</v>
      </c>
    </row>
    <row r="10535" spans="1:4" ht="15.75" customHeight="1">
      <c r="A10535" t="s">
        <v>3362</v>
      </c>
      <c r="B10535" t="s">
        <v>37</v>
      </c>
      <c r="C10535" t="s">
        <v>36</v>
      </c>
      <c r="D10535">
        <v>242</v>
      </c>
    </row>
    <row r="10536" spans="1:4" ht="15.75" customHeight="1">
      <c r="A10536" t="s">
        <v>3760</v>
      </c>
      <c r="B10536" t="s">
        <v>37</v>
      </c>
      <c r="C10536" t="s">
        <v>36</v>
      </c>
      <c r="D10536">
        <v>239</v>
      </c>
    </row>
    <row r="10537" spans="1:4" ht="15.75" customHeight="1">
      <c r="A10537" t="s">
        <v>3756</v>
      </c>
      <c r="B10537" t="s">
        <v>37</v>
      </c>
      <c r="C10537" t="s">
        <v>36</v>
      </c>
      <c r="D10537">
        <v>238</v>
      </c>
    </row>
    <row r="10538" spans="1:4" ht="15.75" customHeight="1">
      <c r="A10538" t="s">
        <v>3328</v>
      </c>
      <c r="B10538" t="s">
        <v>37</v>
      </c>
      <c r="C10538" t="s">
        <v>36</v>
      </c>
      <c r="D10538">
        <v>238</v>
      </c>
    </row>
    <row r="10539" spans="1:4" ht="15.75" customHeight="1">
      <c r="A10539" t="s">
        <v>4157</v>
      </c>
      <c r="B10539" t="s">
        <v>37</v>
      </c>
      <c r="C10539" t="s">
        <v>36</v>
      </c>
      <c r="D10539">
        <v>237</v>
      </c>
    </row>
    <row r="10540" spans="1:4" ht="15.75" customHeight="1">
      <c r="A10540" t="s">
        <v>1573</v>
      </c>
      <c r="B10540" t="s">
        <v>37</v>
      </c>
      <c r="C10540" t="s">
        <v>36</v>
      </c>
      <c r="D10540">
        <v>236</v>
      </c>
    </row>
    <row r="10541" spans="1:4" ht="15.75" customHeight="1">
      <c r="A10541" t="s">
        <v>4176</v>
      </c>
      <c r="B10541" t="s">
        <v>37</v>
      </c>
      <c r="C10541" t="s">
        <v>36</v>
      </c>
      <c r="D10541">
        <v>233</v>
      </c>
    </row>
    <row r="10542" spans="1:4" ht="15.75" customHeight="1">
      <c r="A10542" t="s">
        <v>2293</v>
      </c>
      <c r="B10542" t="s">
        <v>37</v>
      </c>
      <c r="C10542" t="s">
        <v>36</v>
      </c>
      <c r="D10542">
        <v>231</v>
      </c>
    </row>
    <row r="10543" spans="1:4" ht="15.75" customHeight="1">
      <c r="A10543" t="s">
        <v>2357</v>
      </c>
      <c r="B10543" t="s">
        <v>37</v>
      </c>
      <c r="C10543" t="s">
        <v>36</v>
      </c>
      <c r="D10543">
        <v>226</v>
      </c>
    </row>
    <row r="10544" spans="1:4" ht="15.75" customHeight="1">
      <c r="A10544" t="s">
        <v>2918</v>
      </c>
      <c r="B10544" t="s">
        <v>37</v>
      </c>
      <c r="C10544" t="s">
        <v>36</v>
      </c>
      <c r="D10544">
        <v>223</v>
      </c>
    </row>
    <row r="10545" spans="1:4" ht="15.75" customHeight="1">
      <c r="A10545" t="s">
        <v>1541</v>
      </c>
      <c r="B10545" t="s">
        <v>37</v>
      </c>
      <c r="C10545" t="s">
        <v>36</v>
      </c>
      <c r="D10545">
        <v>222</v>
      </c>
    </row>
    <row r="10546" spans="1:4" ht="15.75" customHeight="1">
      <c r="A10546" t="s">
        <v>4454</v>
      </c>
      <c r="B10546" t="s">
        <v>37</v>
      </c>
      <c r="C10546" t="s">
        <v>36</v>
      </c>
      <c r="D10546">
        <v>221</v>
      </c>
    </row>
    <row r="10547" spans="1:4" ht="15.75" customHeight="1">
      <c r="A10547" t="s">
        <v>911</v>
      </c>
      <c r="B10547" t="s">
        <v>37</v>
      </c>
      <c r="C10547" t="s">
        <v>36</v>
      </c>
      <c r="D10547">
        <v>221</v>
      </c>
    </row>
    <row r="10548" spans="1:4" ht="15.75" customHeight="1">
      <c r="A10548" t="s">
        <v>2900</v>
      </c>
      <c r="B10548" t="s">
        <v>37</v>
      </c>
      <c r="C10548" t="s">
        <v>36</v>
      </c>
      <c r="D10548">
        <v>221</v>
      </c>
    </row>
    <row r="10549" spans="1:4" ht="15.75" customHeight="1">
      <c r="A10549" t="s">
        <v>2287</v>
      </c>
      <c r="B10549" t="s">
        <v>37</v>
      </c>
      <c r="C10549" t="s">
        <v>36</v>
      </c>
      <c r="D10549">
        <v>220</v>
      </c>
    </row>
    <row r="10550" spans="1:4" ht="15.75" customHeight="1">
      <c r="A10550" t="s">
        <v>3776</v>
      </c>
      <c r="B10550" t="s">
        <v>37</v>
      </c>
      <c r="C10550" t="s">
        <v>36</v>
      </c>
      <c r="D10550">
        <v>219</v>
      </c>
    </row>
    <row r="10551" spans="1:4" ht="15.75" customHeight="1">
      <c r="A10551" t="s">
        <v>2938</v>
      </c>
      <c r="B10551" t="s">
        <v>37</v>
      </c>
      <c r="C10551" t="s">
        <v>36</v>
      </c>
      <c r="D10551">
        <v>217</v>
      </c>
    </row>
    <row r="10552" spans="1:4" ht="15.75" customHeight="1">
      <c r="A10552" t="s">
        <v>1803</v>
      </c>
      <c r="B10552" t="s">
        <v>37</v>
      </c>
      <c r="C10552" t="s">
        <v>36</v>
      </c>
      <c r="D10552">
        <v>216</v>
      </c>
    </row>
    <row r="10553" spans="1:4" ht="15.75" customHeight="1">
      <c r="A10553" t="s">
        <v>3743</v>
      </c>
      <c r="B10553" t="s">
        <v>37</v>
      </c>
      <c r="C10553" t="s">
        <v>36</v>
      </c>
      <c r="D10553">
        <v>215</v>
      </c>
    </row>
    <row r="10554" spans="1:4" ht="15.75" customHeight="1">
      <c r="A10554" t="s">
        <v>1499</v>
      </c>
      <c r="B10554" t="s">
        <v>37</v>
      </c>
      <c r="C10554" t="s">
        <v>36</v>
      </c>
      <c r="D10554">
        <v>214</v>
      </c>
    </row>
    <row r="10555" spans="1:4" ht="15.75" customHeight="1">
      <c r="A10555" t="s">
        <v>4152</v>
      </c>
      <c r="B10555" t="s">
        <v>37</v>
      </c>
      <c r="C10555" t="s">
        <v>36</v>
      </c>
      <c r="D10555">
        <v>212</v>
      </c>
    </row>
    <row r="10556" spans="1:4" ht="15.75" customHeight="1">
      <c r="A10556" t="s">
        <v>4186</v>
      </c>
      <c r="B10556" t="s">
        <v>37</v>
      </c>
      <c r="C10556" t="s">
        <v>36</v>
      </c>
      <c r="D10556">
        <v>209</v>
      </c>
    </row>
    <row r="10557" spans="1:4" ht="15.75" customHeight="1">
      <c r="A10557" t="s">
        <v>1813</v>
      </c>
      <c r="B10557" t="s">
        <v>37</v>
      </c>
      <c r="C10557" t="s">
        <v>36</v>
      </c>
      <c r="D10557">
        <v>207</v>
      </c>
    </row>
    <row r="10558" spans="1:4" ht="15.75" customHeight="1">
      <c r="A10558" t="s">
        <v>3745</v>
      </c>
      <c r="B10558" t="s">
        <v>37</v>
      </c>
      <c r="C10558" t="s">
        <v>36</v>
      </c>
      <c r="D10558">
        <v>206</v>
      </c>
    </row>
    <row r="10559" spans="1:4" ht="15.75" customHeight="1">
      <c r="A10559" t="s">
        <v>4855</v>
      </c>
      <c r="B10559" t="s">
        <v>37</v>
      </c>
      <c r="C10559" t="s">
        <v>36</v>
      </c>
      <c r="D10559">
        <v>205</v>
      </c>
    </row>
    <row r="10560" spans="1:4" ht="15.75" customHeight="1">
      <c r="A10560" t="s">
        <v>4460</v>
      </c>
      <c r="B10560" t="s">
        <v>37</v>
      </c>
      <c r="C10560" t="s">
        <v>36</v>
      </c>
      <c r="D10560">
        <v>204</v>
      </c>
    </row>
    <row r="10561" spans="1:4" ht="15.75" customHeight="1">
      <c r="A10561" t="s">
        <v>2327</v>
      </c>
      <c r="B10561" t="s">
        <v>37</v>
      </c>
      <c r="C10561" t="s">
        <v>36</v>
      </c>
      <c r="D10561">
        <v>202</v>
      </c>
    </row>
    <row r="10562" spans="1:4" ht="15.75" customHeight="1">
      <c r="A10562" t="s">
        <v>4203</v>
      </c>
      <c r="B10562" t="s">
        <v>37</v>
      </c>
      <c r="C10562" t="s">
        <v>36</v>
      </c>
      <c r="D10562">
        <v>201</v>
      </c>
    </row>
    <row r="10563" spans="1:4" ht="15.75" customHeight="1">
      <c r="A10563" t="s">
        <v>2932</v>
      </c>
      <c r="B10563" t="s">
        <v>37</v>
      </c>
      <c r="C10563" t="s">
        <v>36</v>
      </c>
      <c r="D10563">
        <v>201</v>
      </c>
    </row>
    <row r="10564" spans="1:4" ht="15.75" customHeight="1">
      <c r="A10564" t="s">
        <v>3752</v>
      </c>
      <c r="B10564" t="s">
        <v>37</v>
      </c>
      <c r="C10564" t="s">
        <v>36</v>
      </c>
      <c r="D10564">
        <v>200</v>
      </c>
    </row>
    <row r="10565" spans="1:4" ht="15.75" customHeight="1">
      <c r="A10565" t="s">
        <v>4165</v>
      </c>
      <c r="B10565" t="s">
        <v>37</v>
      </c>
      <c r="C10565" t="s">
        <v>36</v>
      </c>
      <c r="D10565">
        <v>199</v>
      </c>
    </row>
    <row r="10566" spans="1:4" ht="15.75" customHeight="1">
      <c r="A10566" t="s">
        <v>3372</v>
      </c>
      <c r="B10566" t="s">
        <v>37</v>
      </c>
      <c r="C10566" t="s">
        <v>36</v>
      </c>
      <c r="D10566">
        <v>199</v>
      </c>
    </row>
    <row r="10567" spans="1:4" ht="15.75" customHeight="1">
      <c r="A10567" t="s">
        <v>4861</v>
      </c>
      <c r="B10567" t="s">
        <v>37</v>
      </c>
      <c r="C10567" t="s">
        <v>36</v>
      </c>
      <c r="D10567">
        <v>198</v>
      </c>
    </row>
    <row r="10568" spans="1:4" ht="15.75" customHeight="1">
      <c r="A10568" t="s">
        <v>3346</v>
      </c>
      <c r="B10568" t="s">
        <v>37</v>
      </c>
      <c r="C10568" t="s">
        <v>36</v>
      </c>
      <c r="D10568">
        <v>197</v>
      </c>
    </row>
    <row r="10569" spans="1:4" ht="15.75" customHeight="1">
      <c r="A10569" t="s">
        <v>4438</v>
      </c>
      <c r="B10569" t="s">
        <v>37</v>
      </c>
      <c r="C10569" t="s">
        <v>36</v>
      </c>
      <c r="D10569">
        <v>195</v>
      </c>
    </row>
    <row r="10570" spans="1:4" ht="15.75" customHeight="1">
      <c r="A10570" t="s">
        <v>2948</v>
      </c>
      <c r="B10570" t="s">
        <v>37</v>
      </c>
      <c r="C10570" t="s">
        <v>36</v>
      </c>
      <c r="D10570">
        <v>191</v>
      </c>
    </row>
    <row r="10571" spans="1:4" ht="15.75" customHeight="1">
      <c r="A10571" t="s">
        <v>4184</v>
      </c>
      <c r="B10571" t="s">
        <v>37</v>
      </c>
      <c r="C10571" t="s">
        <v>36</v>
      </c>
      <c r="D10571">
        <v>191</v>
      </c>
    </row>
    <row r="10572" spans="1:4" ht="15.75" customHeight="1">
      <c r="A10572" t="s">
        <v>903</v>
      </c>
      <c r="B10572" t="s">
        <v>37</v>
      </c>
      <c r="C10572" t="s">
        <v>36</v>
      </c>
      <c r="D10572">
        <v>191</v>
      </c>
    </row>
    <row r="10573" spans="1:4" ht="15.75" customHeight="1">
      <c r="A10573" t="s">
        <v>4456</v>
      </c>
      <c r="B10573" t="s">
        <v>37</v>
      </c>
      <c r="C10573" t="s">
        <v>36</v>
      </c>
      <c r="D10573">
        <v>190</v>
      </c>
    </row>
    <row r="10574" spans="1:4" ht="15.75" customHeight="1">
      <c r="A10574" t="s">
        <v>1799</v>
      </c>
      <c r="B10574" t="s">
        <v>37</v>
      </c>
      <c r="C10574" t="s">
        <v>36</v>
      </c>
      <c r="D10574">
        <v>189</v>
      </c>
    </row>
    <row r="10575" spans="1:4" ht="15.75" customHeight="1">
      <c r="A10575" t="s">
        <v>1805</v>
      </c>
      <c r="B10575" t="s">
        <v>37</v>
      </c>
      <c r="C10575" t="s">
        <v>36</v>
      </c>
      <c r="D10575">
        <v>189</v>
      </c>
    </row>
    <row r="10576" spans="1:4" ht="15.75" customHeight="1">
      <c r="A10576" t="s">
        <v>4201</v>
      </c>
      <c r="B10576" t="s">
        <v>37</v>
      </c>
      <c r="C10576" t="s">
        <v>36</v>
      </c>
      <c r="D10576">
        <v>188</v>
      </c>
    </row>
    <row r="10577" spans="1:4" ht="15.75" customHeight="1">
      <c r="A10577" t="s">
        <v>1801</v>
      </c>
      <c r="B10577" t="s">
        <v>37</v>
      </c>
      <c r="C10577" t="s">
        <v>36</v>
      </c>
      <c r="D10577">
        <v>188</v>
      </c>
    </row>
    <row r="10578" spans="1:4" ht="15.75" customHeight="1">
      <c r="A10578" t="s">
        <v>879</v>
      </c>
      <c r="B10578" t="s">
        <v>37</v>
      </c>
      <c r="C10578" t="s">
        <v>36</v>
      </c>
      <c r="D10578">
        <v>186</v>
      </c>
    </row>
    <row r="10579" spans="1:4" ht="15.75" customHeight="1">
      <c r="A10579" t="s">
        <v>4470</v>
      </c>
      <c r="B10579" t="s">
        <v>37</v>
      </c>
      <c r="C10579" t="s">
        <v>36</v>
      </c>
      <c r="D10579">
        <v>186</v>
      </c>
    </row>
    <row r="10580" spans="1:4" ht="15.75" customHeight="1">
      <c r="A10580" t="s">
        <v>1809</v>
      </c>
      <c r="B10580" t="s">
        <v>37</v>
      </c>
      <c r="C10580" t="s">
        <v>36</v>
      </c>
      <c r="D10580">
        <v>185</v>
      </c>
    </row>
    <row r="10581" spans="1:4" ht="15.75" customHeight="1">
      <c r="A10581" t="s">
        <v>1571</v>
      </c>
      <c r="B10581" t="s">
        <v>37</v>
      </c>
      <c r="C10581" t="s">
        <v>36</v>
      </c>
      <c r="D10581">
        <v>183</v>
      </c>
    </row>
    <row r="10582" spans="1:4" ht="15.75" customHeight="1">
      <c r="A10582" t="s">
        <v>4452</v>
      </c>
      <c r="B10582" t="s">
        <v>37</v>
      </c>
      <c r="C10582" t="s">
        <v>36</v>
      </c>
      <c r="D10582">
        <v>182</v>
      </c>
    </row>
    <row r="10583" spans="1:4" ht="15.75" customHeight="1">
      <c r="A10583" t="s">
        <v>4178</v>
      </c>
      <c r="B10583" t="s">
        <v>37</v>
      </c>
      <c r="C10583" t="s">
        <v>36</v>
      </c>
      <c r="D10583">
        <v>180</v>
      </c>
    </row>
    <row r="10584" spans="1:4" ht="15.75" customHeight="1">
      <c r="A10584" t="s">
        <v>3747</v>
      </c>
      <c r="B10584" t="s">
        <v>37</v>
      </c>
      <c r="C10584" t="s">
        <v>36</v>
      </c>
      <c r="D10584">
        <v>178</v>
      </c>
    </row>
    <row r="10585" spans="1:4" ht="15.75" customHeight="1">
      <c r="A10585" t="s">
        <v>4857</v>
      </c>
      <c r="B10585" t="s">
        <v>37</v>
      </c>
      <c r="C10585" t="s">
        <v>36</v>
      </c>
      <c r="D10585">
        <v>177</v>
      </c>
    </row>
    <row r="10586" spans="1:4" ht="15.75" customHeight="1">
      <c r="A10586" t="s">
        <v>3382</v>
      </c>
      <c r="B10586" t="s">
        <v>37</v>
      </c>
      <c r="C10586" t="s">
        <v>36</v>
      </c>
      <c r="D10586">
        <v>176</v>
      </c>
    </row>
    <row r="10587" spans="1:4" ht="15.75" customHeight="1">
      <c r="A10587" t="s">
        <v>2922</v>
      </c>
      <c r="B10587" t="s">
        <v>37</v>
      </c>
      <c r="C10587" t="s">
        <v>36</v>
      </c>
      <c r="D10587">
        <v>173</v>
      </c>
    </row>
    <row r="10588" spans="1:4" ht="15.75" customHeight="1">
      <c r="A10588" t="s">
        <v>772</v>
      </c>
      <c r="B10588" t="s">
        <v>37</v>
      </c>
      <c r="C10588" t="s">
        <v>36</v>
      </c>
      <c r="D10588">
        <v>170</v>
      </c>
    </row>
    <row r="10589" spans="1:4" ht="15.75" customHeight="1">
      <c r="A10589" t="s">
        <v>4888</v>
      </c>
      <c r="B10589" t="s">
        <v>37</v>
      </c>
      <c r="C10589" t="s">
        <v>36</v>
      </c>
      <c r="D10589">
        <v>168</v>
      </c>
    </row>
    <row r="10590" spans="1:4" ht="15.75" customHeight="1">
      <c r="A10590" t="s">
        <v>1505</v>
      </c>
      <c r="B10590" t="s">
        <v>37</v>
      </c>
      <c r="C10590" t="s">
        <v>36</v>
      </c>
      <c r="D10590">
        <v>164</v>
      </c>
    </row>
    <row r="10591" spans="1:4" ht="15.75" customHeight="1">
      <c r="A10591" t="s">
        <v>1525</v>
      </c>
      <c r="B10591" t="s">
        <v>37</v>
      </c>
      <c r="C10591" t="s">
        <v>36</v>
      </c>
      <c r="D10591">
        <v>160</v>
      </c>
    </row>
    <row r="10592" spans="1:4" ht="15.75" customHeight="1">
      <c r="A10592" t="s">
        <v>1817</v>
      </c>
      <c r="B10592" t="s">
        <v>37</v>
      </c>
      <c r="C10592" t="s">
        <v>36</v>
      </c>
      <c r="D10592">
        <v>160</v>
      </c>
    </row>
    <row r="10593" spans="1:4" ht="15.75" customHeight="1">
      <c r="A10593" t="s">
        <v>2321</v>
      </c>
      <c r="B10593" t="s">
        <v>37</v>
      </c>
      <c r="C10593" t="s">
        <v>36</v>
      </c>
      <c r="D10593">
        <v>160</v>
      </c>
    </row>
    <row r="10594" spans="1:4" ht="15.75" customHeight="1">
      <c r="A10594" t="s">
        <v>1513</v>
      </c>
      <c r="B10594" t="s">
        <v>37</v>
      </c>
      <c r="C10594" t="s">
        <v>36</v>
      </c>
      <c r="D10594">
        <v>158</v>
      </c>
    </row>
    <row r="10595" spans="1:4" ht="15.75" customHeight="1">
      <c r="A10595" t="s">
        <v>1509</v>
      </c>
      <c r="B10595" t="s">
        <v>37</v>
      </c>
      <c r="C10595" t="s">
        <v>36</v>
      </c>
      <c r="D10595">
        <v>156</v>
      </c>
    </row>
    <row r="10596" spans="1:4" ht="15.75" customHeight="1">
      <c r="A10596" t="s">
        <v>1543</v>
      </c>
      <c r="B10596" t="s">
        <v>37</v>
      </c>
      <c r="C10596" t="s">
        <v>36</v>
      </c>
      <c r="D10596">
        <v>156</v>
      </c>
    </row>
    <row r="10597" spans="1:4" ht="15.75" customHeight="1">
      <c r="A10597" t="s">
        <v>2363</v>
      </c>
      <c r="B10597" t="s">
        <v>37</v>
      </c>
      <c r="C10597" t="s">
        <v>36</v>
      </c>
      <c r="D10597">
        <v>155</v>
      </c>
    </row>
    <row r="10598" spans="1:4" ht="15.75" customHeight="1">
      <c r="A10598" t="s">
        <v>4874</v>
      </c>
      <c r="B10598" t="s">
        <v>37</v>
      </c>
      <c r="C10598" t="s">
        <v>36</v>
      </c>
      <c r="D10598">
        <v>154</v>
      </c>
    </row>
    <row r="10599" spans="1:4" ht="15.75" customHeight="1">
      <c r="A10599" t="s">
        <v>881</v>
      </c>
      <c r="B10599" t="s">
        <v>37</v>
      </c>
      <c r="C10599" t="s">
        <v>36</v>
      </c>
      <c r="D10599">
        <v>154</v>
      </c>
    </row>
    <row r="10600" spans="1:4" ht="15.75" customHeight="1">
      <c r="A10600" t="s">
        <v>2349</v>
      </c>
      <c r="B10600" t="s">
        <v>37</v>
      </c>
      <c r="C10600" t="s">
        <v>36</v>
      </c>
      <c r="D10600">
        <v>153</v>
      </c>
    </row>
    <row r="10601" spans="1:4" ht="15.75" customHeight="1">
      <c r="A10601" t="s">
        <v>3326</v>
      </c>
      <c r="B10601" t="s">
        <v>37</v>
      </c>
      <c r="C10601" t="s">
        <v>36</v>
      </c>
      <c r="D10601">
        <v>153</v>
      </c>
    </row>
    <row r="10602" spans="1:4" ht="15.75" customHeight="1">
      <c r="A10602" t="s">
        <v>3360</v>
      </c>
      <c r="B10602" t="s">
        <v>37</v>
      </c>
      <c r="C10602" t="s">
        <v>36</v>
      </c>
      <c r="D10602">
        <v>153</v>
      </c>
    </row>
    <row r="10603" spans="1:4" ht="15.75" customHeight="1">
      <c r="A10603" t="s">
        <v>3764</v>
      </c>
      <c r="B10603" t="s">
        <v>37</v>
      </c>
      <c r="C10603" t="s">
        <v>36</v>
      </c>
      <c r="D10603">
        <v>152</v>
      </c>
    </row>
    <row r="10604" spans="1:4" ht="15.75" customHeight="1">
      <c r="A10604" t="s">
        <v>3737</v>
      </c>
      <c r="B10604" t="s">
        <v>37</v>
      </c>
      <c r="C10604" t="s">
        <v>36</v>
      </c>
      <c r="D10604">
        <v>149</v>
      </c>
    </row>
    <row r="10605" spans="1:4" ht="15.75" customHeight="1">
      <c r="A10605" t="s">
        <v>3338</v>
      </c>
      <c r="B10605" t="s">
        <v>37</v>
      </c>
      <c r="C10605" t="s">
        <v>36</v>
      </c>
      <c r="D10605">
        <v>147</v>
      </c>
    </row>
    <row r="10606" spans="1:4" ht="15.75" customHeight="1">
      <c r="A10606" t="s">
        <v>901</v>
      </c>
      <c r="B10606" t="s">
        <v>37</v>
      </c>
      <c r="C10606" t="s">
        <v>36</v>
      </c>
      <c r="D10606">
        <v>146</v>
      </c>
    </row>
    <row r="10607" spans="1:4" ht="15.75" customHeight="1">
      <c r="A10607" t="s">
        <v>4180</v>
      </c>
      <c r="B10607" t="s">
        <v>37</v>
      </c>
      <c r="C10607" t="s">
        <v>36</v>
      </c>
      <c r="D10607">
        <v>144</v>
      </c>
    </row>
    <row r="10608" spans="1:4" ht="15.75" customHeight="1">
      <c r="A10608" t="s">
        <v>2335</v>
      </c>
      <c r="B10608" t="s">
        <v>37</v>
      </c>
      <c r="C10608" t="s">
        <v>36</v>
      </c>
      <c r="D10608">
        <v>144</v>
      </c>
    </row>
    <row r="10609" spans="1:4" ht="15.75" customHeight="1">
      <c r="A10609" t="s">
        <v>4472</v>
      </c>
      <c r="B10609" t="s">
        <v>37</v>
      </c>
      <c r="C10609" t="s">
        <v>36</v>
      </c>
      <c r="D10609">
        <v>142</v>
      </c>
    </row>
    <row r="10610" spans="1:4" ht="15.75" customHeight="1">
      <c r="A10610" t="s">
        <v>1549</v>
      </c>
      <c r="B10610" t="s">
        <v>37</v>
      </c>
      <c r="C10610" t="s">
        <v>36</v>
      </c>
      <c r="D10610">
        <v>140</v>
      </c>
    </row>
    <row r="10611" spans="1:4" ht="15.75" customHeight="1">
      <c r="A10611" t="s">
        <v>2952</v>
      </c>
      <c r="B10611" t="s">
        <v>37</v>
      </c>
      <c r="C10611" t="s">
        <v>36</v>
      </c>
      <c r="D10611">
        <v>137</v>
      </c>
    </row>
    <row r="10612" spans="1:4" ht="15.75" customHeight="1">
      <c r="A10612" t="s">
        <v>1481</v>
      </c>
      <c r="B10612" t="s">
        <v>37</v>
      </c>
      <c r="C10612" t="s">
        <v>36</v>
      </c>
      <c r="D10612">
        <v>136</v>
      </c>
    </row>
    <row r="10613" spans="1:4" ht="15.75" customHeight="1">
      <c r="A10613" t="s">
        <v>4468</v>
      </c>
      <c r="B10613" t="s">
        <v>37</v>
      </c>
      <c r="C10613" t="s">
        <v>36</v>
      </c>
      <c r="D10613">
        <v>135</v>
      </c>
    </row>
    <row r="10614" spans="1:4" ht="15.75" customHeight="1">
      <c r="A10614" t="s">
        <v>1494</v>
      </c>
      <c r="B10614" t="s">
        <v>37</v>
      </c>
      <c r="C10614" t="s">
        <v>36</v>
      </c>
      <c r="D10614">
        <v>134</v>
      </c>
    </row>
    <row r="10615" spans="1:4" ht="15.75" customHeight="1">
      <c r="A10615" t="s">
        <v>1547</v>
      </c>
      <c r="B10615" t="s">
        <v>37</v>
      </c>
      <c r="C10615" t="s">
        <v>36</v>
      </c>
      <c r="D10615">
        <v>133</v>
      </c>
    </row>
    <row r="10616" spans="1:4" ht="15.75" customHeight="1">
      <c r="A10616" t="s">
        <v>4878</v>
      </c>
      <c r="B10616" t="s">
        <v>37</v>
      </c>
      <c r="C10616" t="s">
        <v>36</v>
      </c>
      <c r="D10616">
        <v>131</v>
      </c>
    </row>
    <row r="10617" spans="1:4" ht="15.75" customHeight="1">
      <c r="A10617" t="s">
        <v>4859</v>
      </c>
      <c r="B10617" t="s">
        <v>37</v>
      </c>
      <c r="C10617" t="s">
        <v>36</v>
      </c>
      <c r="D10617">
        <v>129</v>
      </c>
    </row>
    <row r="10618" spans="1:4" ht="15.75" customHeight="1">
      <c r="A10618" t="s">
        <v>3394</v>
      </c>
      <c r="B10618" t="s">
        <v>37</v>
      </c>
      <c r="C10618" t="s">
        <v>36</v>
      </c>
      <c r="D10618">
        <v>129</v>
      </c>
    </row>
    <row r="10619" spans="1:4" ht="15.75" customHeight="1">
      <c r="A10619" t="s">
        <v>2337</v>
      </c>
      <c r="B10619" t="s">
        <v>37</v>
      </c>
      <c r="C10619" t="s">
        <v>36</v>
      </c>
      <c r="D10619">
        <v>126</v>
      </c>
    </row>
    <row r="10620" spans="1:4" ht="15.75" customHeight="1">
      <c r="A10620" t="s">
        <v>1485</v>
      </c>
      <c r="B10620" t="s">
        <v>37</v>
      </c>
      <c r="C10620" t="s">
        <v>36</v>
      </c>
      <c r="D10620">
        <v>125</v>
      </c>
    </row>
    <row r="10621" spans="1:4" ht="15.75" customHeight="1">
      <c r="A10621" t="s">
        <v>3774</v>
      </c>
      <c r="B10621" t="s">
        <v>37</v>
      </c>
      <c r="C10621" t="s">
        <v>36</v>
      </c>
      <c r="D10621">
        <v>125</v>
      </c>
    </row>
    <row r="10622" spans="1:4" ht="15.75" customHeight="1">
      <c r="A10622" t="s">
        <v>715</v>
      </c>
      <c r="B10622" t="s">
        <v>37</v>
      </c>
      <c r="C10622" t="s">
        <v>36</v>
      </c>
      <c r="D10622">
        <v>123</v>
      </c>
    </row>
    <row r="10623" spans="1:4" ht="15.75" customHeight="1">
      <c r="A10623" t="s">
        <v>2886</v>
      </c>
      <c r="B10623" t="s">
        <v>37</v>
      </c>
      <c r="C10623" t="s">
        <v>36</v>
      </c>
      <c r="D10623">
        <v>120</v>
      </c>
    </row>
    <row r="10624" spans="1:4" ht="15.75" customHeight="1">
      <c r="A10624" t="s">
        <v>4894</v>
      </c>
      <c r="B10624" t="s">
        <v>37</v>
      </c>
      <c r="C10624" t="s">
        <v>36</v>
      </c>
      <c r="D10624">
        <v>118</v>
      </c>
    </row>
    <row r="10625" spans="1:4" ht="15.75" customHeight="1">
      <c r="A10625" t="s">
        <v>3376</v>
      </c>
      <c r="B10625" t="s">
        <v>37</v>
      </c>
      <c r="C10625" t="s">
        <v>36</v>
      </c>
      <c r="D10625">
        <v>117</v>
      </c>
    </row>
    <row r="10626" spans="1:4" ht="15.75" customHeight="1">
      <c r="A10626" t="s">
        <v>2341</v>
      </c>
      <c r="B10626" t="s">
        <v>37</v>
      </c>
      <c r="C10626" t="s">
        <v>36</v>
      </c>
      <c r="D10626">
        <v>116</v>
      </c>
    </row>
    <row r="10627" spans="1:4" ht="15.75" customHeight="1">
      <c r="A10627" t="s">
        <v>3754</v>
      </c>
      <c r="B10627" t="s">
        <v>37</v>
      </c>
      <c r="C10627" t="s">
        <v>36</v>
      </c>
      <c r="D10627">
        <v>115</v>
      </c>
    </row>
    <row r="10628" spans="1:4" ht="15.75" customHeight="1">
      <c r="A10628" t="s">
        <v>4458</v>
      </c>
      <c r="B10628" t="s">
        <v>37</v>
      </c>
      <c r="C10628" t="s">
        <v>36</v>
      </c>
      <c r="D10628">
        <v>115</v>
      </c>
    </row>
    <row r="10629" spans="1:4" ht="15.75" customHeight="1">
      <c r="A10629" t="s">
        <v>3374</v>
      </c>
      <c r="B10629" t="s">
        <v>37</v>
      </c>
      <c r="C10629" t="s">
        <v>36</v>
      </c>
      <c r="D10629">
        <v>115</v>
      </c>
    </row>
    <row r="10630" spans="1:4" ht="15.75" customHeight="1">
      <c r="A10630" t="s">
        <v>3354</v>
      </c>
      <c r="B10630" t="s">
        <v>37</v>
      </c>
      <c r="C10630" t="s">
        <v>36</v>
      </c>
      <c r="D10630">
        <v>109</v>
      </c>
    </row>
    <row r="10631" spans="1:4" ht="15.75" customHeight="1">
      <c r="A10631" t="s">
        <v>844</v>
      </c>
      <c r="B10631" t="s">
        <v>37</v>
      </c>
      <c r="C10631" t="s">
        <v>36</v>
      </c>
      <c r="D10631">
        <v>103</v>
      </c>
    </row>
    <row r="10632" spans="1:4" ht="15.75" customHeight="1">
      <c r="A10632" t="s">
        <v>1811</v>
      </c>
      <c r="B10632" t="s">
        <v>37</v>
      </c>
      <c r="C10632" t="s">
        <v>36</v>
      </c>
      <c r="D10632">
        <v>96</v>
      </c>
    </row>
    <row r="10633" spans="1:4" ht="15.75" customHeight="1">
      <c r="A10633" t="s">
        <v>4462</v>
      </c>
      <c r="B10633" t="s">
        <v>37</v>
      </c>
      <c r="C10633" t="s">
        <v>36</v>
      </c>
      <c r="D10633">
        <v>95</v>
      </c>
    </row>
    <row r="10634" spans="1:4" ht="15.75" customHeight="1">
      <c r="A10634" t="s">
        <v>1515</v>
      </c>
      <c r="B10634" t="s">
        <v>37</v>
      </c>
      <c r="C10634" t="s">
        <v>36</v>
      </c>
      <c r="D10634">
        <v>94</v>
      </c>
    </row>
    <row r="10635" spans="1:4" ht="15.75" customHeight="1">
      <c r="A10635" t="s">
        <v>4466</v>
      </c>
      <c r="B10635" t="s">
        <v>37</v>
      </c>
      <c r="C10635" t="s">
        <v>36</v>
      </c>
      <c r="D10635">
        <v>91</v>
      </c>
    </row>
    <row r="10636" spans="1:4" ht="15.75" customHeight="1">
      <c r="A10636" t="s">
        <v>3324</v>
      </c>
      <c r="B10636" t="s">
        <v>37</v>
      </c>
      <c r="C10636" t="s">
        <v>36</v>
      </c>
      <c r="D10636">
        <v>91</v>
      </c>
    </row>
    <row r="10637" spans="1:4" ht="15.75" customHeight="1">
      <c r="A10637" t="s">
        <v>3334</v>
      </c>
      <c r="B10637" t="s">
        <v>37</v>
      </c>
      <c r="C10637" t="s">
        <v>36</v>
      </c>
      <c r="D10637">
        <v>90</v>
      </c>
    </row>
    <row r="10638" spans="1:4" ht="15.75" customHeight="1">
      <c r="A10638" t="s">
        <v>3731</v>
      </c>
      <c r="B10638" t="s">
        <v>37</v>
      </c>
      <c r="C10638" t="s">
        <v>36</v>
      </c>
      <c r="D10638">
        <v>90</v>
      </c>
    </row>
    <row r="10639" spans="1:4" ht="15.75" customHeight="1">
      <c r="A10639" t="s">
        <v>1483</v>
      </c>
      <c r="B10639" t="s">
        <v>37</v>
      </c>
      <c r="C10639" t="s">
        <v>36</v>
      </c>
      <c r="D10639">
        <v>89</v>
      </c>
    </row>
    <row r="10640" spans="1:4" ht="15.75" customHeight="1">
      <c r="A10640" t="s">
        <v>1561</v>
      </c>
      <c r="B10640" t="s">
        <v>37</v>
      </c>
      <c r="C10640" t="s">
        <v>36</v>
      </c>
      <c r="D10640">
        <v>88</v>
      </c>
    </row>
    <row r="10641" spans="1:4" ht="15.75" customHeight="1">
      <c r="A10641" t="s">
        <v>1559</v>
      </c>
      <c r="B10641" t="s">
        <v>37</v>
      </c>
      <c r="C10641" t="s">
        <v>36</v>
      </c>
      <c r="D10641">
        <v>87</v>
      </c>
    </row>
    <row r="10642" spans="1:4" ht="15.75" customHeight="1">
      <c r="A10642" t="s">
        <v>1487</v>
      </c>
      <c r="B10642" t="s">
        <v>37</v>
      </c>
      <c r="C10642" t="s">
        <v>36</v>
      </c>
      <c r="D10642">
        <v>86</v>
      </c>
    </row>
    <row r="10643" spans="1:4" ht="15.75" customHeight="1">
      <c r="A10643" t="s">
        <v>4905</v>
      </c>
      <c r="B10643" t="s">
        <v>37</v>
      </c>
      <c r="C10643" t="s">
        <v>36</v>
      </c>
      <c r="D10643">
        <v>86</v>
      </c>
    </row>
    <row r="10644" spans="1:4" ht="15.75" customHeight="1">
      <c r="A10644" t="s">
        <v>4442</v>
      </c>
      <c r="B10644" t="s">
        <v>37</v>
      </c>
      <c r="C10644" t="s">
        <v>36</v>
      </c>
      <c r="D10644">
        <v>85</v>
      </c>
    </row>
    <row r="10645" spans="1:4" ht="15.75" customHeight="1">
      <c r="A10645" t="s">
        <v>4446</v>
      </c>
      <c r="B10645" t="s">
        <v>37</v>
      </c>
      <c r="C10645" t="s">
        <v>36</v>
      </c>
      <c r="D10645">
        <v>83</v>
      </c>
    </row>
    <row r="10646" spans="1:4" ht="15.75" customHeight="1">
      <c r="A10646" t="s">
        <v>1823</v>
      </c>
      <c r="B10646" t="s">
        <v>37</v>
      </c>
      <c r="C10646" t="s">
        <v>36</v>
      </c>
      <c r="D10646">
        <v>83</v>
      </c>
    </row>
    <row r="10647" spans="1:4" ht="15.75" customHeight="1">
      <c r="A10647" t="s">
        <v>1507</v>
      </c>
      <c r="B10647" t="s">
        <v>37</v>
      </c>
      <c r="C10647" t="s">
        <v>36</v>
      </c>
      <c r="D10647">
        <v>82</v>
      </c>
    </row>
    <row r="10648" spans="1:4" ht="15.75" customHeight="1">
      <c r="A10648" t="s">
        <v>729</v>
      </c>
      <c r="B10648" t="s">
        <v>37</v>
      </c>
      <c r="C10648" t="s">
        <v>36</v>
      </c>
      <c r="D10648">
        <v>77</v>
      </c>
    </row>
    <row r="10649" spans="1:4" ht="15.75" customHeight="1">
      <c r="A10649" t="s">
        <v>4214</v>
      </c>
      <c r="B10649" t="s">
        <v>37</v>
      </c>
      <c r="C10649" t="s">
        <v>36</v>
      </c>
      <c r="D10649">
        <v>77</v>
      </c>
    </row>
    <row r="10650" spans="1:4" ht="15.75" customHeight="1">
      <c r="A10650" t="s">
        <v>2369</v>
      </c>
      <c r="B10650" t="s">
        <v>37</v>
      </c>
      <c r="C10650" t="s">
        <v>36</v>
      </c>
      <c r="D10650">
        <v>77</v>
      </c>
    </row>
    <row r="10651" spans="1:4" ht="15.75" customHeight="1">
      <c r="A10651" t="s">
        <v>3370</v>
      </c>
      <c r="B10651" t="s">
        <v>37</v>
      </c>
      <c r="C10651" t="s">
        <v>36</v>
      </c>
      <c r="D10651">
        <v>76</v>
      </c>
    </row>
    <row r="10652" spans="1:4" ht="15.75" customHeight="1">
      <c r="A10652" t="s">
        <v>4205</v>
      </c>
      <c r="B10652" t="s">
        <v>37</v>
      </c>
      <c r="C10652" t="s">
        <v>36</v>
      </c>
      <c r="D10652">
        <v>71</v>
      </c>
    </row>
    <row r="10653" spans="1:4" ht="15.75" customHeight="1">
      <c r="A10653" t="s">
        <v>3336</v>
      </c>
      <c r="B10653" t="s">
        <v>37</v>
      </c>
      <c r="C10653" t="s">
        <v>36</v>
      </c>
      <c r="D10653">
        <v>70</v>
      </c>
    </row>
    <row r="10654" spans="1:4" ht="15.75" customHeight="1">
      <c r="A10654" t="s">
        <v>3392</v>
      </c>
      <c r="B10654" t="s">
        <v>37</v>
      </c>
      <c r="C10654" t="s">
        <v>36</v>
      </c>
      <c r="D10654">
        <v>68</v>
      </c>
    </row>
    <row r="10655" spans="1:4" ht="15.75" customHeight="1">
      <c r="A10655" t="s">
        <v>3735</v>
      </c>
      <c r="B10655" t="s">
        <v>37</v>
      </c>
      <c r="C10655" t="s">
        <v>36</v>
      </c>
      <c r="D10655">
        <v>66</v>
      </c>
    </row>
    <row r="10656" spans="1:4" ht="15.75" customHeight="1">
      <c r="A10656" t="s">
        <v>3380</v>
      </c>
      <c r="B10656" t="s">
        <v>37</v>
      </c>
      <c r="C10656" t="s">
        <v>36</v>
      </c>
      <c r="D10656">
        <v>65</v>
      </c>
    </row>
    <row r="10657" spans="1:4" ht="15.75" customHeight="1">
      <c r="A10657" t="s">
        <v>1577</v>
      </c>
      <c r="B10657" t="s">
        <v>37</v>
      </c>
      <c r="C10657" t="s">
        <v>36</v>
      </c>
      <c r="D10657">
        <v>62</v>
      </c>
    </row>
    <row r="10658" spans="1:4" ht="15.75" customHeight="1">
      <c r="A10658" t="s">
        <v>3749</v>
      </c>
      <c r="B10658" t="s">
        <v>37</v>
      </c>
      <c r="C10658" t="s">
        <v>36</v>
      </c>
      <c r="D10658">
        <v>61</v>
      </c>
    </row>
    <row r="10659" spans="1:4" ht="15.75" customHeight="1">
      <c r="A10659" t="s">
        <v>3733</v>
      </c>
      <c r="B10659" t="s">
        <v>37</v>
      </c>
      <c r="C10659" t="s">
        <v>36</v>
      </c>
      <c r="D10659">
        <v>60</v>
      </c>
    </row>
    <row r="10660" spans="1:4" ht="15.75" customHeight="1">
      <c r="A10660" t="s">
        <v>1569</v>
      </c>
      <c r="B10660" t="s">
        <v>37</v>
      </c>
      <c r="C10660" t="s">
        <v>36</v>
      </c>
      <c r="D10660">
        <v>59</v>
      </c>
    </row>
    <row r="10661" spans="1:4" ht="15.75" customHeight="1">
      <c r="A10661" t="s">
        <v>1464</v>
      </c>
      <c r="B10661" t="s">
        <v>37</v>
      </c>
      <c r="C10661" t="s">
        <v>36</v>
      </c>
      <c r="D10661">
        <v>57</v>
      </c>
    </row>
    <row r="10662" spans="1:4" ht="15.75" customHeight="1">
      <c r="A10662" t="s">
        <v>4882</v>
      </c>
      <c r="B10662" t="s">
        <v>37</v>
      </c>
      <c r="C10662" t="s">
        <v>36</v>
      </c>
      <c r="D10662">
        <v>55</v>
      </c>
    </row>
    <row r="10663" spans="1:4" ht="15.75" customHeight="1">
      <c r="A10663" t="s">
        <v>1496</v>
      </c>
      <c r="B10663" t="s">
        <v>37</v>
      </c>
      <c r="C10663" t="s">
        <v>36</v>
      </c>
      <c r="D10663">
        <v>53</v>
      </c>
    </row>
    <row r="10664" spans="1:4" ht="15.75" customHeight="1">
      <c r="A10664" t="s">
        <v>2309</v>
      </c>
      <c r="B10664" t="s">
        <v>37</v>
      </c>
      <c r="C10664" t="s">
        <v>36</v>
      </c>
      <c r="D10664">
        <v>53</v>
      </c>
    </row>
    <row r="10665" spans="1:4" ht="15.75" customHeight="1">
      <c r="A10665" t="s">
        <v>1501</v>
      </c>
      <c r="B10665" t="s">
        <v>37</v>
      </c>
      <c r="C10665" t="s">
        <v>36</v>
      </c>
      <c r="D10665">
        <v>51</v>
      </c>
    </row>
    <row r="10666" spans="1:4" ht="15.75" customHeight="1">
      <c r="A10666" t="s">
        <v>1527</v>
      </c>
      <c r="B10666" t="s">
        <v>37</v>
      </c>
      <c r="C10666" t="s">
        <v>36</v>
      </c>
      <c r="D10666">
        <v>49</v>
      </c>
    </row>
    <row r="10667" spans="1:4" ht="15.75" customHeight="1">
      <c r="A10667" t="s">
        <v>4444</v>
      </c>
      <c r="B10667" t="s">
        <v>37</v>
      </c>
      <c r="C10667" t="s">
        <v>36</v>
      </c>
      <c r="D10667">
        <v>48</v>
      </c>
    </row>
    <row r="10668" spans="1:4" ht="15.75" customHeight="1">
      <c r="A10668" t="s">
        <v>3388</v>
      </c>
      <c r="B10668" t="s">
        <v>37</v>
      </c>
      <c r="C10668" t="s">
        <v>36</v>
      </c>
      <c r="D10668">
        <v>47</v>
      </c>
    </row>
    <row r="10669" spans="1:4" ht="15.75" customHeight="1">
      <c r="A10669" t="s">
        <v>3400</v>
      </c>
      <c r="B10669" t="s">
        <v>37</v>
      </c>
      <c r="C10669" t="s">
        <v>36</v>
      </c>
      <c r="D10669">
        <v>46</v>
      </c>
    </row>
    <row r="10670" spans="1:4" ht="15.75" customHeight="1">
      <c r="A10670" t="s">
        <v>4853</v>
      </c>
      <c r="B10670" t="s">
        <v>37</v>
      </c>
      <c r="C10670" t="s">
        <v>36</v>
      </c>
      <c r="D10670">
        <v>44</v>
      </c>
    </row>
    <row r="10671" spans="1:4" ht="15.75" customHeight="1">
      <c r="A10671" t="s">
        <v>3322</v>
      </c>
      <c r="B10671" t="s">
        <v>37</v>
      </c>
      <c r="C10671" t="s">
        <v>36</v>
      </c>
      <c r="D10671">
        <v>43</v>
      </c>
    </row>
    <row r="10672" spans="1:4" ht="15.75" customHeight="1">
      <c r="A10672" t="s">
        <v>4435</v>
      </c>
      <c r="B10672" t="s">
        <v>37</v>
      </c>
      <c r="C10672" t="s">
        <v>36</v>
      </c>
      <c r="D10672">
        <v>41</v>
      </c>
    </row>
    <row r="10673" spans="1:4" ht="15.75" customHeight="1">
      <c r="A10673" t="s">
        <v>818</v>
      </c>
      <c r="B10673" t="s">
        <v>37</v>
      </c>
      <c r="C10673" t="s">
        <v>36</v>
      </c>
      <c r="D10673">
        <v>41</v>
      </c>
    </row>
    <row r="10674" spans="1:4" ht="15.75" customHeight="1">
      <c r="A10674" t="s">
        <v>2303</v>
      </c>
      <c r="B10674" t="s">
        <v>37</v>
      </c>
      <c r="C10674" t="s">
        <v>36</v>
      </c>
      <c r="D10674">
        <v>40</v>
      </c>
    </row>
    <row r="10675" spans="1:4" ht="15.75" customHeight="1">
      <c r="A10675" t="s">
        <v>1477</v>
      </c>
      <c r="B10675" t="s">
        <v>37</v>
      </c>
      <c r="C10675" t="s">
        <v>36</v>
      </c>
      <c r="D10675">
        <v>37</v>
      </c>
    </row>
    <row r="10676" spans="1:4" ht="15.75" customHeight="1">
      <c r="A10676" t="s">
        <v>3352</v>
      </c>
      <c r="B10676" t="s">
        <v>37</v>
      </c>
      <c r="C10676" t="s">
        <v>36</v>
      </c>
      <c r="D10676">
        <v>36</v>
      </c>
    </row>
    <row r="10677" spans="1:4" ht="15.75" customHeight="1">
      <c r="A10677" t="s">
        <v>1533</v>
      </c>
      <c r="B10677" t="s">
        <v>37</v>
      </c>
      <c r="C10677" t="s">
        <v>36</v>
      </c>
      <c r="D10677">
        <v>36</v>
      </c>
    </row>
    <row r="10678" spans="1:4" ht="15.75" customHeight="1">
      <c r="A10678" t="s">
        <v>1565</v>
      </c>
      <c r="B10678" t="s">
        <v>37</v>
      </c>
      <c r="C10678" t="s">
        <v>36</v>
      </c>
      <c r="D10678">
        <v>35</v>
      </c>
    </row>
    <row r="10679" spans="1:4" ht="15.75" customHeight="1">
      <c r="A10679" t="s">
        <v>3770</v>
      </c>
      <c r="B10679" t="s">
        <v>37</v>
      </c>
      <c r="C10679" t="s">
        <v>36</v>
      </c>
      <c r="D10679">
        <v>33</v>
      </c>
    </row>
    <row r="10680" spans="1:4" ht="15.75" customHeight="1">
      <c r="A10680" t="s">
        <v>4900</v>
      </c>
      <c r="B10680" t="s">
        <v>37</v>
      </c>
      <c r="C10680" t="s">
        <v>36</v>
      </c>
      <c r="D10680">
        <v>33</v>
      </c>
    </row>
    <row r="10681" spans="1:4" ht="15.75" customHeight="1">
      <c r="A10681" t="s">
        <v>4464</v>
      </c>
      <c r="B10681" t="s">
        <v>37</v>
      </c>
      <c r="C10681" t="s">
        <v>36</v>
      </c>
      <c r="D10681">
        <v>31</v>
      </c>
    </row>
    <row r="10682" spans="1:4" ht="15.75" customHeight="1">
      <c r="A10682" t="s">
        <v>1825</v>
      </c>
      <c r="B10682" t="s">
        <v>37</v>
      </c>
      <c r="C10682" t="s">
        <v>36</v>
      </c>
      <c r="D10682">
        <v>31</v>
      </c>
    </row>
    <row r="10683" spans="1:4" ht="15.75" customHeight="1">
      <c r="A10683" t="s">
        <v>4440</v>
      </c>
      <c r="B10683" t="s">
        <v>37</v>
      </c>
      <c r="C10683" t="s">
        <v>36</v>
      </c>
      <c r="D10683">
        <v>30</v>
      </c>
    </row>
    <row r="10684" spans="1:4" ht="15.75" customHeight="1">
      <c r="A10684" t="s">
        <v>1567</v>
      </c>
      <c r="B10684" t="s">
        <v>37</v>
      </c>
      <c r="C10684" t="s">
        <v>36</v>
      </c>
      <c r="D10684">
        <v>30</v>
      </c>
    </row>
    <row r="10685" spans="1:4" ht="15.75" customHeight="1">
      <c r="A10685" t="s">
        <v>4876</v>
      </c>
      <c r="B10685" t="s">
        <v>37</v>
      </c>
      <c r="C10685" t="s">
        <v>36</v>
      </c>
      <c r="D10685">
        <v>30</v>
      </c>
    </row>
    <row r="10686" spans="1:4" ht="15.75" customHeight="1">
      <c r="A10686" t="s">
        <v>1575</v>
      </c>
      <c r="B10686" t="s">
        <v>37</v>
      </c>
      <c r="C10686" t="s">
        <v>36</v>
      </c>
      <c r="D10686">
        <v>30</v>
      </c>
    </row>
    <row r="10687" spans="1:4" ht="15.75" customHeight="1">
      <c r="A10687" t="s">
        <v>4474</v>
      </c>
      <c r="B10687" t="s">
        <v>37</v>
      </c>
      <c r="C10687" t="s">
        <v>36</v>
      </c>
      <c r="D10687">
        <v>30</v>
      </c>
    </row>
    <row r="10688" spans="1:4" ht="15.75" customHeight="1">
      <c r="A10688" t="s">
        <v>2928</v>
      </c>
      <c r="B10688" t="s">
        <v>37</v>
      </c>
      <c r="C10688" t="s">
        <v>36</v>
      </c>
      <c r="D10688">
        <v>27</v>
      </c>
    </row>
    <row r="10689" spans="1:4" ht="15.75" customHeight="1">
      <c r="A10689" t="s">
        <v>2305</v>
      </c>
      <c r="B10689" t="s">
        <v>37</v>
      </c>
      <c r="C10689" t="s">
        <v>36</v>
      </c>
      <c r="D10689">
        <v>27</v>
      </c>
    </row>
    <row r="10690" spans="1:4" ht="15.75" customHeight="1">
      <c r="A10690" t="s">
        <v>3741</v>
      </c>
      <c r="B10690" t="s">
        <v>37</v>
      </c>
      <c r="C10690" t="s">
        <v>36</v>
      </c>
      <c r="D10690">
        <v>26</v>
      </c>
    </row>
    <row r="10691" spans="1:4" ht="15.75" customHeight="1">
      <c r="A10691" t="s">
        <v>1551</v>
      </c>
      <c r="B10691" t="s">
        <v>37</v>
      </c>
      <c r="C10691" t="s">
        <v>36</v>
      </c>
      <c r="D10691">
        <v>25</v>
      </c>
    </row>
    <row r="10692" spans="1:4" ht="15.75" customHeight="1">
      <c r="A10692" t="s">
        <v>1531</v>
      </c>
      <c r="B10692" t="s">
        <v>37</v>
      </c>
      <c r="C10692" t="s">
        <v>36</v>
      </c>
      <c r="D10692">
        <v>24</v>
      </c>
    </row>
    <row r="10693" spans="1:4" ht="15.75" customHeight="1">
      <c r="A10693" t="s">
        <v>1815</v>
      </c>
      <c r="B10693" t="s">
        <v>37</v>
      </c>
      <c r="C10693" t="s">
        <v>36</v>
      </c>
      <c r="D10693">
        <v>24</v>
      </c>
    </row>
    <row r="10694" spans="1:4" ht="15.75" customHeight="1">
      <c r="A10694" t="s">
        <v>2371</v>
      </c>
      <c r="B10694" t="s">
        <v>37</v>
      </c>
      <c r="C10694" t="s">
        <v>36</v>
      </c>
      <c r="D10694">
        <v>24</v>
      </c>
    </row>
    <row r="10695" spans="1:4" ht="15.75" customHeight="1">
      <c r="A10695" t="s">
        <v>867</v>
      </c>
      <c r="B10695" t="s">
        <v>37</v>
      </c>
      <c r="C10695" t="s">
        <v>36</v>
      </c>
      <c r="D10695">
        <v>23</v>
      </c>
    </row>
    <row r="10696" spans="1:4" ht="15.75" customHeight="1">
      <c r="A10696" t="s">
        <v>3386</v>
      </c>
      <c r="B10696" t="s">
        <v>37</v>
      </c>
      <c r="C10696" t="s">
        <v>36</v>
      </c>
      <c r="D10696">
        <v>23</v>
      </c>
    </row>
    <row r="10697" spans="1:4" ht="15.75" customHeight="1">
      <c r="A10697" t="s">
        <v>1821</v>
      </c>
      <c r="B10697" t="s">
        <v>37</v>
      </c>
      <c r="C10697" t="s">
        <v>36</v>
      </c>
      <c r="D10697">
        <v>22</v>
      </c>
    </row>
    <row r="10698" spans="1:4" ht="15.75" customHeight="1">
      <c r="A10698" t="s">
        <v>3758</v>
      </c>
      <c r="B10698" t="s">
        <v>37</v>
      </c>
      <c r="C10698" t="s">
        <v>36</v>
      </c>
      <c r="D10698">
        <v>20</v>
      </c>
    </row>
    <row r="10699" spans="1:4" ht="15.75" customHeight="1">
      <c r="A10699" t="s">
        <v>2319</v>
      </c>
      <c r="B10699" t="s">
        <v>37</v>
      </c>
      <c r="C10699" t="s">
        <v>36</v>
      </c>
      <c r="D10699">
        <v>19</v>
      </c>
    </row>
    <row r="10700" spans="1:4" ht="15.75" customHeight="1">
      <c r="A10700" t="s">
        <v>4898</v>
      </c>
      <c r="B10700" t="s">
        <v>37</v>
      </c>
      <c r="C10700" t="s">
        <v>36</v>
      </c>
      <c r="D10700">
        <v>19</v>
      </c>
    </row>
    <row r="10701" spans="1:4" ht="15.75" customHeight="1">
      <c r="A10701" t="s">
        <v>4902</v>
      </c>
      <c r="B10701" t="s">
        <v>37</v>
      </c>
      <c r="C10701" t="s">
        <v>36</v>
      </c>
      <c r="D10701">
        <v>19</v>
      </c>
    </row>
    <row r="10702" spans="1:4" ht="15.75" customHeight="1">
      <c r="A10702" t="s">
        <v>3783</v>
      </c>
      <c r="B10702" t="s">
        <v>37</v>
      </c>
      <c r="C10702" t="s">
        <v>36</v>
      </c>
      <c r="D10702">
        <v>19</v>
      </c>
    </row>
    <row r="10703" spans="1:4" ht="15.75" customHeight="1">
      <c r="A10703" t="s">
        <v>3344</v>
      </c>
      <c r="B10703" t="s">
        <v>37</v>
      </c>
      <c r="C10703" t="s">
        <v>36</v>
      </c>
      <c r="D10703">
        <v>17</v>
      </c>
    </row>
    <row r="10704" spans="1:4" ht="15.75" customHeight="1">
      <c r="A10704" t="s">
        <v>3368</v>
      </c>
      <c r="B10704" t="s">
        <v>37</v>
      </c>
      <c r="C10704" t="s">
        <v>36</v>
      </c>
      <c r="D10704">
        <v>17</v>
      </c>
    </row>
    <row r="10705" spans="1:4" ht="15.75" customHeight="1">
      <c r="A10705" t="s">
        <v>3778</v>
      </c>
      <c r="B10705" t="s">
        <v>37</v>
      </c>
      <c r="C10705" t="s">
        <v>36</v>
      </c>
      <c r="D10705">
        <v>13</v>
      </c>
    </row>
    <row r="10706" spans="1:4" ht="15.75" customHeight="1">
      <c r="A10706" t="s">
        <v>3332</v>
      </c>
      <c r="B10706" t="s">
        <v>37</v>
      </c>
      <c r="C10706" t="s">
        <v>36</v>
      </c>
      <c r="D10706">
        <v>11</v>
      </c>
    </row>
    <row r="10707" spans="1:4" ht="15.75" customHeight="1">
      <c r="A10707" t="s">
        <v>4448</v>
      </c>
      <c r="B10707" t="s">
        <v>37</v>
      </c>
      <c r="C10707" t="s">
        <v>36</v>
      </c>
      <c r="D10707">
        <v>8</v>
      </c>
    </row>
    <row r="10708" spans="1:4" ht="15.75" customHeight="1">
      <c r="A10708" t="s">
        <v>3762</v>
      </c>
      <c r="B10708" t="s">
        <v>37</v>
      </c>
      <c r="C10708" t="s">
        <v>36</v>
      </c>
      <c r="D10708">
        <v>8</v>
      </c>
    </row>
    <row r="10709" spans="1:4" ht="15.75" customHeight="1">
      <c r="A10709" t="s">
        <v>3780</v>
      </c>
      <c r="B10709" t="s">
        <v>37</v>
      </c>
      <c r="C10709" t="s">
        <v>36</v>
      </c>
      <c r="D10709">
        <v>4</v>
      </c>
    </row>
    <row r="10710" spans="1:4" ht="15.75" customHeight="1">
      <c r="A10710" t="s">
        <v>719</v>
      </c>
      <c r="B10710" t="s">
        <v>37</v>
      </c>
      <c r="C10710" t="s">
        <v>38</v>
      </c>
      <c r="D10710">
        <v>482</v>
      </c>
    </row>
    <row r="10711" spans="1:4" ht="15.75" customHeight="1">
      <c r="A10711" t="s">
        <v>712</v>
      </c>
      <c r="B10711" t="s">
        <v>37</v>
      </c>
      <c r="C10711" t="s">
        <v>38</v>
      </c>
      <c r="D10711">
        <v>473</v>
      </c>
    </row>
    <row r="10712" spans="1:4" ht="15.75" customHeight="1">
      <c r="A10712" t="s">
        <v>822</v>
      </c>
      <c r="B10712" t="s">
        <v>37</v>
      </c>
      <c r="C10712" t="s">
        <v>38</v>
      </c>
      <c r="D10712">
        <v>472</v>
      </c>
    </row>
    <row r="10713" spans="1:4" ht="15.75" customHeight="1">
      <c r="A10713" t="s">
        <v>734</v>
      </c>
      <c r="B10713" t="s">
        <v>37</v>
      </c>
      <c r="C10713" t="s">
        <v>38</v>
      </c>
      <c r="D10713">
        <v>469</v>
      </c>
    </row>
    <row r="10714" spans="1:4" ht="15.75" customHeight="1">
      <c r="A10714" t="s">
        <v>724</v>
      </c>
      <c r="B10714" t="s">
        <v>37</v>
      </c>
      <c r="C10714" t="s">
        <v>38</v>
      </c>
      <c r="D10714">
        <v>453</v>
      </c>
    </row>
    <row r="10715" spans="1:4" ht="15.75" customHeight="1">
      <c r="A10715" t="s">
        <v>784</v>
      </c>
      <c r="B10715" t="s">
        <v>37</v>
      </c>
      <c r="C10715" t="s">
        <v>38</v>
      </c>
      <c r="D10715">
        <v>449</v>
      </c>
    </row>
    <row r="10716" spans="1:4" ht="15.75" customHeight="1">
      <c r="A10716" t="s">
        <v>727</v>
      </c>
      <c r="B10716" t="s">
        <v>37</v>
      </c>
      <c r="C10716" t="s">
        <v>38</v>
      </c>
      <c r="D10716">
        <v>448</v>
      </c>
    </row>
    <row r="10717" spans="1:4" ht="15.75" customHeight="1">
      <c r="A10717" t="s">
        <v>761</v>
      </c>
      <c r="B10717" t="s">
        <v>37</v>
      </c>
      <c r="C10717" t="s">
        <v>38</v>
      </c>
      <c r="D10717">
        <v>437</v>
      </c>
    </row>
    <row r="10718" spans="1:4" ht="15.75" customHeight="1">
      <c r="A10718" t="s">
        <v>1455</v>
      </c>
      <c r="B10718" t="s">
        <v>37</v>
      </c>
      <c r="C10718" t="s">
        <v>38</v>
      </c>
      <c r="D10718">
        <v>435</v>
      </c>
    </row>
    <row r="10719" spans="1:4" ht="15.75" customHeight="1">
      <c r="A10719" t="s">
        <v>835</v>
      </c>
      <c r="B10719" t="s">
        <v>37</v>
      </c>
      <c r="C10719" t="s">
        <v>38</v>
      </c>
      <c r="D10719">
        <v>435</v>
      </c>
    </row>
    <row r="10720" spans="1:4" ht="15.75" customHeight="1">
      <c r="A10720" t="s">
        <v>721</v>
      </c>
      <c r="B10720" t="s">
        <v>37</v>
      </c>
      <c r="C10720" t="s">
        <v>38</v>
      </c>
      <c r="D10720">
        <v>434</v>
      </c>
    </row>
    <row r="10721" spans="1:4" ht="15.75" customHeight="1">
      <c r="A10721" t="s">
        <v>738</v>
      </c>
      <c r="B10721" t="s">
        <v>37</v>
      </c>
      <c r="C10721" t="s">
        <v>38</v>
      </c>
      <c r="D10721">
        <v>433</v>
      </c>
    </row>
    <row r="10722" spans="1:4" ht="15.75" customHeight="1">
      <c r="A10722" t="s">
        <v>863</v>
      </c>
      <c r="B10722" t="s">
        <v>37</v>
      </c>
      <c r="C10722" t="s">
        <v>38</v>
      </c>
      <c r="D10722">
        <v>427</v>
      </c>
    </row>
    <row r="10723" spans="1:4" ht="15.75" customHeight="1">
      <c r="A10723" t="s">
        <v>802</v>
      </c>
      <c r="B10723" t="s">
        <v>37</v>
      </c>
      <c r="C10723" t="s">
        <v>38</v>
      </c>
      <c r="D10723">
        <v>426</v>
      </c>
    </row>
    <row r="10724" spans="1:4" ht="15.75" customHeight="1">
      <c r="A10724" t="s">
        <v>1492</v>
      </c>
      <c r="B10724" t="s">
        <v>37</v>
      </c>
      <c r="C10724" t="s">
        <v>38</v>
      </c>
      <c r="D10724">
        <v>402</v>
      </c>
    </row>
    <row r="10725" spans="1:4" ht="15.75" customHeight="1">
      <c r="A10725" t="s">
        <v>709</v>
      </c>
      <c r="B10725" t="s">
        <v>37</v>
      </c>
      <c r="C10725" t="s">
        <v>38</v>
      </c>
      <c r="D10725">
        <v>396</v>
      </c>
    </row>
    <row r="10726" spans="1:4" ht="15.75" customHeight="1">
      <c r="A10726" t="s">
        <v>2940</v>
      </c>
      <c r="B10726" t="s">
        <v>37</v>
      </c>
      <c r="C10726" t="s">
        <v>38</v>
      </c>
      <c r="D10726">
        <v>395</v>
      </c>
    </row>
    <row r="10727" spans="1:4" ht="15.75" customHeight="1">
      <c r="A10727" t="s">
        <v>754</v>
      </c>
      <c r="B10727" t="s">
        <v>37</v>
      </c>
      <c r="C10727" t="s">
        <v>38</v>
      </c>
      <c r="D10727">
        <v>394</v>
      </c>
    </row>
    <row r="10728" spans="1:4" ht="15.75" customHeight="1">
      <c r="A10728" t="s">
        <v>751</v>
      </c>
      <c r="B10728" t="s">
        <v>37</v>
      </c>
      <c r="C10728" t="s">
        <v>38</v>
      </c>
      <c r="D10728">
        <v>393</v>
      </c>
    </row>
    <row r="10729" spans="1:4" ht="15.75" customHeight="1">
      <c r="A10729" t="s">
        <v>891</v>
      </c>
      <c r="B10729" t="s">
        <v>37</v>
      </c>
      <c r="C10729" t="s">
        <v>38</v>
      </c>
      <c r="D10729">
        <v>393</v>
      </c>
    </row>
    <row r="10730" spans="1:4" ht="15.75" customHeight="1">
      <c r="A10730" t="s">
        <v>800</v>
      </c>
      <c r="B10730" t="s">
        <v>37</v>
      </c>
      <c r="C10730" t="s">
        <v>38</v>
      </c>
      <c r="D10730">
        <v>384</v>
      </c>
    </row>
    <row r="10731" spans="1:4" ht="15.75" customHeight="1">
      <c r="A10731" t="s">
        <v>2924</v>
      </c>
      <c r="B10731" t="s">
        <v>37</v>
      </c>
      <c r="C10731" t="s">
        <v>38</v>
      </c>
      <c r="D10731">
        <v>382</v>
      </c>
    </row>
    <row r="10732" spans="1:4" ht="15.75" customHeight="1">
      <c r="A10732" t="s">
        <v>765</v>
      </c>
      <c r="B10732" t="s">
        <v>37</v>
      </c>
      <c r="C10732" t="s">
        <v>38</v>
      </c>
      <c r="D10732">
        <v>381</v>
      </c>
    </row>
    <row r="10733" spans="1:4" ht="15.75" customHeight="1">
      <c r="A10733" t="s">
        <v>769</v>
      </c>
      <c r="B10733" t="s">
        <v>37</v>
      </c>
      <c r="C10733" t="s">
        <v>38</v>
      </c>
      <c r="D10733">
        <v>381</v>
      </c>
    </row>
    <row r="10734" spans="1:4" ht="15.75" customHeight="1">
      <c r="A10734" t="s">
        <v>736</v>
      </c>
      <c r="B10734" t="s">
        <v>37</v>
      </c>
      <c r="C10734" t="s">
        <v>38</v>
      </c>
      <c r="D10734">
        <v>381</v>
      </c>
    </row>
    <row r="10735" spans="1:4" ht="15.75" customHeight="1">
      <c r="A10735" t="s">
        <v>816</v>
      </c>
      <c r="B10735" t="s">
        <v>37</v>
      </c>
      <c r="C10735" t="s">
        <v>38</v>
      </c>
      <c r="D10735">
        <v>377</v>
      </c>
    </row>
    <row r="10736" spans="1:4" ht="15.75" customHeight="1">
      <c r="A10736" t="s">
        <v>1807</v>
      </c>
      <c r="B10736" t="s">
        <v>37</v>
      </c>
      <c r="C10736" t="s">
        <v>38</v>
      </c>
      <c r="D10736">
        <v>376</v>
      </c>
    </row>
    <row r="10737" spans="1:4" ht="15.75" customHeight="1">
      <c r="A10737" t="s">
        <v>746</v>
      </c>
      <c r="B10737" t="s">
        <v>37</v>
      </c>
      <c r="C10737" t="s">
        <v>38</v>
      </c>
      <c r="D10737">
        <v>375</v>
      </c>
    </row>
    <row r="10738" spans="1:4" ht="15.75" customHeight="1">
      <c r="A10738" t="s">
        <v>1471</v>
      </c>
      <c r="B10738" t="s">
        <v>37</v>
      </c>
      <c r="C10738" t="s">
        <v>38</v>
      </c>
      <c r="D10738">
        <v>374</v>
      </c>
    </row>
    <row r="10739" spans="1:4" ht="15.75" customHeight="1">
      <c r="A10739" t="s">
        <v>889</v>
      </c>
      <c r="B10739" t="s">
        <v>37</v>
      </c>
      <c r="C10739" t="s">
        <v>38</v>
      </c>
      <c r="D10739">
        <v>372</v>
      </c>
    </row>
    <row r="10740" spans="1:4" ht="15.75" customHeight="1">
      <c r="A10740" t="s">
        <v>831</v>
      </c>
      <c r="B10740" t="s">
        <v>37</v>
      </c>
      <c r="C10740" t="s">
        <v>38</v>
      </c>
      <c r="D10740">
        <v>369</v>
      </c>
    </row>
    <row r="10741" spans="1:4" ht="15.75" customHeight="1">
      <c r="A10741" t="s">
        <v>837</v>
      </c>
      <c r="B10741" t="s">
        <v>37</v>
      </c>
      <c r="C10741" t="s">
        <v>38</v>
      </c>
      <c r="D10741">
        <v>368</v>
      </c>
    </row>
    <row r="10742" spans="1:4" ht="15.75" customHeight="1">
      <c r="A10742" t="s">
        <v>744</v>
      </c>
      <c r="B10742" t="s">
        <v>37</v>
      </c>
      <c r="C10742" t="s">
        <v>38</v>
      </c>
      <c r="D10742">
        <v>367</v>
      </c>
    </row>
    <row r="10743" spans="1:4" ht="15.75" customHeight="1">
      <c r="A10743" t="s">
        <v>2353</v>
      </c>
      <c r="B10743" t="s">
        <v>37</v>
      </c>
      <c r="C10743" t="s">
        <v>38</v>
      </c>
      <c r="D10743">
        <v>363</v>
      </c>
    </row>
    <row r="10744" spans="1:4" ht="15.75" customHeight="1">
      <c r="A10744" t="s">
        <v>778</v>
      </c>
      <c r="B10744" t="s">
        <v>37</v>
      </c>
      <c r="C10744" t="s">
        <v>38</v>
      </c>
      <c r="D10744">
        <v>362</v>
      </c>
    </row>
    <row r="10745" spans="1:4" ht="15.75" customHeight="1">
      <c r="A10745" t="s">
        <v>1819</v>
      </c>
      <c r="B10745" t="s">
        <v>37</v>
      </c>
      <c r="C10745" t="s">
        <v>38</v>
      </c>
      <c r="D10745">
        <v>361</v>
      </c>
    </row>
    <row r="10746" spans="1:4" ht="15.75" customHeight="1">
      <c r="A10746" t="s">
        <v>2906</v>
      </c>
      <c r="B10746" t="s">
        <v>37</v>
      </c>
      <c r="C10746" t="s">
        <v>38</v>
      </c>
      <c r="D10746">
        <v>360</v>
      </c>
    </row>
    <row r="10747" spans="1:4" ht="15.75" customHeight="1">
      <c r="A10747" t="s">
        <v>776</v>
      </c>
      <c r="B10747" t="s">
        <v>37</v>
      </c>
      <c r="C10747" t="s">
        <v>38</v>
      </c>
      <c r="D10747">
        <v>359</v>
      </c>
    </row>
    <row r="10748" spans="1:4" ht="15.75" customHeight="1">
      <c r="A10748" t="s">
        <v>782</v>
      </c>
      <c r="B10748" t="s">
        <v>37</v>
      </c>
      <c r="C10748" t="s">
        <v>38</v>
      </c>
      <c r="D10748">
        <v>356</v>
      </c>
    </row>
    <row r="10749" spans="1:4" ht="15.75" customHeight="1">
      <c r="A10749" t="s">
        <v>1473</v>
      </c>
      <c r="B10749" t="s">
        <v>37</v>
      </c>
      <c r="C10749" t="s">
        <v>38</v>
      </c>
      <c r="D10749">
        <v>354</v>
      </c>
    </row>
    <row r="10750" spans="1:4" ht="15.75" customHeight="1">
      <c r="A10750" t="s">
        <v>1557</v>
      </c>
      <c r="B10750" t="s">
        <v>37</v>
      </c>
      <c r="C10750" t="s">
        <v>38</v>
      </c>
      <c r="D10750">
        <v>353</v>
      </c>
    </row>
    <row r="10751" spans="1:4" ht="15.75" customHeight="1">
      <c r="A10751" t="s">
        <v>740</v>
      </c>
      <c r="B10751" t="s">
        <v>37</v>
      </c>
      <c r="C10751" t="s">
        <v>38</v>
      </c>
      <c r="D10751">
        <v>352</v>
      </c>
    </row>
    <row r="10752" spans="1:4" ht="15.75" customHeight="1">
      <c r="A10752" t="s">
        <v>796</v>
      </c>
      <c r="B10752" t="s">
        <v>37</v>
      </c>
      <c r="C10752" t="s">
        <v>38</v>
      </c>
      <c r="D10752">
        <v>350</v>
      </c>
    </row>
    <row r="10753" spans="1:4" ht="15.75" customHeight="1">
      <c r="A10753" t="s">
        <v>919</v>
      </c>
      <c r="B10753" t="s">
        <v>37</v>
      </c>
      <c r="C10753" t="s">
        <v>38</v>
      </c>
      <c r="D10753">
        <v>346</v>
      </c>
    </row>
    <row r="10754" spans="1:4" ht="15.75" customHeight="1">
      <c r="A10754" t="s">
        <v>3384</v>
      </c>
      <c r="B10754" t="s">
        <v>37</v>
      </c>
      <c r="C10754" t="s">
        <v>38</v>
      </c>
      <c r="D10754">
        <v>345</v>
      </c>
    </row>
    <row r="10755" spans="1:4" ht="15.75" customHeight="1">
      <c r="A10755" t="s">
        <v>756</v>
      </c>
      <c r="B10755" t="s">
        <v>37</v>
      </c>
      <c r="C10755" t="s">
        <v>38</v>
      </c>
      <c r="D10755">
        <v>344</v>
      </c>
    </row>
    <row r="10756" spans="1:4" ht="15.75" customHeight="1">
      <c r="A10756" s="7" t="s">
        <v>790</v>
      </c>
      <c r="B10756" t="s">
        <v>37</v>
      </c>
      <c r="C10756" t="s">
        <v>38</v>
      </c>
      <c r="D10756">
        <v>342</v>
      </c>
    </row>
    <row r="10757" spans="1:4" ht="15.75" customHeight="1">
      <c r="A10757" t="s">
        <v>814</v>
      </c>
      <c r="B10757" t="s">
        <v>37</v>
      </c>
      <c r="C10757" t="s">
        <v>38</v>
      </c>
      <c r="D10757">
        <v>335</v>
      </c>
    </row>
    <row r="10758" spans="1:4" ht="15.75" customHeight="1">
      <c r="A10758" t="s">
        <v>788</v>
      </c>
      <c r="B10758" t="s">
        <v>37</v>
      </c>
      <c r="C10758" t="s">
        <v>38</v>
      </c>
      <c r="D10758">
        <v>331</v>
      </c>
    </row>
    <row r="10759" spans="1:4" ht="15.75" customHeight="1">
      <c r="A10759" t="s">
        <v>873</v>
      </c>
      <c r="B10759" t="s">
        <v>37</v>
      </c>
      <c r="C10759" t="s">
        <v>38</v>
      </c>
      <c r="D10759">
        <v>330</v>
      </c>
    </row>
    <row r="10760" spans="1:4" ht="15.75" customHeight="1">
      <c r="A10760" t="s">
        <v>840</v>
      </c>
      <c r="B10760" t="s">
        <v>37</v>
      </c>
      <c r="C10760" t="s">
        <v>38</v>
      </c>
      <c r="D10760">
        <v>328</v>
      </c>
    </row>
    <row r="10761" spans="1:4" ht="15.75" customHeight="1">
      <c r="A10761" t="s">
        <v>820</v>
      </c>
      <c r="B10761" t="s">
        <v>37</v>
      </c>
      <c r="C10761" t="s">
        <v>38</v>
      </c>
      <c r="D10761">
        <v>326</v>
      </c>
    </row>
    <row r="10762" spans="1:4" ht="15.75" customHeight="1">
      <c r="A10762" t="s">
        <v>909</v>
      </c>
      <c r="B10762" t="s">
        <v>37</v>
      </c>
      <c r="C10762" t="s">
        <v>38</v>
      </c>
      <c r="D10762">
        <v>325</v>
      </c>
    </row>
    <row r="10763" spans="1:4" ht="15.75" customHeight="1">
      <c r="A10763" t="s">
        <v>763</v>
      </c>
      <c r="B10763" t="s">
        <v>37</v>
      </c>
      <c r="C10763" t="s">
        <v>38</v>
      </c>
      <c r="D10763">
        <v>325</v>
      </c>
    </row>
    <row r="10764" spans="1:4" ht="15.75" customHeight="1">
      <c r="A10764" t="s">
        <v>1461</v>
      </c>
      <c r="B10764" t="s">
        <v>37</v>
      </c>
      <c r="C10764" t="s">
        <v>38</v>
      </c>
      <c r="D10764">
        <v>324</v>
      </c>
    </row>
    <row r="10765" spans="1:4" ht="15.75" customHeight="1">
      <c r="A10765" t="s">
        <v>732</v>
      </c>
      <c r="B10765" t="s">
        <v>37</v>
      </c>
      <c r="C10765" t="s">
        <v>38</v>
      </c>
      <c r="D10765">
        <v>322</v>
      </c>
    </row>
    <row r="10766" spans="1:4" ht="15.75" customHeight="1">
      <c r="A10766" t="s">
        <v>804</v>
      </c>
      <c r="B10766" t="s">
        <v>37</v>
      </c>
      <c r="C10766" t="s">
        <v>38</v>
      </c>
      <c r="D10766">
        <v>321</v>
      </c>
    </row>
    <row r="10767" spans="1:4" ht="15.75" customHeight="1">
      <c r="A10767" t="s">
        <v>2898</v>
      </c>
      <c r="B10767" t="s">
        <v>37</v>
      </c>
      <c r="C10767" t="s">
        <v>38</v>
      </c>
      <c r="D10767">
        <v>320</v>
      </c>
    </row>
    <row r="10768" spans="1:4" ht="15.75" customHeight="1">
      <c r="A10768" t="s">
        <v>780</v>
      </c>
      <c r="B10768" t="s">
        <v>37</v>
      </c>
      <c r="C10768" t="s">
        <v>38</v>
      </c>
      <c r="D10768">
        <v>318</v>
      </c>
    </row>
    <row r="10769" spans="1:4" ht="15.75" customHeight="1">
      <c r="A10769" t="s">
        <v>706</v>
      </c>
      <c r="B10769" t="s">
        <v>37</v>
      </c>
      <c r="C10769" t="s">
        <v>38</v>
      </c>
      <c r="D10769">
        <v>318</v>
      </c>
    </row>
    <row r="10770" spans="1:4" ht="15.75" customHeight="1">
      <c r="A10770" t="s">
        <v>792</v>
      </c>
      <c r="B10770" t="s">
        <v>37</v>
      </c>
      <c r="C10770" t="s">
        <v>38</v>
      </c>
      <c r="D10770">
        <v>314</v>
      </c>
    </row>
    <row r="10771" spans="1:4" ht="15.75" customHeight="1">
      <c r="A10771" t="s">
        <v>808</v>
      </c>
      <c r="B10771" t="s">
        <v>37</v>
      </c>
      <c r="C10771" t="s">
        <v>38</v>
      </c>
      <c r="D10771">
        <v>314</v>
      </c>
    </row>
    <row r="10772" spans="1:4" ht="15.75" customHeight="1">
      <c r="A10772" t="s">
        <v>826</v>
      </c>
      <c r="B10772" t="s">
        <v>37</v>
      </c>
      <c r="C10772" t="s">
        <v>38</v>
      </c>
      <c r="D10772">
        <v>313</v>
      </c>
    </row>
    <row r="10773" spans="1:4" ht="15.75" customHeight="1">
      <c r="A10773" t="s">
        <v>3772</v>
      </c>
      <c r="B10773" t="s">
        <v>37</v>
      </c>
      <c r="C10773" t="s">
        <v>38</v>
      </c>
      <c r="D10773">
        <v>309</v>
      </c>
    </row>
    <row r="10774" spans="1:4" ht="15.75" customHeight="1">
      <c r="A10774" t="s">
        <v>2877</v>
      </c>
      <c r="B10774" t="s">
        <v>37</v>
      </c>
      <c r="C10774" t="s">
        <v>38</v>
      </c>
      <c r="D10774">
        <v>305</v>
      </c>
    </row>
    <row r="10775" spans="1:4" ht="15.75" customHeight="1">
      <c r="A10775" t="s">
        <v>812</v>
      </c>
      <c r="B10775" t="s">
        <v>37</v>
      </c>
      <c r="C10775" t="s">
        <v>38</v>
      </c>
      <c r="D10775">
        <v>303</v>
      </c>
    </row>
    <row r="10776" spans="1:4" ht="15.75" customHeight="1">
      <c r="A10776" t="s">
        <v>2345</v>
      </c>
      <c r="B10776" t="s">
        <v>37</v>
      </c>
      <c r="C10776" t="s">
        <v>38</v>
      </c>
      <c r="D10776">
        <v>302</v>
      </c>
    </row>
    <row r="10777" spans="1:4" ht="15.75" customHeight="1">
      <c r="A10777" t="s">
        <v>2902</v>
      </c>
      <c r="B10777" t="s">
        <v>37</v>
      </c>
      <c r="C10777" t="s">
        <v>38</v>
      </c>
      <c r="D10777">
        <v>299</v>
      </c>
    </row>
    <row r="10778" spans="1:4" ht="15.75" customHeight="1">
      <c r="A10778" t="s">
        <v>877</v>
      </c>
      <c r="B10778" t="s">
        <v>37</v>
      </c>
      <c r="C10778" t="s">
        <v>38</v>
      </c>
      <c r="D10778">
        <v>297</v>
      </c>
    </row>
    <row r="10779" spans="1:4" ht="15.75" customHeight="1">
      <c r="A10779" t="s">
        <v>824</v>
      </c>
      <c r="B10779" t="s">
        <v>37</v>
      </c>
      <c r="C10779" t="s">
        <v>38</v>
      </c>
      <c r="D10779">
        <v>297</v>
      </c>
    </row>
    <row r="10780" spans="1:4" ht="15.75" customHeight="1">
      <c r="A10780" t="s">
        <v>1511</v>
      </c>
      <c r="B10780" t="s">
        <v>37</v>
      </c>
      <c r="C10780" t="s">
        <v>38</v>
      </c>
      <c r="D10780">
        <v>295</v>
      </c>
    </row>
    <row r="10781" spans="1:4" ht="15.75" customHeight="1">
      <c r="A10781" t="s">
        <v>1503</v>
      </c>
      <c r="B10781" t="s">
        <v>37</v>
      </c>
      <c r="C10781" t="s">
        <v>38</v>
      </c>
      <c r="D10781">
        <v>292</v>
      </c>
    </row>
    <row r="10782" spans="1:4" ht="15.75" customHeight="1">
      <c r="A10782" t="s">
        <v>3320</v>
      </c>
      <c r="B10782" t="s">
        <v>37</v>
      </c>
      <c r="C10782" t="s">
        <v>38</v>
      </c>
      <c r="D10782">
        <v>291</v>
      </c>
    </row>
    <row r="10783" spans="1:4" ht="15.75" customHeight="1">
      <c r="A10783" t="s">
        <v>828</v>
      </c>
      <c r="B10783" t="s">
        <v>37</v>
      </c>
      <c r="C10783" t="s">
        <v>38</v>
      </c>
      <c r="D10783">
        <v>291</v>
      </c>
    </row>
    <row r="10784" spans="1:4" ht="15.75" customHeight="1">
      <c r="A10784" t="s">
        <v>1537</v>
      </c>
      <c r="B10784" t="s">
        <v>37</v>
      </c>
      <c r="C10784" t="s">
        <v>38</v>
      </c>
      <c r="D10784">
        <v>288</v>
      </c>
    </row>
    <row r="10785" spans="1:4" ht="15.75" customHeight="1">
      <c r="A10785" t="s">
        <v>917</v>
      </c>
      <c r="B10785" t="s">
        <v>37</v>
      </c>
      <c r="C10785" t="s">
        <v>38</v>
      </c>
      <c r="D10785">
        <v>288</v>
      </c>
    </row>
    <row r="10786" spans="1:4" ht="15.75" customHeight="1">
      <c r="A10786" t="s">
        <v>875</v>
      </c>
      <c r="B10786" t="s">
        <v>37</v>
      </c>
      <c r="C10786" t="s">
        <v>38</v>
      </c>
      <c r="D10786">
        <v>286</v>
      </c>
    </row>
    <row r="10787" spans="1:4" ht="15.75" customHeight="1">
      <c r="A10787" t="s">
        <v>895</v>
      </c>
      <c r="B10787" t="s">
        <v>37</v>
      </c>
      <c r="C10787" t="s">
        <v>38</v>
      </c>
      <c r="D10787">
        <v>284</v>
      </c>
    </row>
    <row r="10788" spans="1:4" ht="15.75" customHeight="1">
      <c r="A10788" t="s">
        <v>3318</v>
      </c>
      <c r="B10788" t="s">
        <v>37</v>
      </c>
      <c r="C10788" t="s">
        <v>38</v>
      </c>
      <c r="D10788">
        <v>283</v>
      </c>
    </row>
    <row r="10789" spans="1:4" ht="15.75" customHeight="1">
      <c r="A10789" t="s">
        <v>2361</v>
      </c>
      <c r="B10789" t="s">
        <v>37</v>
      </c>
      <c r="C10789" t="s">
        <v>38</v>
      </c>
      <c r="D10789">
        <v>283</v>
      </c>
    </row>
    <row r="10790" spans="1:4" ht="15.75" customHeight="1">
      <c r="A10790" t="s">
        <v>883</v>
      </c>
      <c r="B10790" t="s">
        <v>37</v>
      </c>
      <c r="C10790" t="s">
        <v>38</v>
      </c>
      <c r="D10790">
        <v>283</v>
      </c>
    </row>
    <row r="10791" spans="1:4" ht="15.75" customHeight="1">
      <c r="A10791" t="s">
        <v>887</v>
      </c>
      <c r="B10791" t="s">
        <v>37</v>
      </c>
      <c r="C10791" t="s">
        <v>38</v>
      </c>
      <c r="D10791">
        <v>282</v>
      </c>
    </row>
    <row r="10792" spans="1:4" ht="15.75" customHeight="1">
      <c r="A10792" t="s">
        <v>905</v>
      </c>
      <c r="B10792" t="s">
        <v>37</v>
      </c>
      <c r="C10792" t="s">
        <v>38</v>
      </c>
      <c r="D10792">
        <v>281</v>
      </c>
    </row>
    <row r="10793" spans="1:4" ht="15.75" customHeight="1">
      <c r="A10793" t="s">
        <v>859</v>
      </c>
      <c r="B10793" t="s">
        <v>37</v>
      </c>
      <c r="C10793" t="s">
        <v>38</v>
      </c>
      <c r="D10793">
        <v>280</v>
      </c>
    </row>
    <row r="10794" spans="1:4" ht="15.75" customHeight="1">
      <c r="A10794" t="s">
        <v>907</v>
      </c>
      <c r="B10794" t="s">
        <v>37</v>
      </c>
      <c r="C10794" t="s">
        <v>38</v>
      </c>
      <c r="D10794">
        <v>278</v>
      </c>
    </row>
    <row r="10795" spans="1:4" ht="15.75" customHeight="1">
      <c r="A10795" t="s">
        <v>1517</v>
      </c>
      <c r="B10795" t="s">
        <v>37</v>
      </c>
      <c r="C10795" t="s">
        <v>38</v>
      </c>
      <c r="D10795">
        <v>278</v>
      </c>
    </row>
    <row r="10796" spans="1:4" ht="15.75" customHeight="1">
      <c r="A10796" t="s">
        <v>1563</v>
      </c>
      <c r="B10796" t="s">
        <v>37</v>
      </c>
      <c r="C10796" t="s">
        <v>38</v>
      </c>
      <c r="D10796">
        <v>277</v>
      </c>
    </row>
    <row r="10797" spans="1:4" ht="15.75" customHeight="1">
      <c r="A10797" t="s">
        <v>2315</v>
      </c>
      <c r="B10797" t="s">
        <v>37</v>
      </c>
      <c r="C10797" t="s">
        <v>38</v>
      </c>
      <c r="D10797">
        <v>277</v>
      </c>
    </row>
    <row r="10798" spans="1:4" ht="15.75" customHeight="1">
      <c r="A10798" t="s">
        <v>767</v>
      </c>
      <c r="B10798" t="s">
        <v>37</v>
      </c>
      <c r="C10798" t="s">
        <v>38</v>
      </c>
      <c r="D10798">
        <v>277</v>
      </c>
    </row>
    <row r="10799" spans="1:4" ht="15.75" customHeight="1">
      <c r="A10799" t="s">
        <v>2936</v>
      </c>
      <c r="B10799" t="s">
        <v>37</v>
      </c>
      <c r="C10799" t="s">
        <v>38</v>
      </c>
      <c r="D10799">
        <v>277</v>
      </c>
    </row>
    <row r="10800" spans="1:4" ht="15.75" customHeight="1">
      <c r="A10800" t="s">
        <v>842</v>
      </c>
      <c r="B10800" t="s">
        <v>37</v>
      </c>
      <c r="C10800" t="s">
        <v>38</v>
      </c>
      <c r="D10800">
        <v>276</v>
      </c>
    </row>
    <row r="10801" spans="1:4" ht="15.75" customHeight="1">
      <c r="A10801" t="s">
        <v>1521</v>
      </c>
      <c r="B10801" t="s">
        <v>37</v>
      </c>
      <c r="C10801" t="s">
        <v>38</v>
      </c>
      <c r="D10801">
        <v>276</v>
      </c>
    </row>
    <row r="10802" spans="1:4" ht="15.75" customHeight="1">
      <c r="A10802" t="s">
        <v>2926</v>
      </c>
      <c r="B10802" t="s">
        <v>37</v>
      </c>
      <c r="C10802" t="s">
        <v>38</v>
      </c>
      <c r="D10802">
        <v>276</v>
      </c>
    </row>
    <row r="10803" spans="1:4" ht="15.75" customHeight="1">
      <c r="A10803" t="s">
        <v>4872</v>
      </c>
      <c r="B10803" t="s">
        <v>37</v>
      </c>
      <c r="C10803" t="s">
        <v>38</v>
      </c>
      <c r="D10803">
        <v>275</v>
      </c>
    </row>
    <row r="10804" spans="1:4" ht="15.75" customHeight="1">
      <c r="A10804" t="s">
        <v>899</v>
      </c>
      <c r="B10804" t="s">
        <v>37</v>
      </c>
      <c r="C10804" t="s">
        <v>38</v>
      </c>
      <c r="D10804">
        <v>272</v>
      </c>
    </row>
    <row r="10805" spans="1:4" ht="15.75" customHeight="1">
      <c r="A10805" t="s">
        <v>833</v>
      </c>
      <c r="B10805" t="s">
        <v>37</v>
      </c>
      <c r="C10805" t="s">
        <v>38</v>
      </c>
      <c r="D10805">
        <v>272</v>
      </c>
    </row>
    <row r="10806" spans="1:4" ht="15.75" customHeight="1">
      <c r="A10806" t="s">
        <v>4851</v>
      </c>
      <c r="B10806" t="s">
        <v>37</v>
      </c>
      <c r="C10806" t="s">
        <v>38</v>
      </c>
      <c r="D10806">
        <v>270</v>
      </c>
    </row>
    <row r="10807" spans="1:4" ht="15.75" customHeight="1">
      <c r="A10807" t="s">
        <v>4178</v>
      </c>
      <c r="B10807" t="s">
        <v>37</v>
      </c>
      <c r="C10807" t="s">
        <v>38</v>
      </c>
      <c r="D10807">
        <v>270</v>
      </c>
    </row>
    <row r="10808" spans="1:4" ht="15.75" customHeight="1">
      <c r="A10808" t="s">
        <v>1479</v>
      </c>
      <c r="B10808" t="s">
        <v>37</v>
      </c>
      <c r="C10808" t="s">
        <v>38</v>
      </c>
      <c r="D10808">
        <v>269</v>
      </c>
    </row>
    <row r="10809" spans="1:4" ht="15.75" customHeight="1">
      <c r="A10809" t="s">
        <v>2934</v>
      </c>
      <c r="B10809" t="s">
        <v>37</v>
      </c>
      <c r="C10809" t="s">
        <v>38</v>
      </c>
      <c r="D10809">
        <v>268</v>
      </c>
    </row>
    <row r="10810" spans="1:4" ht="15.75" customHeight="1">
      <c r="A10810" t="s">
        <v>806</v>
      </c>
      <c r="B10810" t="s">
        <v>37</v>
      </c>
      <c r="C10810" t="s">
        <v>38</v>
      </c>
      <c r="D10810">
        <v>266</v>
      </c>
    </row>
    <row r="10811" spans="1:4" ht="15.75" customHeight="1">
      <c r="A10811" t="s">
        <v>3356</v>
      </c>
      <c r="B10811" t="s">
        <v>37</v>
      </c>
      <c r="C10811" t="s">
        <v>38</v>
      </c>
      <c r="D10811">
        <v>266</v>
      </c>
    </row>
    <row r="10812" spans="1:4" ht="15.75" customHeight="1">
      <c r="A10812" t="s">
        <v>4450</v>
      </c>
      <c r="B10812" t="s">
        <v>37</v>
      </c>
      <c r="C10812" t="s">
        <v>38</v>
      </c>
      <c r="D10812">
        <v>265</v>
      </c>
    </row>
    <row r="10813" spans="1:4" ht="15.75" customHeight="1">
      <c r="A10813" t="s">
        <v>1545</v>
      </c>
      <c r="B10813" t="s">
        <v>37</v>
      </c>
      <c r="C10813" t="s">
        <v>38</v>
      </c>
      <c r="D10813">
        <v>262</v>
      </c>
    </row>
    <row r="10814" spans="1:4" ht="15.75" customHeight="1">
      <c r="A10814" t="s">
        <v>2882</v>
      </c>
      <c r="B10814" t="s">
        <v>37</v>
      </c>
      <c r="C10814" t="s">
        <v>38</v>
      </c>
      <c r="D10814">
        <v>261</v>
      </c>
    </row>
    <row r="10815" spans="1:4" ht="15.75" customHeight="1">
      <c r="A10815" t="s">
        <v>1553</v>
      </c>
      <c r="B10815" t="s">
        <v>37</v>
      </c>
      <c r="C10815" t="s">
        <v>38</v>
      </c>
      <c r="D10815">
        <v>261</v>
      </c>
    </row>
    <row r="10816" spans="1:4" ht="15.75" customHeight="1">
      <c r="A10816" t="s">
        <v>2367</v>
      </c>
      <c r="B10816" t="s">
        <v>37</v>
      </c>
      <c r="C10816" t="s">
        <v>38</v>
      </c>
      <c r="D10816">
        <v>260</v>
      </c>
    </row>
    <row r="10817" spans="1:4" ht="15.75" customHeight="1">
      <c r="A10817" t="s">
        <v>869</v>
      </c>
      <c r="B10817" t="s">
        <v>37</v>
      </c>
      <c r="C10817" t="s">
        <v>38</v>
      </c>
      <c r="D10817">
        <v>258</v>
      </c>
    </row>
    <row r="10818" spans="1:4" ht="15.75" customHeight="1">
      <c r="A10818" t="s">
        <v>2943</v>
      </c>
      <c r="B10818" t="s">
        <v>37</v>
      </c>
      <c r="C10818" t="s">
        <v>38</v>
      </c>
      <c r="D10818">
        <v>255</v>
      </c>
    </row>
    <row r="10819" spans="1:4" ht="15.75" customHeight="1">
      <c r="A10819" t="s">
        <v>2894</v>
      </c>
      <c r="B10819" t="s">
        <v>37</v>
      </c>
      <c r="C10819" t="s">
        <v>38</v>
      </c>
      <c r="D10819">
        <v>254</v>
      </c>
    </row>
    <row r="10820" spans="1:4" ht="15.75" customHeight="1">
      <c r="A10820" t="s">
        <v>794</v>
      </c>
      <c r="B10820" t="s">
        <v>37</v>
      </c>
      <c r="C10820" t="s">
        <v>38</v>
      </c>
      <c r="D10820">
        <v>253</v>
      </c>
    </row>
    <row r="10821" spans="1:4" ht="15.75" customHeight="1">
      <c r="A10821" t="s">
        <v>2930</v>
      </c>
      <c r="B10821" t="s">
        <v>37</v>
      </c>
      <c r="C10821" t="s">
        <v>38</v>
      </c>
      <c r="D10821">
        <v>253</v>
      </c>
    </row>
    <row r="10822" spans="1:4" ht="15.75" customHeight="1">
      <c r="A10822" t="s">
        <v>893</v>
      </c>
      <c r="B10822" t="s">
        <v>37</v>
      </c>
      <c r="C10822" t="s">
        <v>38</v>
      </c>
      <c r="D10822">
        <v>251</v>
      </c>
    </row>
    <row r="10823" spans="1:4" ht="15.75" customHeight="1">
      <c r="A10823" t="s">
        <v>2896</v>
      </c>
      <c r="B10823" t="s">
        <v>37</v>
      </c>
      <c r="C10823" t="s">
        <v>38</v>
      </c>
      <c r="D10823">
        <v>251</v>
      </c>
    </row>
    <row r="10824" spans="1:4" ht="15.75" customHeight="1">
      <c r="A10824" t="s">
        <v>2359</v>
      </c>
      <c r="B10824" t="s">
        <v>37</v>
      </c>
      <c r="C10824" t="s">
        <v>38</v>
      </c>
      <c r="D10824">
        <v>249</v>
      </c>
    </row>
    <row r="10825" spans="1:4" ht="15.75" customHeight="1">
      <c r="A10825" t="s">
        <v>3398</v>
      </c>
      <c r="B10825" t="s">
        <v>37</v>
      </c>
      <c r="C10825" t="s">
        <v>38</v>
      </c>
      <c r="D10825">
        <v>249</v>
      </c>
    </row>
    <row r="10826" spans="1:4" ht="15.75" customHeight="1">
      <c r="A10826" t="s">
        <v>2373</v>
      </c>
      <c r="B10826" t="s">
        <v>37</v>
      </c>
      <c r="C10826" t="s">
        <v>38</v>
      </c>
      <c r="D10826">
        <v>248</v>
      </c>
    </row>
    <row r="10827" spans="1:4" ht="15.75" customHeight="1">
      <c r="A10827" t="s">
        <v>1535</v>
      </c>
      <c r="B10827" t="s">
        <v>37</v>
      </c>
      <c r="C10827" t="s">
        <v>38</v>
      </c>
      <c r="D10827">
        <v>248</v>
      </c>
    </row>
    <row r="10828" spans="1:4" ht="15.75" customHeight="1">
      <c r="A10828" t="s">
        <v>1519</v>
      </c>
      <c r="B10828" t="s">
        <v>37</v>
      </c>
      <c r="C10828" t="s">
        <v>38</v>
      </c>
      <c r="D10828">
        <v>248</v>
      </c>
    </row>
    <row r="10829" spans="1:4" ht="15.75" customHeight="1">
      <c r="A10829" t="s">
        <v>742</v>
      </c>
      <c r="B10829" t="s">
        <v>37</v>
      </c>
      <c r="C10829" t="s">
        <v>38</v>
      </c>
      <c r="D10829">
        <v>247</v>
      </c>
    </row>
    <row r="10830" spans="1:4" ht="15.75" customHeight="1">
      <c r="A10830" t="s">
        <v>865</v>
      </c>
      <c r="B10830" t="s">
        <v>37</v>
      </c>
      <c r="C10830" t="s">
        <v>38</v>
      </c>
      <c r="D10830">
        <v>247</v>
      </c>
    </row>
    <row r="10831" spans="1:4" ht="15.75" customHeight="1">
      <c r="A10831" t="s">
        <v>2908</v>
      </c>
      <c r="B10831" t="s">
        <v>37</v>
      </c>
      <c r="C10831" t="s">
        <v>38</v>
      </c>
      <c r="D10831">
        <v>246</v>
      </c>
    </row>
    <row r="10832" spans="1:4" ht="15.75" customHeight="1">
      <c r="A10832" t="s">
        <v>4174</v>
      </c>
      <c r="B10832" t="s">
        <v>37</v>
      </c>
      <c r="C10832" t="s">
        <v>38</v>
      </c>
      <c r="D10832">
        <v>245</v>
      </c>
    </row>
    <row r="10833" spans="1:4" ht="15.75" customHeight="1">
      <c r="A10833" t="s">
        <v>2914</v>
      </c>
      <c r="B10833" t="s">
        <v>37</v>
      </c>
      <c r="C10833" t="s">
        <v>38</v>
      </c>
      <c r="D10833">
        <v>244</v>
      </c>
    </row>
    <row r="10834" spans="1:4" ht="15.75" customHeight="1">
      <c r="A10834" t="s">
        <v>2283</v>
      </c>
      <c r="B10834" t="s">
        <v>37</v>
      </c>
      <c r="C10834" t="s">
        <v>38</v>
      </c>
      <c r="D10834">
        <v>244</v>
      </c>
    </row>
    <row r="10835" spans="1:4" ht="15.75" customHeight="1">
      <c r="A10835" t="s">
        <v>3348</v>
      </c>
      <c r="B10835" t="s">
        <v>37</v>
      </c>
      <c r="C10835" t="s">
        <v>38</v>
      </c>
      <c r="D10835">
        <v>243</v>
      </c>
    </row>
    <row r="10836" spans="1:4" ht="15.75" customHeight="1">
      <c r="A10836" t="s">
        <v>885</v>
      </c>
      <c r="B10836" t="s">
        <v>37</v>
      </c>
      <c r="C10836" t="s">
        <v>38</v>
      </c>
      <c r="D10836">
        <v>241</v>
      </c>
    </row>
    <row r="10837" spans="1:4" ht="15.75" customHeight="1">
      <c r="A10837" t="s">
        <v>1523</v>
      </c>
      <c r="B10837" t="s">
        <v>37</v>
      </c>
      <c r="C10837" t="s">
        <v>38</v>
      </c>
      <c r="D10837">
        <v>241</v>
      </c>
    </row>
    <row r="10838" spans="1:4" ht="15.75" customHeight="1">
      <c r="A10838" t="s">
        <v>2317</v>
      </c>
      <c r="B10838" t="s">
        <v>37</v>
      </c>
      <c r="C10838" t="s">
        <v>38</v>
      </c>
      <c r="D10838">
        <v>240</v>
      </c>
    </row>
    <row r="10839" spans="1:4" ht="15.75" customHeight="1">
      <c r="A10839" t="s">
        <v>2956</v>
      </c>
      <c r="B10839" t="s">
        <v>37</v>
      </c>
      <c r="C10839" t="s">
        <v>38</v>
      </c>
      <c r="D10839">
        <v>240</v>
      </c>
    </row>
    <row r="10840" spans="1:4" ht="15.75" customHeight="1">
      <c r="A10840" t="s">
        <v>774</v>
      </c>
      <c r="B10840" t="s">
        <v>37</v>
      </c>
      <c r="C10840" t="s">
        <v>38</v>
      </c>
      <c r="D10840">
        <v>239</v>
      </c>
    </row>
    <row r="10841" spans="1:4" ht="15.75" customHeight="1">
      <c r="A10841" t="s">
        <v>2325</v>
      </c>
      <c r="B10841" t="s">
        <v>37</v>
      </c>
      <c r="C10841" t="s">
        <v>38</v>
      </c>
      <c r="D10841">
        <v>236</v>
      </c>
    </row>
    <row r="10842" spans="1:4" ht="15.75" customHeight="1">
      <c r="A10842" t="s">
        <v>2910</v>
      </c>
      <c r="B10842" t="s">
        <v>37</v>
      </c>
      <c r="C10842" t="s">
        <v>38</v>
      </c>
      <c r="D10842">
        <v>232</v>
      </c>
    </row>
    <row r="10843" spans="1:4" ht="15.75" customHeight="1">
      <c r="A10843" t="s">
        <v>4880</v>
      </c>
      <c r="B10843" t="s">
        <v>37</v>
      </c>
      <c r="C10843" t="s">
        <v>38</v>
      </c>
      <c r="D10843">
        <v>231</v>
      </c>
    </row>
    <row r="10844" spans="1:4" ht="15.75" customHeight="1">
      <c r="A10844" t="s">
        <v>4193</v>
      </c>
      <c r="B10844" t="s">
        <v>37</v>
      </c>
      <c r="C10844" t="s">
        <v>38</v>
      </c>
      <c r="D10844">
        <v>231</v>
      </c>
    </row>
    <row r="10845" spans="1:4" ht="15.75" customHeight="1">
      <c r="A10845" t="s">
        <v>853</v>
      </c>
      <c r="B10845" t="s">
        <v>37</v>
      </c>
      <c r="C10845" t="s">
        <v>38</v>
      </c>
      <c r="D10845">
        <v>229</v>
      </c>
    </row>
    <row r="10846" spans="1:4" ht="15.75" customHeight="1">
      <c r="A10846" t="s">
        <v>4896</v>
      </c>
      <c r="B10846" t="s">
        <v>37</v>
      </c>
      <c r="C10846" t="s">
        <v>38</v>
      </c>
      <c r="D10846">
        <v>228</v>
      </c>
    </row>
    <row r="10847" spans="1:4" ht="15.75" customHeight="1">
      <c r="A10847" t="s">
        <v>851</v>
      </c>
      <c r="B10847" t="s">
        <v>37</v>
      </c>
      <c r="C10847" t="s">
        <v>38</v>
      </c>
      <c r="D10847">
        <v>227</v>
      </c>
    </row>
    <row r="10848" spans="1:4" ht="15.75" customHeight="1">
      <c r="A10848" t="s">
        <v>2958</v>
      </c>
      <c r="B10848" t="s">
        <v>37</v>
      </c>
      <c r="C10848" t="s">
        <v>38</v>
      </c>
      <c r="D10848">
        <v>224</v>
      </c>
    </row>
    <row r="10849" spans="1:4" ht="15.75" customHeight="1">
      <c r="A10849" t="s">
        <v>2331</v>
      </c>
      <c r="B10849" t="s">
        <v>37</v>
      </c>
      <c r="C10849" t="s">
        <v>38</v>
      </c>
      <c r="D10849">
        <v>224</v>
      </c>
    </row>
    <row r="10850" spans="1:4" ht="15.75" customHeight="1">
      <c r="A10850" t="s">
        <v>4159</v>
      </c>
      <c r="B10850" t="s">
        <v>37</v>
      </c>
      <c r="C10850" t="s">
        <v>38</v>
      </c>
      <c r="D10850">
        <v>224</v>
      </c>
    </row>
    <row r="10851" spans="1:4" ht="15.75" customHeight="1">
      <c r="A10851" t="s">
        <v>4150</v>
      </c>
      <c r="B10851" t="s">
        <v>37</v>
      </c>
      <c r="C10851" t="s">
        <v>38</v>
      </c>
      <c r="D10851">
        <v>224</v>
      </c>
    </row>
    <row r="10852" spans="1:4" ht="15.75" customHeight="1">
      <c r="A10852" t="s">
        <v>3342</v>
      </c>
      <c r="B10852" t="s">
        <v>37</v>
      </c>
      <c r="C10852" t="s">
        <v>38</v>
      </c>
      <c r="D10852">
        <v>223</v>
      </c>
    </row>
    <row r="10853" spans="1:4" ht="15.75" customHeight="1">
      <c r="A10853" t="s">
        <v>3364</v>
      </c>
      <c r="B10853" t="s">
        <v>37</v>
      </c>
      <c r="C10853" t="s">
        <v>38</v>
      </c>
      <c r="D10853">
        <v>223</v>
      </c>
    </row>
    <row r="10854" spans="1:4" ht="15.75" customHeight="1">
      <c r="A10854" t="s">
        <v>3785</v>
      </c>
      <c r="B10854" t="s">
        <v>37</v>
      </c>
      <c r="C10854" t="s">
        <v>38</v>
      </c>
      <c r="D10854">
        <v>223</v>
      </c>
    </row>
    <row r="10855" spans="1:4" ht="15.75" customHeight="1">
      <c r="A10855" t="s">
        <v>1539</v>
      </c>
      <c r="B10855" t="s">
        <v>37</v>
      </c>
      <c r="C10855" t="s">
        <v>38</v>
      </c>
      <c r="D10855">
        <v>222</v>
      </c>
    </row>
    <row r="10856" spans="1:4" ht="15.75" customHeight="1">
      <c r="A10856" t="s">
        <v>810</v>
      </c>
      <c r="B10856" t="s">
        <v>37</v>
      </c>
      <c r="C10856" t="s">
        <v>38</v>
      </c>
      <c r="D10856">
        <v>222</v>
      </c>
    </row>
    <row r="10857" spans="1:4" ht="15.75" customHeight="1">
      <c r="A10857" t="s">
        <v>4191</v>
      </c>
      <c r="B10857" t="s">
        <v>37</v>
      </c>
      <c r="C10857" t="s">
        <v>38</v>
      </c>
      <c r="D10857">
        <v>222</v>
      </c>
    </row>
    <row r="10858" spans="1:4" ht="15.75" customHeight="1">
      <c r="A10858" t="s">
        <v>4189</v>
      </c>
      <c r="B10858" t="s">
        <v>37</v>
      </c>
      <c r="C10858" t="s">
        <v>38</v>
      </c>
      <c r="D10858">
        <v>221</v>
      </c>
    </row>
    <row r="10859" spans="1:4" ht="15.75" customHeight="1">
      <c r="A10859" t="s">
        <v>2945</v>
      </c>
      <c r="B10859" t="s">
        <v>37</v>
      </c>
      <c r="C10859" t="s">
        <v>38</v>
      </c>
      <c r="D10859">
        <v>220</v>
      </c>
    </row>
    <row r="10860" spans="1:4" ht="15.75" customHeight="1">
      <c r="A10860" t="s">
        <v>2339</v>
      </c>
      <c r="B10860" t="s">
        <v>37</v>
      </c>
      <c r="C10860" t="s">
        <v>38</v>
      </c>
      <c r="D10860">
        <v>220</v>
      </c>
    </row>
    <row r="10861" spans="1:4" ht="15.75" customHeight="1">
      <c r="A10861" t="s">
        <v>2954</v>
      </c>
      <c r="B10861" t="s">
        <v>37</v>
      </c>
      <c r="C10861" t="s">
        <v>38</v>
      </c>
      <c r="D10861">
        <v>220</v>
      </c>
    </row>
    <row r="10862" spans="1:4" ht="15.75" customHeight="1">
      <c r="A10862" t="s">
        <v>4870</v>
      </c>
      <c r="B10862" t="s">
        <v>37</v>
      </c>
      <c r="C10862" t="s">
        <v>38</v>
      </c>
      <c r="D10862">
        <v>219</v>
      </c>
    </row>
    <row r="10863" spans="1:4" ht="15.75" customHeight="1">
      <c r="A10863" t="s">
        <v>2333</v>
      </c>
      <c r="B10863" t="s">
        <v>37</v>
      </c>
      <c r="C10863" t="s">
        <v>38</v>
      </c>
      <c r="D10863">
        <v>214</v>
      </c>
    </row>
    <row r="10864" spans="1:4" ht="15.75" customHeight="1">
      <c r="A10864" t="s">
        <v>2301</v>
      </c>
      <c r="B10864" t="s">
        <v>37</v>
      </c>
      <c r="C10864" t="s">
        <v>38</v>
      </c>
      <c r="D10864">
        <v>214</v>
      </c>
    </row>
    <row r="10865" spans="1:4" ht="15.75" customHeight="1">
      <c r="A10865" t="s">
        <v>2343</v>
      </c>
      <c r="B10865" t="s">
        <v>37</v>
      </c>
      <c r="C10865" t="s">
        <v>38</v>
      </c>
      <c r="D10865">
        <v>211</v>
      </c>
    </row>
    <row r="10866" spans="1:4" ht="15.75" customHeight="1">
      <c r="A10866" t="s">
        <v>2290</v>
      </c>
      <c r="B10866" t="s">
        <v>37</v>
      </c>
      <c r="C10866" t="s">
        <v>38</v>
      </c>
      <c r="D10866">
        <v>210</v>
      </c>
    </row>
    <row r="10867" spans="1:4" ht="15.75" customHeight="1">
      <c r="A10867" t="s">
        <v>4195</v>
      </c>
      <c r="B10867" t="s">
        <v>37</v>
      </c>
      <c r="C10867" t="s">
        <v>38</v>
      </c>
      <c r="D10867">
        <v>210</v>
      </c>
    </row>
    <row r="10868" spans="1:4" ht="15.75" customHeight="1">
      <c r="A10868" t="s">
        <v>2918</v>
      </c>
      <c r="B10868" t="s">
        <v>37</v>
      </c>
      <c r="C10868" t="s">
        <v>38</v>
      </c>
      <c r="D10868">
        <v>209</v>
      </c>
    </row>
    <row r="10869" spans="1:4" ht="15.75" customHeight="1">
      <c r="A10869" t="s">
        <v>2313</v>
      </c>
      <c r="B10869" t="s">
        <v>37</v>
      </c>
      <c r="C10869" t="s">
        <v>38</v>
      </c>
      <c r="D10869">
        <v>209</v>
      </c>
    </row>
    <row r="10870" spans="1:4" ht="15.75" customHeight="1">
      <c r="A10870" t="s">
        <v>2922</v>
      </c>
      <c r="B10870" t="s">
        <v>37</v>
      </c>
      <c r="C10870" t="s">
        <v>38</v>
      </c>
      <c r="D10870">
        <v>209</v>
      </c>
    </row>
    <row r="10871" spans="1:4" ht="15.75" customHeight="1">
      <c r="A10871" t="s">
        <v>1489</v>
      </c>
      <c r="B10871" t="s">
        <v>37</v>
      </c>
      <c r="C10871" t="s">
        <v>38</v>
      </c>
      <c r="D10871">
        <v>207</v>
      </c>
    </row>
    <row r="10872" spans="1:4" ht="15.75" customHeight="1">
      <c r="A10872" t="s">
        <v>911</v>
      </c>
      <c r="B10872" t="s">
        <v>37</v>
      </c>
      <c r="C10872" t="s">
        <v>38</v>
      </c>
      <c r="D10872">
        <v>207</v>
      </c>
    </row>
    <row r="10873" spans="1:4" ht="15.75" customHeight="1">
      <c r="A10873" t="s">
        <v>4170</v>
      </c>
      <c r="B10873" t="s">
        <v>37</v>
      </c>
      <c r="C10873" t="s">
        <v>38</v>
      </c>
      <c r="D10873">
        <v>206</v>
      </c>
    </row>
    <row r="10874" spans="1:4" ht="15.75" customHeight="1">
      <c r="A10874" t="s">
        <v>2932</v>
      </c>
      <c r="B10874" t="s">
        <v>37</v>
      </c>
      <c r="C10874" t="s">
        <v>38</v>
      </c>
      <c r="D10874">
        <v>206</v>
      </c>
    </row>
    <row r="10875" spans="1:4" ht="15.75" customHeight="1">
      <c r="A10875" t="s">
        <v>2347</v>
      </c>
      <c r="B10875" t="s">
        <v>37</v>
      </c>
      <c r="C10875" t="s">
        <v>38</v>
      </c>
      <c r="D10875">
        <v>205</v>
      </c>
    </row>
    <row r="10876" spans="1:4" ht="15.75" customHeight="1">
      <c r="A10876" t="s">
        <v>4207</v>
      </c>
      <c r="B10876" t="s">
        <v>37</v>
      </c>
      <c r="C10876" t="s">
        <v>38</v>
      </c>
      <c r="D10876">
        <v>205</v>
      </c>
    </row>
    <row r="10877" spans="1:4" ht="15.75" customHeight="1">
      <c r="A10877" t="s">
        <v>3402</v>
      </c>
      <c r="B10877" t="s">
        <v>37</v>
      </c>
      <c r="C10877" t="s">
        <v>38</v>
      </c>
      <c r="D10877">
        <v>205</v>
      </c>
    </row>
    <row r="10878" spans="1:4" ht="15.75" customHeight="1">
      <c r="A10878" t="s">
        <v>3396</v>
      </c>
      <c r="B10878" t="s">
        <v>37</v>
      </c>
      <c r="C10878" t="s">
        <v>38</v>
      </c>
      <c r="D10878">
        <v>204</v>
      </c>
    </row>
    <row r="10879" spans="1:4" ht="15.75" customHeight="1">
      <c r="A10879" t="s">
        <v>855</v>
      </c>
      <c r="B10879" t="s">
        <v>37</v>
      </c>
      <c r="C10879" t="s">
        <v>38</v>
      </c>
      <c r="D10879">
        <v>200</v>
      </c>
    </row>
    <row r="10880" spans="1:4" ht="15.75" customHeight="1">
      <c r="A10880" t="s">
        <v>3768</v>
      </c>
      <c r="B10880" t="s">
        <v>37</v>
      </c>
      <c r="C10880" t="s">
        <v>38</v>
      </c>
      <c r="D10880">
        <v>200</v>
      </c>
    </row>
    <row r="10881" spans="1:4" ht="15.75" customHeight="1">
      <c r="A10881" t="s">
        <v>2960</v>
      </c>
      <c r="B10881" t="s">
        <v>37</v>
      </c>
      <c r="C10881" t="s">
        <v>38</v>
      </c>
      <c r="D10881">
        <v>199</v>
      </c>
    </row>
    <row r="10882" spans="1:4" ht="15.75" customHeight="1">
      <c r="A10882" t="s">
        <v>3378</v>
      </c>
      <c r="B10882" t="s">
        <v>37</v>
      </c>
      <c r="C10882" t="s">
        <v>38</v>
      </c>
      <c r="D10882">
        <v>199</v>
      </c>
    </row>
    <row r="10883" spans="1:4" ht="15.75" customHeight="1">
      <c r="A10883" t="s">
        <v>2329</v>
      </c>
      <c r="B10883" t="s">
        <v>37</v>
      </c>
      <c r="C10883" t="s">
        <v>38</v>
      </c>
      <c r="D10883">
        <v>198</v>
      </c>
    </row>
    <row r="10884" spans="1:4" ht="15.75" customHeight="1">
      <c r="A10884" t="s">
        <v>2351</v>
      </c>
      <c r="B10884" t="s">
        <v>37</v>
      </c>
      <c r="C10884" t="s">
        <v>38</v>
      </c>
      <c r="D10884">
        <v>198</v>
      </c>
    </row>
    <row r="10885" spans="1:4" ht="15.75" customHeight="1">
      <c r="A10885" t="s">
        <v>849</v>
      </c>
      <c r="B10885" t="s">
        <v>37</v>
      </c>
      <c r="C10885" t="s">
        <v>38</v>
      </c>
      <c r="D10885">
        <v>198</v>
      </c>
    </row>
    <row r="10886" spans="1:4" ht="15.75" customHeight="1">
      <c r="A10886" t="s">
        <v>3372</v>
      </c>
      <c r="B10886" t="s">
        <v>37</v>
      </c>
      <c r="C10886" t="s">
        <v>38</v>
      </c>
      <c r="D10886">
        <v>196</v>
      </c>
    </row>
    <row r="10887" spans="1:4" ht="15.75" customHeight="1">
      <c r="A10887" t="s">
        <v>2296</v>
      </c>
      <c r="B10887" t="s">
        <v>37</v>
      </c>
      <c r="C10887" t="s">
        <v>38</v>
      </c>
      <c r="D10887">
        <v>196</v>
      </c>
    </row>
    <row r="10888" spans="1:4" ht="15.75" customHeight="1">
      <c r="A10888" t="s">
        <v>2307</v>
      </c>
      <c r="B10888" t="s">
        <v>37</v>
      </c>
      <c r="C10888" t="s">
        <v>38</v>
      </c>
      <c r="D10888">
        <v>195</v>
      </c>
    </row>
    <row r="10889" spans="1:4" ht="15.75" customHeight="1">
      <c r="A10889" t="s">
        <v>2950</v>
      </c>
      <c r="B10889" t="s">
        <v>37</v>
      </c>
      <c r="C10889" t="s">
        <v>38</v>
      </c>
      <c r="D10889">
        <v>195</v>
      </c>
    </row>
    <row r="10890" spans="1:4" ht="15.75" customHeight="1">
      <c r="A10890" t="s">
        <v>4163</v>
      </c>
      <c r="B10890" t="s">
        <v>37</v>
      </c>
      <c r="C10890" t="s">
        <v>38</v>
      </c>
      <c r="D10890">
        <v>193</v>
      </c>
    </row>
    <row r="10891" spans="1:4" ht="15.75" customHeight="1">
      <c r="A10891" t="s">
        <v>3745</v>
      </c>
      <c r="B10891" t="s">
        <v>37</v>
      </c>
      <c r="C10891" t="s">
        <v>38</v>
      </c>
      <c r="D10891">
        <v>192</v>
      </c>
    </row>
    <row r="10892" spans="1:4" ht="15.75" customHeight="1">
      <c r="A10892" t="s">
        <v>3358</v>
      </c>
      <c r="B10892" t="s">
        <v>37</v>
      </c>
      <c r="C10892" t="s">
        <v>38</v>
      </c>
      <c r="D10892">
        <v>192</v>
      </c>
    </row>
    <row r="10893" spans="1:4" ht="15.75" customHeight="1">
      <c r="A10893" t="s">
        <v>4884</v>
      </c>
      <c r="B10893" t="s">
        <v>37</v>
      </c>
      <c r="C10893" t="s">
        <v>38</v>
      </c>
      <c r="D10893">
        <v>190</v>
      </c>
    </row>
    <row r="10894" spans="1:4" ht="15.75" customHeight="1">
      <c r="A10894" t="s">
        <v>4172</v>
      </c>
      <c r="B10894" t="s">
        <v>37</v>
      </c>
      <c r="C10894" t="s">
        <v>38</v>
      </c>
      <c r="D10894">
        <v>189</v>
      </c>
    </row>
    <row r="10895" spans="1:4" ht="15.75" customHeight="1">
      <c r="A10895" t="s">
        <v>4165</v>
      </c>
      <c r="B10895" t="s">
        <v>37</v>
      </c>
      <c r="C10895" t="s">
        <v>38</v>
      </c>
      <c r="D10895">
        <v>189</v>
      </c>
    </row>
    <row r="10896" spans="1:4" ht="15.75" customHeight="1">
      <c r="A10896" t="s">
        <v>1529</v>
      </c>
      <c r="B10896" t="s">
        <v>37</v>
      </c>
      <c r="C10896" t="s">
        <v>38</v>
      </c>
      <c r="D10896">
        <v>186</v>
      </c>
    </row>
    <row r="10897" spans="1:4" ht="15.75" customHeight="1">
      <c r="A10897" t="s">
        <v>2298</v>
      </c>
      <c r="B10897" t="s">
        <v>37</v>
      </c>
      <c r="C10897" t="s">
        <v>38</v>
      </c>
      <c r="D10897">
        <v>185</v>
      </c>
    </row>
    <row r="10898" spans="1:4" ht="15.75" customHeight="1">
      <c r="A10898" t="s">
        <v>4210</v>
      </c>
      <c r="B10898" t="s">
        <v>37</v>
      </c>
      <c r="C10898" t="s">
        <v>38</v>
      </c>
      <c r="D10898">
        <v>183</v>
      </c>
    </row>
    <row r="10899" spans="1:4" ht="15.75" customHeight="1">
      <c r="A10899" t="s">
        <v>4470</v>
      </c>
      <c r="B10899" t="s">
        <v>37</v>
      </c>
      <c r="C10899" t="s">
        <v>38</v>
      </c>
      <c r="D10899">
        <v>183</v>
      </c>
    </row>
    <row r="10900" spans="1:4" ht="15.75" customHeight="1">
      <c r="A10900" t="s">
        <v>2886</v>
      </c>
      <c r="B10900" t="s">
        <v>37</v>
      </c>
      <c r="C10900" t="s">
        <v>38</v>
      </c>
      <c r="D10900">
        <v>182</v>
      </c>
    </row>
    <row r="10901" spans="1:4" ht="15.75" customHeight="1">
      <c r="A10901" t="s">
        <v>3350</v>
      </c>
      <c r="B10901" t="s">
        <v>37</v>
      </c>
      <c r="C10901" t="s">
        <v>38</v>
      </c>
      <c r="D10901">
        <v>179</v>
      </c>
    </row>
    <row r="10902" spans="1:4" ht="15.75" customHeight="1">
      <c r="A10902" t="s">
        <v>2287</v>
      </c>
      <c r="B10902" t="s">
        <v>37</v>
      </c>
      <c r="C10902" t="s">
        <v>38</v>
      </c>
      <c r="D10902">
        <v>177</v>
      </c>
    </row>
    <row r="10903" spans="1:4" ht="15.75" customHeight="1">
      <c r="A10903" t="s">
        <v>798</v>
      </c>
      <c r="B10903" t="s">
        <v>37</v>
      </c>
      <c r="C10903" t="s">
        <v>38</v>
      </c>
      <c r="D10903">
        <v>177</v>
      </c>
    </row>
    <row r="10904" spans="1:4" ht="15.75" customHeight="1">
      <c r="A10904" t="s">
        <v>1475</v>
      </c>
      <c r="B10904" t="s">
        <v>37</v>
      </c>
      <c r="C10904" t="s">
        <v>38</v>
      </c>
      <c r="D10904">
        <v>177</v>
      </c>
    </row>
    <row r="10905" spans="1:4" ht="15.75" customHeight="1">
      <c r="A10905" t="s">
        <v>4199</v>
      </c>
      <c r="B10905" t="s">
        <v>37</v>
      </c>
      <c r="C10905" t="s">
        <v>38</v>
      </c>
      <c r="D10905">
        <v>176</v>
      </c>
    </row>
    <row r="10906" spans="1:4" ht="15.75" customHeight="1">
      <c r="A10906" t="s">
        <v>3752</v>
      </c>
      <c r="B10906" t="s">
        <v>37</v>
      </c>
      <c r="C10906" t="s">
        <v>38</v>
      </c>
      <c r="D10906">
        <v>176</v>
      </c>
    </row>
    <row r="10907" spans="1:4" ht="15.75" customHeight="1">
      <c r="A10907" t="s">
        <v>4182</v>
      </c>
      <c r="B10907" t="s">
        <v>37</v>
      </c>
      <c r="C10907" t="s">
        <v>38</v>
      </c>
      <c r="D10907">
        <v>176</v>
      </c>
    </row>
    <row r="10908" spans="1:4" ht="15.75" customHeight="1">
      <c r="A10908" t="s">
        <v>2355</v>
      </c>
      <c r="B10908" t="s">
        <v>37</v>
      </c>
      <c r="C10908" t="s">
        <v>38</v>
      </c>
      <c r="D10908">
        <v>175</v>
      </c>
    </row>
    <row r="10909" spans="1:4" ht="15.75" customHeight="1">
      <c r="A10909" t="s">
        <v>913</v>
      </c>
      <c r="B10909" t="s">
        <v>37</v>
      </c>
      <c r="C10909" t="s">
        <v>38</v>
      </c>
      <c r="D10909">
        <v>174</v>
      </c>
    </row>
    <row r="10910" spans="1:4" ht="15.75" customHeight="1">
      <c r="A10910" t="s">
        <v>1555</v>
      </c>
      <c r="B10910" t="s">
        <v>37</v>
      </c>
      <c r="C10910" t="s">
        <v>38</v>
      </c>
      <c r="D10910">
        <v>174</v>
      </c>
    </row>
    <row r="10911" spans="1:4" ht="15.75" customHeight="1">
      <c r="A10911" t="s">
        <v>786</v>
      </c>
      <c r="B10911" t="s">
        <v>37</v>
      </c>
      <c r="C10911" t="s">
        <v>38</v>
      </c>
      <c r="D10911">
        <v>173</v>
      </c>
    </row>
    <row r="10912" spans="1:4" ht="15.75" customHeight="1">
      <c r="A10912" t="s">
        <v>2912</v>
      </c>
      <c r="B10912" t="s">
        <v>37</v>
      </c>
      <c r="C10912" t="s">
        <v>38</v>
      </c>
      <c r="D10912">
        <v>171</v>
      </c>
    </row>
    <row r="10913" spans="1:4" ht="15.75" customHeight="1">
      <c r="A10913" t="s">
        <v>4155</v>
      </c>
      <c r="B10913" t="s">
        <v>37</v>
      </c>
      <c r="C10913" t="s">
        <v>38</v>
      </c>
      <c r="D10913">
        <v>170</v>
      </c>
    </row>
    <row r="10914" spans="1:4" ht="15.75" customHeight="1">
      <c r="A10914" t="s">
        <v>3760</v>
      </c>
      <c r="B10914" t="s">
        <v>37</v>
      </c>
      <c r="C10914" t="s">
        <v>38</v>
      </c>
      <c r="D10914">
        <v>169</v>
      </c>
    </row>
    <row r="10915" spans="1:4" ht="15.75" customHeight="1">
      <c r="A10915" t="s">
        <v>4460</v>
      </c>
      <c r="B10915" t="s">
        <v>37</v>
      </c>
      <c r="C10915" t="s">
        <v>38</v>
      </c>
      <c r="D10915">
        <v>169</v>
      </c>
    </row>
    <row r="10916" spans="1:4" ht="15.75" customHeight="1">
      <c r="A10916" t="s">
        <v>3366</v>
      </c>
      <c r="B10916" t="s">
        <v>37</v>
      </c>
      <c r="C10916" t="s">
        <v>38</v>
      </c>
      <c r="D10916">
        <v>169</v>
      </c>
    </row>
    <row r="10917" spans="1:4" ht="15.75" customHeight="1">
      <c r="A10917" t="s">
        <v>3330</v>
      </c>
      <c r="B10917" t="s">
        <v>37</v>
      </c>
      <c r="C10917" t="s">
        <v>38</v>
      </c>
      <c r="D10917">
        <v>166</v>
      </c>
    </row>
    <row r="10918" spans="1:4" ht="15.75" customHeight="1">
      <c r="A10918" t="s">
        <v>861</v>
      </c>
      <c r="B10918" t="s">
        <v>37</v>
      </c>
      <c r="C10918" t="s">
        <v>38</v>
      </c>
      <c r="D10918">
        <v>166</v>
      </c>
    </row>
    <row r="10919" spans="1:4" ht="15.75" customHeight="1">
      <c r="A10919" t="s">
        <v>2311</v>
      </c>
      <c r="B10919" t="s">
        <v>37</v>
      </c>
      <c r="C10919" t="s">
        <v>38</v>
      </c>
      <c r="D10919">
        <v>165</v>
      </c>
    </row>
    <row r="10920" spans="1:4" ht="15.75" customHeight="1">
      <c r="A10920" t="s">
        <v>2892</v>
      </c>
      <c r="B10920" t="s">
        <v>37</v>
      </c>
      <c r="C10920" t="s">
        <v>38</v>
      </c>
      <c r="D10920">
        <v>165</v>
      </c>
    </row>
    <row r="10921" spans="1:4" ht="15.75" customHeight="1">
      <c r="A10921" t="s">
        <v>4864</v>
      </c>
      <c r="B10921" t="s">
        <v>37</v>
      </c>
      <c r="C10921" t="s">
        <v>38</v>
      </c>
      <c r="D10921">
        <v>164</v>
      </c>
    </row>
    <row r="10922" spans="1:4" ht="15.75" customHeight="1">
      <c r="A10922" t="s">
        <v>4212</v>
      </c>
      <c r="B10922" t="s">
        <v>37</v>
      </c>
      <c r="C10922" t="s">
        <v>38</v>
      </c>
      <c r="D10922">
        <v>164</v>
      </c>
    </row>
    <row r="10923" spans="1:4" ht="15.75" customHeight="1">
      <c r="A10923" t="s">
        <v>3743</v>
      </c>
      <c r="B10923" t="s">
        <v>37</v>
      </c>
      <c r="C10923" t="s">
        <v>38</v>
      </c>
      <c r="D10923">
        <v>163</v>
      </c>
    </row>
    <row r="10924" spans="1:4" ht="15.75" customHeight="1">
      <c r="A10924" t="s">
        <v>759</v>
      </c>
      <c r="B10924" t="s">
        <v>37</v>
      </c>
      <c r="C10924" t="s">
        <v>38</v>
      </c>
      <c r="D10924">
        <v>162</v>
      </c>
    </row>
    <row r="10925" spans="1:4" ht="15.75" customHeight="1">
      <c r="A10925" t="s">
        <v>2321</v>
      </c>
      <c r="B10925" t="s">
        <v>37</v>
      </c>
      <c r="C10925" t="s">
        <v>38</v>
      </c>
      <c r="D10925">
        <v>159</v>
      </c>
    </row>
    <row r="10926" spans="1:4" ht="15.75" customHeight="1">
      <c r="A10926" t="s">
        <v>4892</v>
      </c>
      <c r="B10926" t="s">
        <v>37</v>
      </c>
      <c r="C10926" t="s">
        <v>38</v>
      </c>
      <c r="D10926">
        <v>155</v>
      </c>
    </row>
    <row r="10927" spans="1:4" ht="15.75" customHeight="1">
      <c r="A10927" t="s">
        <v>2916</v>
      </c>
      <c r="B10927" t="s">
        <v>37</v>
      </c>
      <c r="C10927" t="s">
        <v>38</v>
      </c>
      <c r="D10927">
        <v>155</v>
      </c>
    </row>
    <row r="10928" spans="1:4" ht="15.75" customHeight="1">
      <c r="A10928" t="s">
        <v>4201</v>
      </c>
      <c r="B10928" t="s">
        <v>37</v>
      </c>
      <c r="C10928" t="s">
        <v>38</v>
      </c>
      <c r="D10928">
        <v>154</v>
      </c>
    </row>
    <row r="10929" spans="1:4" ht="15.75" customHeight="1">
      <c r="A10929" t="s">
        <v>2880</v>
      </c>
      <c r="B10929" t="s">
        <v>37</v>
      </c>
      <c r="C10929" t="s">
        <v>38</v>
      </c>
      <c r="D10929">
        <v>154</v>
      </c>
    </row>
    <row r="10930" spans="1:4" ht="15.75" customHeight="1">
      <c r="A10930" t="s">
        <v>3756</v>
      </c>
      <c r="B10930" t="s">
        <v>37</v>
      </c>
      <c r="C10930" t="s">
        <v>38</v>
      </c>
      <c r="D10930">
        <v>153</v>
      </c>
    </row>
    <row r="10931" spans="1:4" ht="15.75" customHeight="1">
      <c r="A10931" t="s">
        <v>3340</v>
      </c>
      <c r="B10931" t="s">
        <v>37</v>
      </c>
      <c r="C10931" t="s">
        <v>38</v>
      </c>
      <c r="D10931">
        <v>152</v>
      </c>
    </row>
    <row r="10932" spans="1:4" ht="15.75" customHeight="1">
      <c r="A10932" t="s">
        <v>2365</v>
      </c>
      <c r="B10932" t="s">
        <v>37</v>
      </c>
      <c r="C10932" t="s">
        <v>38</v>
      </c>
      <c r="D10932">
        <v>151</v>
      </c>
    </row>
    <row r="10933" spans="1:4" ht="15.75" customHeight="1">
      <c r="A10933" t="s">
        <v>4161</v>
      </c>
      <c r="B10933" t="s">
        <v>37</v>
      </c>
      <c r="C10933" t="s">
        <v>38</v>
      </c>
      <c r="D10933">
        <v>150</v>
      </c>
    </row>
    <row r="10934" spans="1:4" ht="15.75" customHeight="1">
      <c r="A10934" t="s">
        <v>3328</v>
      </c>
      <c r="B10934" t="s">
        <v>37</v>
      </c>
      <c r="C10934" t="s">
        <v>38</v>
      </c>
      <c r="D10934">
        <v>150</v>
      </c>
    </row>
    <row r="10935" spans="1:4" ht="15.75" customHeight="1">
      <c r="A10935" t="s">
        <v>4866</v>
      </c>
      <c r="B10935" t="s">
        <v>37</v>
      </c>
      <c r="C10935" t="s">
        <v>38</v>
      </c>
      <c r="D10935">
        <v>149</v>
      </c>
    </row>
    <row r="10936" spans="1:4" ht="15.75" customHeight="1">
      <c r="A10936" t="s">
        <v>2293</v>
      </c>
      <c r="B10936" t="s">
        <v>37</v>
      </c>
      <c r="C10936" t="s">
        <v>38</v>
      </c>
      <c r="D10936">
        <v>149</v>
      </c>
    </row>
    <row r="10937" spans="1:4" ht="15.75" customHeight="1">
      <c r="A10937" t="s">
        <v>1803</v>
      </c>
      <c r="B10937" t="s">
        <v>37</v>
      </c>
      <c r="C10937" t="s">
        <v>38</v>
      </c>
      <c r="D10937">
        <v>149</v>
      </c>
    </row>
    <row r="10938" spans="1:4" ht="15.75" customHeight="1">
      <c r="A10938" t="s">
        <v>4472</v>
      </c>
      <c r="B10938" t="s">
        <v>37</v>
      </c>
      <c r="C10938" t="s">
        <v>38</v>
      </c>
      <c r="D10938">
        <v>149</v>
      </c>
    </row>
    <row r="10939" spans="1:4" ht="15.75" customHeight="1">
      <c r="A10939" t="s">
        <v>2938</v>
      </c>
      <c r="B10939" t="s">
        <v>37</v>
      </c>
      <c r="C10939" t="s">
        <v>38</v>
      </c>
      <c r="D10939">
        <v>149</v>
      </c>
    </row>
    <row r="10940" spans="1:4" ht="15.75" customHeight="1">
      <c r="A10940" t="s">
        <v>3362</v>
      </c>
      <c r="B10940" t="s">
        <v>37</v>
      </c>
      <c r="C10940" t="s">
        <v>38</v>
      </c>
      <c r="D10940">
        <v>144</v>
      </c>
    </row>
    <row r="10941" spans="1:4" ht="15.75" customHeight="1">
      <c r="A10941" t="s">
        <v>2357</v>
      </c>
      <c r="B10941" t="s">
        <v>37</v>
      </c>
      <c r="C10941" t="s">
        <v>38</v>
      </c>
      <c r="D10941">
        <v>144</v>
      </c>
    </row>
    <row r="10942" spans="1:4" ht="15.75" customHeight="1">
      <c r="A10942" t="s">
        <v>1805</v>
      </c>
      <c r="B10942" t="s">
        <v>37</v>
      </c>
      <c r="C10942" t="s">
        <v>38</v>
      </c>
      <c r="D10942">
        <v>142</v>
      </c>
    </row>
    <row r="10943" spans="1:4" ht="15.75" customHeight="1">
      <c r="A10943" t="s">
        <v>4456</v>
      </c>
      <c r="B10943" t="s">
        <v>37</v>
      </c>
      <c r="C10943" t="s">
        <v>38</v>
      </c>
      <c r="D10943">
        <v>140</v>
      </c>
    </row>
    <row r="10944" spans="1:4" ht="15.75" customHeight="1">
      <c r="A10944" t="s">
        <v>2904</v>
      </c>
      <c r="B10944" t="s">
        <v>37</v>
      </c>
      <c r="C10944" t="s">
        <v>38</v>
      </c>
      <c r="D10944">
        <v>139</v>
      </c>
    </row>
    <row r="10945" spans="1:4" ht="15.75" customHeight="1">
      <c r="A10945" t="s">
        <v>2920</v>
      </c>
      <c r="B10945" t="s">
        <v>37</v>
      </c>
      <c r="C10945" t="s">
        <v>38</v>
      </c>
      <c r="D10945">
        <v>139</v>
      </c>
    </row>
    <row r="10946" spans="1:4" ht="15.75" customHeight="1">
      <c r="A10946" t="s">
        <v>4167</v>
      </c>
      <c r="B10946" t="s">
        <v>37</v>
      </c>
      <c r="C10946" t="s">
        <v>38</v>
      </c>
      <c r="D10946">
        <v>138</v>
      </c>
    </row>
    <row r="10947" spans="1:4" ht="15.75" customHeight="1">
      <c r="A10947" t="s">
        <v>4454</v>
      </c>
      <c r="B10947" t="s">
        <v>37</v>
      </c>
      <c r="C10947" t="s">
        <v>38</v>
      </c>
      <c r="D10947">
        <v>137</v>
      </c>
    </row>
    <row r="10948" spans="1:4" ht="15.75" customHeight="1">
      <c r="A10948" t="s">
        <v>1813</v>
      </c>
      <c r="B10948" t="s">
        <v>37</v>
      </c>
      <c r="C10948" t="s">
        <v>38</v>
      </c>
      <c r="D10948">
        <v>137</v>
      </c>
    </row>
    <row r="10949" spans="1:4" ht="15.75" customHeight="1">
      <c r="A10949" t="s">
        <v>3766</v>
      </c>
      <c r="B10949" t="s">
        <v>37</v>
      </c>
      <c r="C10949" t="s">
        <v>38</v>
      </c>
      <c r="D10949">
        <v>137</v>
      </c>
    </row>
    <row r="10950" spans="1:4" ht="15.75" customHeight="1">
      <c r="A10950" t="s">
        <v>1799</v>
      </c>
      <c r="B10950" t="s">
        <v>37</v>
      </c>
      <c r="C10950" t="s">
        <v>38</v>
      </c>
      <c r="D10950">
        <v>136</v>
      </c>
    </row>
    <row r="10951" spans="1:4" ht="15.75" customHeight="1">
      <c r="A10951" t="s">
        <v>1809</v>
      </c>
      <c r="B10951" t="s">
        <v>37</v>
      </c>
      <c r="C10951" t="s">
        <v>38</v>
      </c>
      <c r="D10951">
        <v>134</v>
      </c>
    </row>
    <row r="10952" spans="1:4" ht="15.75" customHeight="1">
      <c r="A10952" t="s">
        <v>4857</v>
      </c>
      <c r="B10952" t="s">
        <v>37</v>
      </c>
      <c r="C10952" t="s">
        <v>38</v>
      </c>
      <c r="D10952">
        <v>133</v>
      </c>
    </row>
    <row r="10953" spans="1:4" ht="15.75" customHeight="1">
      <c r="A10953" t="s">
        <v>748</v>
      </c>
      <c r="B10953" t="s">
        <v>37</v>
      </c>
      <c r="C10953" t="s">
        <v>38</v>
      </c>
      <c r="D10953">
        <v>132</v>
      </c>
    </row>
    <row r="10954" spans="1:4" ht="15.75" customHeight="1">
      <c r="A10954" t="s">
        <v>4197</v>
      </c>
      <c r="B10954" t="s">
        <v>37</v>
      </c>
      <c r="C10954" t="s">
        <v>38</v>
      </c>
      <c r="D10954">
        <v>131</v>
      </c>
    </row>
    <row r="10955" spans="1:4" ht="15.75" customHeight="1">
      <c r="A10955" t="s">
        <v>3747</v>
      </c>
      <c r="B10955" t="s">
        <v>37</v>
      </c>
      <c r="C10955" t="s">
        <v>38</v>
      </c>
      <c r="D10955">
        <v>128</v>
      </c>
    </row>
    <row r="10956" spans="1:4" ht="15.75" customHeight="1">
      <c r="A10956" t="s">
        <v>3774</v>
      </c>
      <c r="B10956" t="s">
        <v>37</v>
      </c>
      <c r="C10956" t="s">
        <v>38</v>
      </c>
      <c r="D10956">
        <v>128</v>
      </c>
    </row>
    <row r="10957" spans="1:4" ht="15.75" customHeight="1">
      <c r="A10957" t="s">
        <v>4157</v>
      </c>
      <c r="B10957" t="s">
        <v>37</v>
      </c>
      <c r="C10957" t="s">
        <v>38</v>
      </c>
      <c r="D10957">
        <v>128</v>
      </c>
    </row>
    <row r="10958" spans="1:4" ht="15.75" customHeight="1">
      <c r="A10958" t="s">
        <v>4184</v>
      </c>
      <c r="B10958" t="s">
        <v>37</v>
      </c>
      <c r="C10958" t="s">
        <v>38</v>
      </c>
      <c r="D10958">
        <v>127</v>
      </c>
    </row>
    <row r="10959" spans="1:4" ht="15.75" customHeight="1">
      <c r="A10959" t="s">
        <v>897</v>
      </c>
      <c r="B10959" t="s">
        <v>37</v>
      </c>
      <c r="C10959" t="s">
        <v>38</v>
      </c>
      <c r="D10959">
        <v>127</v>
      </c>
    </row>
    <row r="10960" spans="1:4" ht="15.75" customHeight="1">
      <c r="A10960" t="s">
        <v>1509</v>
      </c>
      <c r="B10960" t="s">
        <v>37</v>
      </c>
      <c r="C10960" t="s">
        <v>38</v>
      </c>
      <c r="D10960">
        <v>126</v>
      </c>
    </row>
    <row r="10961" spans="1:4" ht="15.75" customHeight="1">
      <c r="A10961" t="s">
        <v>4203</v>
      </c>
      <c r="B10961" t="s">
        <v>37</v>
      </c>
      <c r="C10961" t="s">
        <v>38</v>
      </c>
      <c r="D10961">
        <v>125</v>
      </c>
    </row>
    <row r="10962" spans="1:4" ht="15.75" customHeight="1">
      <c r="A10962" t="s">
        <v>3737</v>
      </c>
      <c r="B10962" t="s">
        <v>37</v>
      </c>
      <c r="C10962" t="s">
        <v>38</v>
      </c>
      <c r="D10962">
        <v>123</v>
      </c>
    </row>
    <row r="10963" spans="1:4" ht="15.75" customHeight="1">
      <c r="A10963" t="s">
        <v>1494</v>
      </c>
      <c r="B10963" t="s">
        <v>37</v>
      </c>
      <c r="C10963" t="s">
        <v>38</v>
      </c>
      <c r="D10963">
        <v>123</v>
      </c>
    </row>
    <row r="10964" spans="1:4" ht="15.75" customHeight="1">
      <c r="A10964" t="s">
        <v>3346</v>
      </c>
      <c r="B10964" t="s">
        <v>37</v>
      </c>
      <c r="C10964" t="s">
        <v>38</v>
      </c>
      <c r="D10964">
        <v>120</v>
      </c>
    </row>
    <row r="10965" spans="1:4" ht="15.75" customHeight="1">
      <c r="A10965" t="s">
        <v>4845</v>
      </c>
      <c r="B10965" t="s">
        <v>37</v>
      </c>
      <c r="C10965" t="s">
        <v>38</v>
      </c>
      <c r="D10965">
        <v>120</v>
      </c>
    </row>
    <row r="10966" spans="1:4" ht="15.75" customHeight="1">
      <c r="A10966" t="s">
        <v>1801</v>
      </c>
      <c r="B10966" t="s">
        <v>37</v>
      </c>
      <c r="C10966" t="s">
        <v>38</v>
      </c>
      <c r="D10966">
        <v>120</v>
      </c>
    </row>
    <row r="10967" spans="1:4" ht="15.75" customHeight="1">
      <c r="A10967" t="s">
        <v>4186</v>
      </c>
      <c r="B10967" t="s">
        <v>37</v>
      </c>
      <c r="C10967" t="s">
        <v>38</v>
      </c>
      <c r="D10967">
        <v>119</v>
      </c>
    </row>
    <row r="10968" spans="1:4" ht="15.75" customHeight="1">
      <c r="A10968" t="s">
        <v>3739</v>
      </c>
      <c r="B10968" t="s">
        <v>37</v>
      </c>
      <c r="C10968" t="s">
        <v>38</v>
      </c>
      <c r="D10968">
        <v>117</v>
      </c>
    </row>
    <row r="10969" spans="1:4" ht="15.75" customHeight="1">
      <c r="A10969" t="s">
        <v>857</v>
      </c>
      <c r="B10969" t="s">
        <v>37</v>
      </c>
      <c r="C10969" t="s">
        <v>38</v>
      </c>
      <c r="D10969">
        <v>117</v>
      </c>
    </row>
    <row r="10970" spans="1:4" ht="15.75" customHeight="1">
      <c r="A10970" t="s">
        <v>1469</v>
      </c>
      <c r="B10970" t="s">
        <v>37</v>
      </c>
      <c r="C10970" t="s">
        <v>38</v>
      </c>
      <c r="D10970">
        <v>117</v>
      </c>
    </row>
    <row r="10971" spans="1:4" ht="15.75" customHeight="1">
      <c r="A10971" t="s">
        <v>2327</v>
      </c>
      <c r="B10971" t="s">
        <v>37</v>
      </c>
      <c r="C10971" t="s">
        <v>38</v>
      </c>
      <c r="D10971">
        <v>113</v>
      </c>
    </row>
    <row r="10972" spans="1:4" ht="15.75" customHeight="1">
      <c r="A10972" t="s">
        <v>4438</v>
      </c>
      <c r="B10972" t="s">
        <v>37</v>
      </c>
      <c r="C10972" t="s">
        <v>38</v>
      </c>
      <c r="D10972">
        <v>113</v>
      </c>
    </row>
    <row r="10973" spans="1:4" ht="15.75" customHeight="1">
      <c r="A10973" t="s">
        <v>2323</v>
      </c>
      <c r="B10973" t="s">
        <v>37</v>
      </c>
      <c r="C10973" t="s">
        <v>38</v>
      </c>
      <c r="D10973">
        <v>113</v>
      </c>
    </row>
    <row r="10974" spans="1:4" ht="15.75" customHeight="1">
      <c r="A10974" t="s">
        <v>1817</v>
      </c>
      <c r="B10974" t="s">
        <v>37</v>
      </c>
      <c r="C10974" t="s">
        <v>38</v>
      </c>
      <c r="D10974">
        <v>112</v>
      </c>
    </row>
    <row r="10975" spans="1:4" ht="15.75" customHeight="1">
      <c r="A10975" t="s">
        <v>4176</v>
      </c>
      <c r="B10975" t="s">
        <v>37</v>
      </c>
      <c r="C10975" t="s">
        <v>38</v>
      </c>
      <c r="D10975">
        <v>112</v>
      </c>
    </row>
    <row r="10976" spans="1:4" ht="15.75" customHeight="1">
      <c r="A10976" t="s">
        <v>3390</v>
      </c>
      <c r="B10976" t="s">
        <v>37</v>
      </c>
      <c r="C10976" t="s">
        <v>38</v>
      </c>
      <c r="D10976">
        <v>112</v>
      </c>
    </row>
    <row r="10977" spans="1:4" ht="15.75" customHeight="1">
      <c r="A10977" t="s">
        <v>4886</v>
      </c>
      <c r="B10977" t="s">
        <v>37</v>
      </c>
      <c r="C10977" t="s">
        <v>38</v>
      </c>
      <c r="D10977">
        <v>110</v>
      </c>
    </row>
    <row r="10978" spans="1:4" ht="15.75" customHeight="1">
      <c r="A10978" t="s">
        <v>3776</v>
      </c>
      <c r="B10978" t="s">
        <v>37</v>
      </c>
      <c r="C10978" t="s">
        <v>38</v>
      </c>
      <c r="D10978">
        <v>110</v>
      </c>
    </row>
    <row r="10979" spans="1:4" ht="15.75" customHeight="1">
      <c r="A10979" t="s">
        <v>4855</v>
      </c>
      <c r="B10979" t="s">
        <v>37</v>
      </c>
      <c r="C10979" t="s">
        <v>38</v>
      </c>
      <c r="D10979">
        <v>109</v>
      </c>
    </row>
    <row r="10980" spans="1:4" ht="15.75" customHeight="1">
      <c r="A10980" t="s">
        <v>2341</v>
      </c>
      <c r="B10980" t="s">
        <v>37</v>
      </c>
      <c r="C10980" t="s">
        <v>38</v>
      </c>
      <c r="D10980">
        <v>107</v>
      </c>
    </row>
    <row r="10981" spans="1:4" ht="15.75" customHeight="1">
      <c r="A10981" t="s">
        <v>4868</v>
      </c>
      <c r="B10981" t="s">
        <v>37</v>
      </c>
      <c r="C10981" t="s">
        <v>38</v>
      </c>
      <c r="D10981">
        <v>106</v>
      </c>
    </row>
    <row r="10982" spans="1:4" ht="15.75" customHeight="1">
      <c r="A10982" t="s">
        <v>879</v>
      </c>
      <c r="B10982" t="s">
        <v>37</v>
      </c>
      <c r="C10982" t="s">
        <v>38</v>
      </c>
      <c r="D10982">
        <v>105</v>
      </c>
    </row>
    <row r="10983" spans="1:4" ht="15.75" customHeight="1">
      <c r="A10983" t="s">
        <v>915</v>
      </c>
      <c r="B10983" t="s">
        <v>37</v>
      </c>
      <c r="C10983" t="s">
        <v>38</v>
      </c>
      <c r="D10983">
        <v>102</v>
      </c>
    </row>
    <row r="10984" spans="1:4" ht="15.75" customHeight="1">
      <c r="A10984" t="s">
        <v>1483</v>
      </c>
      <c r="B10984" t="s">
        <v>37</v>
      </c>
      <c r="C10984" t="s">
        <v>38</v>
      </c>
      <c r="D10984">
        <v>100</v>
      </c>
    </row>
    <row r="10985" spans="1:4" ht="15.75" customHeight="1">
      <c r="A10985" t="s">
        <v>903</v>
      </c>
      <c r="B10985" t="s">
        <v>37</v>
      </c>
      <c r="C10985" t="s">
        <v>38</v>
      </c>
      <c r="D10985">
        <v>100</v>
      </c>
    </row>
    <row r="10986" spans="1:4" ht="15.75" customHeight="1">
      <c r="A10986" t="s">
        <v>3749</v>
      </c>
      <c r="B10986" t="s">
        <v>37</v>
      </c>
      <c r="C10986" t="s">
        <v>38</v>
      </c>
      <c r="D10986">
        <v>98</v>
      </c>
    </row>
    <row r="10987" spans="1:4" ht="15.75" customHeight="1">
      <c r="A10987" t="s">
        <v>4452</v>
      </c>
      <c r="B10987" t="s">
        <v>37</v>
      </c>
      <c r="C10987" t="s">
        <v>38</v>
      </c>
      <c r="D10987">
        <v>98</v>
      </c>
    </row>
    <row r="10988" spans="1:4" ht="15.75" customHeight="1">
      <c r="A10988" t="s">
        <v>871</v>
      </c>
      <c r="B10988" t="s">
        <v>37</v>
      </c>
      <c r="C10988" t="s">
        <v>38</v>
      </c>
      <c r="D10988">
        <v>98</v>
      </c>
    </row>
    <row r="10989" spans="1:4" ht="15.75" customHeight="1">
      <c r="A10989" t="s">
        <v>4152</v>
      </c>
      <c r="B10989" t="s">
        <v>37</v>
      </c>
      <c r="C10989" t="s">
        <v>38</v>
      </c>
      <c r="D10989">
        <v>97</v>
      </c>
    </row>
    <row r="10990" spans="1:4" ht="15.75" customHeight="1">
      <c r="A10990" t="s">
        <v>4888</v>
      </c>
      <c r="B10990" t="s">
        <v>37</v>
      </c>
      <c r="C10990" t="s">
        <v>38</v>
      </c>
      <c r="D10990">
        <v>95</v>
      </c>
    </row>
    <row r="10991" spans="1:4" ht="15.75" customHeight="1">
      <c r="A10991" t="s">
        <v>3360</v>
      </c>
      <c r="B10991" t="s">
        <v>37</v>
      </c>
      <c r="C10991" t="s">
        <v>38</v>
      </c>
      <c r="D10991">
        <v>94</v>
      </c>
    </row>
    <row r="10992" spans="1:4" ht="15.75" customHeight="1">
      <c r="A10992" t="s">
        <v>3764</v>
      </c>
      <c r="B10992" t="s">
        <v>37</v>
      </c>
      <c r="C10992" t="s">
        <v>38</v>
      </c>
      <c r="D10992">
        <v>93</v>
      </c>
    </row>
    <row r="10993" spans="1:4" ht="15.75" customHeight="1">
      <c r="A10993" t="s">
        <v>4180</v>
      </c>
      <c r="B10993" t="s">
        <v>37</v>
      </c>
      <c r="C10993" t="s">
        <v>38</v>
      </c>
      <c r="D10993">
        <v>92</v>
      </c>
    </row>
    <row r="10994" spans="1:4" ht="15.75" customHeight="1">
      <c r="A10994" t="s">
        <v>2948</v>
      </c>
      <c r="B10994" t="s">
        <v>37</v>
      </c>
      <c r="C10994" t="s">
        <v>38</v>
      </c>
      <c r="D10994">
        <v>89</v>
      </c>
    </row>
    <row r="10995" spans="1:4" ht="15.75" customHeight="1">
      <c r="A10995" t="s">
        <v>3338</v>
      </c>
      <c r="B10995" t="s">
        <v>37</v>
      </c>
      <c r="C10995" t="s">
        <v>38</v>
      </c>
      <c r="D10995">
        <v>89</v>
      </c>
    </row>
    <row r="10996" spans="1:4" ht="15.75" customHeight="1">
      <c r="A10996" t="s">
        <v>3392</v>
      </c>
      <c r="B10996" t="s">
        <v>37</v>
      </c>
      <c r="C10996" t="s">
        <v>38</v>
      </c>
      <c r="D10996">
        <v>87</v>
      </c>
    </row>
    <row r="10997" spans="1:4" ht="15.75" customHeight="1">
      <c r="A10997" t="s">
        <v>3754</v>
      </c>
      <c r="B10997" t="s">
        <v>37</v>
      </c>
      <c r="C10997" t="s">
        <v>38</v>
      </c>
      <c r="D10997">
        <v>86</v>
      </c>
    </row>
    <row r="10998" spans="1:4" ht="15.75" customHeight="1">
      <c r="A10998" t="s">
        <v>1481</v>
      </c>
      <c r="B10998" t="s">
        <v>37</v>
      </c>
      <c r="C10998" t="s">
        <v>38</v>
      </c>
      <c r="D10998">
        <v>86</v>
      </c>
    </row>
    <row r="10999" spans="1:4" ht="15.75" customHeight="1">
      <c r="A10999" t="s">
        <v>4861</v>
      </c>
      <c r="B10999" t="s">
        <v>37</v>
      </c>
      <c r="C10999" t="s">
        <v>38</v>
      </c>
      <c r="D10999">
        <v>85</v>
      </c>
    </row>
    <row r="11000" spans="1:4" ht="15.75" customHeight="1">
      <c r="A11000" t="s">
        <v>2369</v>
      </c>
      <c r="B11000" t="s">
        <v>37</v>
      </c>
      <c r="C11000" t="s">
        <v>38</v>
      </c>
      <c r="D11000">
        <v>85</v>
      </c>
    </row>
    <row r="11001" spans="1:4" ht="15.75" customHeight="1">
      <c r="A11001" t="s">
        <v>2349</v>
      </c>
      <c r="B11001" t="s">
        <v>37</v>
      </c>
      <c r="C11001" t="s">
        <v>38</v>
      </c>
      <c r="D11001">
        <v>84</v>
      </c>
    </row>
    <row r="11002" spans="1:4" ht="15.75" customHeight="1">
      <c r="A11002" t="s">
        <v>3735</v>
      </c>
      <c r="B11002" t="s">
        <v>37</v>
      </c>
      <c r="C11002" t="s">
        <v>38</v>
      </c>
      <c r="D11002">
        <v>84</v>
      </c>
    </row>
    <row r="11003" spans="1:4" ht="15.75" customHeight="1">
      <c r="A11003" t="s">
        <v>1505</v>
      </c>
      <c r="B11003" t="s">
        <v>37</v>
      </c>
      <c r="C11003" t="s">
        <v>38</v>
      </c>
      <c r="D11003">
        <v>84</v>
      </c>
    </row>
    <row r="11004" spans="1:4" ht="15.75" customHeight="1">
      <c r="A11004" t="s">
        <v>3376</v>
      </c>
      <c r="B11004" t="s">
        <v>37</v>
      </c>
      <c r="C11004" t="s">
        <v>38</v>
      </c>
      <c r="D11004">
        <v>84</v>
      </c>
    </row>
    <row r="11005" spans="1:4" ht="15.75" customHeight="1">
      <c r="A11005" t="s">
        <v>3731</v>
      </c>
      <c r="B11005" t="s">
        <v>37</v>
      </c>
      <c r="C11005" t="s">
        <v>38</v>
      </c>
      <c r="D11005">
        <v>83</v>
      </c>
    </row>
    <row r="11006" spans="1:4" ht="15.75" customHeight="1">
      <c r="A11006" t="s">
        <v>2363</v>
      </c>
      <c r="B11006" t="s">
        <v>37</v>
      </c>
      <c r="C11006" t="s">
        <v>38</v>
      </c>
      <c r="D11006">
        <v>77</v>
      </c>
    </row>
    <row r="11007" spans="1:4" ht="15.75" customHeight="1">
      <c r="A11007" t="s">
        <v>1573</v>
      </c>
      <c r="B11007" t="s">
        <v>37</v>
      </c>
      <c r="C11007" t="s">
        <v>38</v>
      </c>
      <c r="D11007">
        <v>77</v>
      </c>
    </row>
    <row r="11008" spans="1:4" ht="15.75" customHeight="1">
      <c r="A11008" t="s">
        <v>1549</v>
      </c>
      <c r="B11008" t="s">
        <v>37</v>
      </c>
      <c r="C11008" t="s">
        <v>38</v>
      </c>
      <c r="D11008">
        <v>76</v>
      </c>
    </row>
    <row r="11009" spans="1:4" ht="15.75" customHeight="1">
      <c r="A11009" t="s">
        <v>2337</v>
      </c>
      <c r="B11009" t="s">
        <v>37</v>
      </c>
      <c r="C11009" t="s">
        <v>38</v>
      </c>
      <c r="D11009">
        <v>76</v>
      </c>
    </row>
    <row r="11010" spans="1:4" ht="15.75" customHeight="1">
      <c r="A11010" t="s">
        <v>3326</v>
      </c>
      <c r="B11010" t="s">
        <v>37</v>
      </c>
      <c r="C11010" t="s">
        <v>38</v>
      </c>
      <c r="D11010">
        <v>75</v>
      </c>
    </row>
    <row r="11011" spans="1:4" ht="15.75" customHeight="1">
      <c r="A11011" t="s">
        <v>4890</v>
      </c>
      <c r="B11011" t="s">
        <v>37</v>
      </c>
      <c r="C11011" t="s">
        <v>38</v>
      </c>
      <c r="D11011">
        <v>75</v>
      </c>
    </row>
    <row r="11012" spans="1:4" ht="15.75" customHeight="1">
      <c r="A11012" t="s">
        <v>2900</v>
      </c>
      <c r="B11012" t="s">
        <v>37</v>
      </c>
      <c r="C11012" t="s">
        <v>38</v>
      </c>
      <c r="D11012">
        <v>73</v>
      </c>
    </row>
    <row r="11013" spans="1:4" ht="15.75" customHeight="1">
      <c r="A11013" t="s">
        <v>4468</v>
      </c>
      <c r="B11013" t="s">
        <v>37</v>
      </c>
      <c r="C11013" t="s">
        <v>38</v>
      </c>
      <c r="D11013">
        <v>70</v>
      </c>
    </row>
    <row r="11014" spans="1:4" ht="15.75" customHeight="1">
      <c r="A11014" t="s">
        <v>3394</v>
      </c>
      <c r="B11014" t="s">
        <v>37</v>
      </c>
      <c r="C11014" t="s">
        <v>38</v>
      </c>
      <c r="D11014">
        <v>70</v>
      </c>
    </row>
    <row r="11015" spans="1:4" ht="15.75" customHeight="1">
      <c r="A11015" t="s">
        <v>4458</v>
      </c>
      <c r="B11015" t="s">
        <v>37</v>
      </c>
      <c r="C11015" t="s">
        <v>38</v>
      </c>
      <c r="D11015">
        <v>69</v>
      </c>
    </row>
    <row r="11016" spans="1:4" ht="15.75" customHeight="1">
      <c r="A11016" t="s">
        <v>772</v>
      </c>
      <c r="B11016" t="s">
        <v>37</v>
      </c>
      <c r="C11016" t="s">
        <v>38</v>
      </c>
      <c r="D11016">
        <v>69</v>
      </c>
    </row>
    <row r="11017" spans="1:4" ht="15.75" customHeight="1">
      <c r="A11017" t="s">
        <v>1499</v>
      </c>
      <c r="B11017" t="s">
        <v>37</v>
      </c>
      <c r="C11017" t="s">
        <v>38</v>
      </c>
      <c r="D11017">
        <v>69</v>
      </c>
    </row>
    <row r="11018" spans="1:4" ht="15.75" customHeight="1">
      <c r="A11018" t="s">
        <v>2335</v>
      </c>
      <c r="B11018" t="s">
        <v>37</v>
      </c>
      <c r="C11018" t="s">
        <v>38</v>
      </c>
      <c r="D11018">
        <v>67</v>
      </c>
    </row>
    <row r="11019" spans="1:4" ht="15.75" customHeight="1">
      <c r="A11019" t="s">
        <v>881</v>
      </c>
      <c r="B11019" t="s">
        <v>37</v>
      </c>
      <c r="C11019" t="s">
        <v>38</v>
      </c>
      <c r="D11019">
        <v>67</v>
      </c>
    </row>
    <row r="11020" spans="1:4" ht="15.75" customHeight="1">
      <c r="A11020" t="s">
        <v>3374</v>
      </c>
      <c r="B11020" t="s">
        <v>37</v>
      </c>
      <c r="C11020" t="s">
        <v>38</v>
      </c>
      <c r="D11020">
        <v>65</v>
      </c>
    </row>
    <row r="11021" spans="1:4" ht="15.75" customHeight="1">
      <c r="A11021" t="s">
        <v>846</v>
      </c>
      <c r="B11021" t="s">
        <v>37</v>
      </c>
      <c r="C11021" t="s">
        <v>38</v>
      </c>
      <c r="D11021">
        <v>65</v>
      </c>
    </row>
    <row r="11022" spans="1:4" ht="15.75" customHeight="1">
      <c r="A11022" t="s">
        <v>2303</v>
      </c>
      <c r="B11022" t="s">
        <v>37</v>
      </c>
      <c r="C11022" t="s">
        <v>38</v>
      </c>
      <c r="D11022">
        <v>65</v>
      </c>
    </row>
    <row r="11023" spans="1:4" ht="15.75" customHeight="1">
      <c r="A11023" t="s">
        <v>1541</v>
      </c>
      <c r="B11023" t="s">
        <v>37</v>
      </c>
      <c r="C11023" t="s">
        <v>38</v>
      </c>
      <c r="D11023">
        <v>63</v>
      </c>
    </row>
    <row r="11024" spans="1:4" ht="15.75" customHeight="1">
      <c r="A11024" t="s">
        <v>1543</v>
      </c>
      <c r="B11024" t="s">
        <v>37</v>
      </c>
      <c r="C11024" t="s">
        <v>38</v>
      </c>
      <c r="D11024">
        <v>63</v>
      </c>
    </row>
    <row r="11025" spans="1:4" ht="15.75" customHeight="1">
      <c r="A11025" t="s">
        <v>1496</v>
      </c>
      <c r="B11025" t="s">
        <v>37</v>
      </c>
      <c r="C11025" t="s">
        <v>38</v>
      </c>
      <c r="D11025">
        <v>60</v>
      </c>
    </row>
    <row r="11026" spans="1:4" ht="15.75" customHeight="1">
      <c r="A11026" t="s">
        <v>4878</v>
      </c>
      <c r="B11026" t="s">
        <v>37</v>
      </c>
      <c r="C11026" t="s">
        <v>38</v>
      </c>
      <c r="D11026">
        <v>60</v>
      </c>
    </row>
    <row r="11027" spans="1:4" ht="15.75" customHeight="1">
      <c r="A11027" t="s">
        <v>4905</v>
      </c>
      <c r="B11027" t="s">
        <v>37</v>
      </c>
      <c r="C11027" t="s">
        <v>38</v>
      </c>
      <c r="D11027">
        <v>60</v>
      </c>
    </row>
    <row r="11028" spans="1:4" ht="15.75" customHeight="1">
      <c r="A11028" t="s">
        <v>1507</v>
      </c>
      <c r="B11028" t="s">
        <v>37</v>
      </c>
      <c r="C11028" t="s">
        <v>38</v>
      </c>
      <c r="D11028">
        <v>58</v>
      </c>
    </row>
    <row r="11029" spans="1:4" ht="15.75" customHeight="1">
      <c r="A11029" t="s">
        <v>4462</v>
      </c>
      <c r="B11029" t="s">
        <v>37</v>
      </c>
      <c r="C11029" t="s">
        <v>38</v>
      </c>
      <c r="D11029">
        <v>58</v>
      </c>
    </row>
    <row r="11030" spans="1:4" ht="15.75" customHeight="1">
      <c r="A11030" t="s">
        <v>3382</v>
      </c>
      <c r="B11030" t="s">
        <v>37</v>
      </c>
      <c r="C11030" t="s">
        <v>38</v>
      </c>
      <c r="D11030">
        <v>58</v>
      </c>
    </row>
    <row r="11031" spans="1:4" ht="15.75" customHeight="1">
      <c r="A11031" t="s">
        <v>3354</v>
      </c>
      <c r="B11031" t="s">
        <v>37</v>
      </c>
      <c r="C11031" t="s">
        <v>38</v>
      </c>
      <c r="D11031">
        <v>57</v>
      </c>
    </row>
    <row r="11032" spans="1:4" ht="15.75" customHeight="1">
      <c r="A11032" t="s">
        <v>1811</v>
      </c>
      <c r="B11032" t="s">
        <v>37</v>
      </c>
      <c r="C11032" t="s">
        <v>38</v>
      </c>
      <c r="D11032">
        <v>55</v>
      </c>
    </row>
    <row r="11033" spans="1:4" ht="15.75" customHeight="1">
      <c r="A11033" t="s">
        <v>4440</v>
      </c>
      <c r="B11033" t="s">
        <v>37</v>
      </c>
      <c r="C11033" t="s">
        <v>38</v>
      </c>
      <c r="D11033">
        <v>55</v>
      </c>
    </row>
    <row r="11034" spans="1:4" ht="15.75" customHeight="1">
      <c r="A11034" t="s">
        <v>4435</v>
      </c>
      <c r="B11034" t="s">
        <v>37</v>
      </c>
      <c r="C11034" t="s">
        <v>38</v>
      </c>
      <c r="D11034">
        <v>55</v>
      </c>
    </row>
    <row r="11035" spans="1:4" ht="15.75" customHeight="1">
      <c r="A11035" t="s">
        <v>1547</v>
      </c>
      <c r="B11035" t="s">
        <v>37</v>
      </c>
      <c r="C11035" t="s">
        <v>38</v>
      </c>
      <c r="D11035">
        <v>54</v>
      </c>
    </row>
    <row r="11036" spans="1:4" ht="15.75" customHeight="1">
      <c r="A11036" t="s">
        <v>3352</v>
      </c>
      <c r="B11036" t="s">
        <v>37</v>
      </c>
      <c r="C11036" t="s">
        <v>38</v>
      </c>
      <c r="D11036">
        <v>53</v>
      </c>
    </row>
    <row r="11037" spans="1:4" ht="15.75" customHeight="1">
      <c r="A11037" t="s">
        <v>4874</v>
      </c>
      <c r="B11037" t="s">
        <v>37</v>
      </c>
      <c r="C11037" t="s">
        <v>38</v>
      </c>
      <c r="D11037">
        <v>53</v>
      </c>
    </row>
    <row r="11038" spans="1:4" ht="15.75" customHeight="1">
      <c r="A11038" t="s">
        <v>4853</v>
      </c>
      <c r="B11038" t="s">
        <v>37</v>
      </c>
      <c r="C11038" t="s">
        <v>38</v>
      </c>
      <c r="D11038">
        <v>52</v>
      </c>
    </row>
    <row r="11039" spans="1:4" ht="15.75" customHeight="1">
      <c r="A11039" t="s">
        <v>3322</v>
      </c>
      <c r="B11039" t="s">
        <v>37</v>
      </c>
      <c r="C11039" t="s">
        <v>38</v>
      </c>
      <c r="D11039">
        <v>52</v>
      </c>
    </row>
    <row r="11040" spans="1:4" ht="15.75" customHeight="1">
      <c r="A11040" t="s">
        <v>2309</v>
      </c>
      <c r="B11040" t="s">
        <v>37</v>
      </c>
      <c r="C11040" t="s">
        <v>38</v>
      </c>
      <c r="D11040">
        <v>52</v>
      </c>
    </row>
    <row r="11041" spans="1:4" ht="15.75" customHeight="1">
      <c r="A11041" t="s">
        <v>2305</v>
      </c>
      <c r="B11041" t="s">
        <v>37</v>
      </c>
      <c r="C11041" t="s">
        <v>38</v>
      </c>
      <c r="D11041">
        <v>52</v>
      </c>
    </row>
    <row r="11042" spans="1:4" ht="15.75" customHeight="1">
      <c r="A11042" t="s">
        <v>1467</v>
      </c>
      <c r="B11042" t="s">
        <v>37</v>
      </c>
      <c r="C11042" t="s">
        <v>38</v>
      </c>
      <c r="D11042">
        <v>51</v>
      </c>
    </row>
    <row r="11043" spans="1:4" ht="15.75" customHeight="1">
      <c r="A11043" t="s">
        <v>3324</v>
      </c>
      <c r="B11043" t="s">
        <v>37</v>
      </c>
      <c r="C11043" t="s">
        <v>38</v>
      </c>
      <c r="D11043">
        <v>50</v>
      </c>
    </row>
    <row r="11044" spans="1:4" ht="15.75" customHeight="1">
      <c r="A11044" t="s">
        <v>1823</v>
      </c>
      <c r="B11044" t="s">
        <v>37</v>
      </c>
      <c r="C11044" t="s">
        <v>38</v>
      </c>
      <c r="D11044">
        <v>50</v>
      </c>
    </row>
    <row r="11045" spans="1:4" ht="15.75" customHeight="1">
      <c r="A11045" t="s">
        <v>2952</v>
      </c>
      <c r="B11045" t="s">
        <v>37</v>
      </c>
      <c r="C11045" t="s">
        <v>38</v>
      </c>
      <c r="D11045">
        <v>48</v>
      </c>
    </row>
    <row r="11046" spans="1:4" ht="15.75" customHeight="1">
      <c r="A11046" t="s">
        <v>1571</v>
      </c>
      <c r="B11046" t="s">
        <v>37</v>
      </c>
      <c r="C11046" t="s">
        <v>38</v>
      </c>
      <c r="D11046">
        <v>44</v>
      </c>
    </row>
    <row r="11047" spans="1:4" ht="15.75" customHeight="1">
      <c r="A11047" t="s">
        <v>1559</v>
      </c>
      <c r="B11047" t="s">
        <v>37</v>
      </c>
      <c r="C11047" t="s">
        <v>38</v>
      </c>
      <c r="D11047">
        <v>43</v>
      </c>
    </row>
    <row r="11048" spans="1:4" ht="15.75" customHeight="1">
      <c r="A11048" t="s">
        <v>3380</v>
      </c>
      <c r="B11048" t="s">
        <v>37</v>
      </c>
      <c r="C11048" t="s">
        <v>38</v>
      </c>
      <c r="D11048">
        <v>42</v>
      </c>
    </row>
    <row r="11049" spans="1:4" ht="15.75" customHeight="1">
      <c r="A11049" t="s">
        <v>4214</v>
      </c>
      <c r="B11049" t="s">
        <v>37</v>
      </c>
      <c r="C11049" t="s">
        <v>38</v>
      </c>
      <c r="D11049">
        <v>42</v>
      </c>
    </row>
    <row r="11050" spans="1:4" ht="15.75" customHeight="1">
      <c r="A11050" t="s">
        <v>3370</v>
      </c>
      <c r="B11050" t="s">
        <v>37</v>
      </c>
      <c r="C11050" t="s">
        <v>38</v>
      </c>
      <c r="D11050">
        <v>41</v>
      </c>
    </row>
    <row r="11051" spans="1:4" ht="15.75" customHeight="1">
      <c r="A11051" t="s">
        <v>3388</v>
      </c>
      <c r="B11051" t="s">
        <v>37</v>
      </c>
      <c r="C11051" t="s">
        <v>38</v>
      </c>
      <c r="D11051">
        <v>41</v>
      </c>
    </row>
    <row r="11052" spans="1:4" ht="15.75" customHeight="1">
      <c r="A11052" t="s">
        <v>4859</v>
      </c>
      <c r="B11052" t="s">
        <v>37</v>
      </c>
      <c r="C11052" t="s">
        <v>38</v>
      </c>
      <c r="D11052">
        <v>40</v>
      </c>
    </row>
    <row r="11053" spans="1:4" ht="15.75" customHeight="1">
      <c r="A11053" t="s">
        <v>4444</v>
      </c>
      <c r="B11053" t="s">
        <v>37</v>
      </c>
      <c r="C11053" t="s">
        <v>38</v>
      </c>
      <c r="D11053">
        <v>38</v>
      </c>
    </row>
    <row r="11054" spans="1:4" ht="15.75" customHeight="1">
      <c r="A11054" t="s">
        <v>4446</v>
      </c>
      <c r="B11054" t="s">
        <v>37</v>
      </c>
      <c r="C11054" t="s">
        <v>38</v>
      </c>
      <c r="D11054">
        <v>38</v>
      </c>
    </row>
    <row r="11055" spans="1:4" ht="15.75" customHeight="1">
      <c r="A11055" t="s">
        <v>3758</v>
      </c>
      <c r="B11055" t="s">
        <v>37</v>
      </c>
      <c r="C11055" t="s">
        <v>38</v>
      </c>
      <c r="D11055">
        <v>37</v>
      </c>
    </row>
    <row r="11056" spans="1:4" ht="15.75" customHeight="1">
      <c r="A11056" t="s">
        <v>1527</v>
      </c>
      <c r="B11056" t="s">
        <v>37</v>
      </c>
      <c r="C11056" t="s">
        <v>38</v>
      </c>
      <c r="D11056">
        <v>37</v>
      </c>
    </row>
    <row r="11057" spans="1:4" ht="15.75" customHeight="1">
      <c r="A11057" t="s">
        <v>3741</v>
      </c>
      <c r="B11057" t="s">
        <v>37</v>
      </c>
      <c r="C11057" t="s">
        <v>38</v>
      </c>
      <c r="D11057">
        <v>36</v>
      </c>
    </row>
    <row r="11058" spans="1:4" ht="15.75" customHeight="1">
      <c r="A11058" t="s">
        <v>1525</v>
      </c>
      <c r="B11058" t="s">
        <v>37</v>
      </c>
      <c r="C11058" t="s">
        <v>38</v>
      </c>
      <c r="D11058">
        <v>36</v>
      </c>
    </row>
    <row r="11059" spans="1:4" ht="15.75" customHeight="1">
      <c r="A11059" t="s">
        <v>4466</v>
      </c>
      <c r="B11059" t="s">
        <v>37</v>
      </c>
      <c r="C11059" t="s">
        <v>38</v>
      </c>
      <c r="D11059">
        <v>36</v>
      </c>
    </row>
    <row r="11060" spans="1:4" ht="15.75" customHeight="1">
      <c r="A11060" t="s">
        <v>3770</v>
      </c>
      <c r="B11060" t="s">
        <v>37</v>
      </c>
      <c r="C11060" t="s">
        <v>38</v>
      </c>
      <c r="D11060">
        <v>35</v>
      </c>
    </row>
    <row r="11061" spans="1:4" ht="15.75" customHeight="1">
      <c r="A11061" t="s">
        <v>1513</v>
      </c>
      <c r="B11061" t="s">
        <v>37</v>
      </c>
      <c r="C11061" t="s">
        <v>38</v>
      </c>
      <c r="D11061">
        <v>35</v>
      </c>
    </row>
    <row r="11062" spans="1:4" ht="15.75" customHeight="1">
      <c r="A11062" t="s">
        <v>4205</v>
      </c>
      <c r="B11062" t="s">
        <v>37</v>
      </c>
      <c r="C11062" t="s">
        <v>38</v>
      </c>
      <c r="D11062">
        <v>34</v>
      </c>
    </row>
    <row r="11063" spans="1:4" ht="15.75" customHeight="1">
      <c r="A11063" t="s">
        <v>2371</v>
      </c>
      <c r="B11063" t="s">
        <v>37</v>
      </c>
      <c r="C11063" t="s">
        <v>38</v>
      </c>
      <c r="D11063">
        <v>34</v>
      </c>
    </row>
    <row r="11064" spans="1:4" ht="15.75" customHeight="1">
      <c r="A11064" t="s">
        <v>1561</v>
      </c>
      <c r="B11064" t="s">
        <v>37</v>
      </c>
      <c r="C11064" t="s">
        <v>38</v>
      </c>
      <c r="D11064">
        <v>33</v>
      </c>
    </row>
    <row r="11065" spans="1:4" ht="15.75" customHeight="1">
      <c r="A11065" t="s">
        <v>4882</v>
      </c>
      <c r="B11065" t="s">
        <v>37</v>
      </c>
      <c r="C11065" t="s">
        <v>38</v>
      </c>
      <c r="D11065">
        <v>32</v>
      </c>
    </row>
    <row r="11066" spans="1:4" ht="15.75" customHeight="1">
      <c r="A11066" t="s">
        <v>4442</v>
      </c>
      <c r="B11066" t="s">
        <v>37</v>
      </c>
      <c r="C11066" t="s">
        <v>38</v>
      </c>
      <c r="D11066">
        <v>32</v>
      </c>
    </row>
    <row r="11067" spans="1:4" ht="15.75" customHeight="1">
      <c r="A11067" t="s">
        <v>1569</v>
      </c>
      <c r="B11067" t="s">
        <v>37</v>
      </c>
      <c r="C11067" t="s">
        <v>38</v>
      </c>
      <c r="D11067">
        <v>32</v>
      </c>
    </row>
    <row r="11068" spans="1:4" ht="15.75" customHeight="1">
      <c r="A11068" t="s">
        <v>1485</v>
      </c>
      <c r="B11068" t="s">
        <v>37</v>
      </c>
      <c r="C11068" t="s">
        <v>38</v>
      </c>
      <c r="D11068">
        <v>31</v>
      </c>
    </row>
    <row r="11069" spans="1:4" ht="15.75" customHeight="1">
      <c r="A11069" t="s">
        <v>4474</v>
      </c>
      <c r="B11069" t="s">
        <v>37</v>
      </c>
      <c r="C11069" t="s">
        <v>38</v>
      </c>
      <c r="D11069">
        <v>31</v>
      </c>
    </row>
    <row r="11070" spans="1:4" ht="15.75" customHeight="1">
      <c r="A11070" t="s">
        <v>4894</v>
      </c>
      <c r="B11070" t="s">
        <v>37</v>
      </c>
      <c r="C11070" t="s">
        <v>38</v>
      </c>
      <c r="D11070">
        <v>30</v>
      </c>
    </row>
    <row r="11071" spans="1:4" ht="15.75" customHeight="1">
      <c r="A11071" t="s">
        <v>3334</v>
      </c>
      <c r="B11071" t="s">
        <v>37</v>
      </c>
      <c r="C11071" t="s">
        <v>38</v>
      </c>
      <c r="D11071">
        <v>30</v>
      </c>
    </row>
    <row r="11072" spans="1:4" ht="15.75" customHeight="1">
      <c r="A11072" t="s">
        <v>901</v>
      </c>
      <c r="B11072" t="s">
        <v>37</v>
      </c>
      <c r="C11072" t="s">
        <v>38</v>
      </c>
      <c r="D11072">
        <v>30</v>
      </c>
    </row>
    <row r="11073" spans="1:4" ht="15.75" customHeight="1">
      <c r="A11073" t="s">
        <v>844</v>
      </c>
      <c r="B11073" t="s">
        <v>37</v>
      </c>
      <c r="C11073" t="s">
        <v>38</v>
      </c>
      <c r="D11073">
        <v>27</v>
      </c>
    </row>
    <row r="11074" spans="1:4" ht="15.75" customHeight="1">
      <c r="A11074" t="s">
        <v>3332</v>
      </c>
      <c r="B11074" t="s">
        <v>37</v>
      </c>
      <c r="C11074" t="s">
        <v>38</v>
      </c>
      <c r="D11074">
        <v>26</v>
      </c>
    </row>
    <row r="11075" spans="1:4" ht="15.75" customHeight="1">
      <c r="A11075" t="s">
        <v>3386</v>
      </c>
      <c r="B11075" t="s">
        <v>37</v>
      </c>
      <c r="C11075" t="s">
        <v>38</v>
      </c>
      <c r="D11075">
        <v>26</v>
      </c>
    </row>
    <row r="11076" spans="1:4" ht="15.75" customHeight="1">
      <c r="A11076" t="s">
        <v>3733</v>
      </c>
      <c r="B11076" t="s">
        <v>37</v>
      </c>
      <c r="C11076" t="s">
        <v>38</v>
      </c>
      <c r="D11076">
        <v>25</v>
      </c>
    </row>
    <row r="11077" spans="1:4" ht="15.75" customHeight="1">
      <c r="A11077" t="s">
        <v>715</v>
      </c>
      <c r="B11077" t="s">
        <v>37</v>
      </c>
      <c r="C11077" t="s">
        <v>38</v>
      </c>
      <c r="D11077">
        <v>25</v>
      </c>
    </row>
    <row r="11078" spans="1:4" ht="15.75" customHeight="1">
      <c r="A11078" t="s">
        <v>1577</v>
      </c>
      <c r="B11078" t="s">
        <v>37</v>
      </c>
      <c r="C11078" t="s">
        <v>38</v>
      </c>
      <c r="D11078">
        <v>25</v>
      </c>
    </row>
    <row r="11079" spans="1:4" ht="15.75" customHeight="1">
      <c r="A11079" t="s">
        <v>3400</v>
      </c>
      <c r="B11079" t="s">
        <v>37</v>
      </c>
      <c r="C11079" t="s">
        <v>38</v>
      </c>
      <c r="D11079">
        <v>23</v>
      </c>
    </row>
    <row r="11080" spans="1:4" ht="15.75" customHeight="1">
      <c r="A11080" t="s">
        <v>1487</v>
      </c>
      <c r="B11080" t="s">
        <v>37</v>
      </c>
      <c r="C11080" t="s">
        <v>38</v>
      </c>
      <c r="D11080">
        <v>22</v>
      </c>
    </row>
    <row r="11081" spans="1:4" ht="15.75" customHeight="1">
      <c r="A11081" t="s">
        <v>1515</v>
      </c>
      <c r="B11081" t="s">
        <v>37</v>
      </c>
      <c r="C11081" t="s">
        <v>38</v>
      </c>
      <c r="D11081">
        <v>22</v>
      </c>
    </row>
    <row r="11082" spans="1:4" ht="15.75" customHeight="1">
      <c r="A11082" t="s">
        <v>3336</v>
      </c>
      <c r="B11082" t="s">
        <v>37</v>
      </c>
      <c r="C11082" t="s">
        <v>38</v>
      </c>
      <c r="D11082">
        <v>20</v>
      </c>
    </row>
    <row r="11083" spans="1:4" ht="15.75" customHeight="1">
      <c r="A11083" t="s">
        <v>1825</v>
      </c>
      <c r="B11083" t="s">
        <v>37</v>
      </c>
      <c r="C11083" t="s">
        <v>38</v>
      </c>
      <c r="D11083">
        <v>20</v>
      </c>
    </row>
    <row r="11084" spans="1:4" ht="15.75" customHeight="1">
      <c r="A11084" t="s">
        <v>729</v>
      </c>
      <c r="B11084" t="s">
        <v>37</v>
      </c>
      <c r="C11084" t="s">
        <v>38</v>
      </c>
      <c r="D11084">
        <v>19</v>
      </c>
    </row>
    <row r="11085" spans="1:4" ht="15.75" customHeight="1">
      <c r="A11085" t="s">
        <v>1533</v>
      </c>
      <c r="B11085" t="s">
        <v>37</v>
      </c>
      <c r="C11085" t="s">
        <v>38</v>
      </c>
      <c r="D11085">
        <v>19</v>
      </c>
    </row>
    <row r="11086" spans="1:4" ht="15.75" customHeight="1">
      <c r="A11086" t="s">
        <v>2928</v>
      </c>
      <c r="B11086" t="s">
        <v>37</v>
      </c>
      <c r="C11086" t="s">
        <v>38</v>
      </c>
      <c r="D11086">
        <v>19</v>
      </c>
    </row>
    <row r="11087" spans="1:4" ht="15.75" customHeight="1">
      <c r="A11087" t="s">
        <v>4902</v>
      </c>
      <c r="B11087" t="s">
        <v>37</v>
      </c>
      <c r="C11087" t="s">
        <v>38</v>
      </c>
      <c r="D11087">
        <v>19</v>
      </c>
    </row>
    <row r="11088" spans="1:4" ht="15.75" customHeight="1">
      <c r="A11088" t="s">
        <v>1464</v>
      </c>
      <c r="B11088" t="s">
        <v>37</v>
      </c>
      <c r="C11088" t="s">
        <v>38</v>
      </c>
      <c r="D11088">
        <v>18</v>
      </c>
    </row>
    <row r="11089" spans="1:4" ht="15.75" customHeight="1">
      <c r="A11089" t="s">
        <v>818</v>
      </c>
      <c r="B11089" t="s">
        <v>37</v>
      </c>
      <c r="C11089" t="s">
        <v>38</v>
      </c>
      <c r="D11089">
        <v>17</v>
      </c>
    </row>
    <row r="11090" spans="1:4" ht="15.75" customHeight="1">
      <c r="A11090" t="s">
        <v>1531</v>
      </c>
      <c r="B11090" t="s">
        <v>37</v>
      </c>
      <c r="C11090" t="s">
        <v>38</v>
      </c>
      <c r="D11090">
        <v>13</v>
      </c>
    </row>
    <row r="11091" spans="1:4" ht="15.75" customHeight="1">
      <c r="A11091" t="s">
        <v>1821</v>
      </c>
      <c r="B11091" t="s">
        <v>37</v>
      </c>
      <c r="C11091" t="s">
        <v>38</v>
      </c>
      <c r="D11091">
        <v>13</v>
      </c>
    </row>
    <row r="11092" spans="1:4" ht="15.75" customHeight="1">
      <c r="A11092" t="s">
        <v>3783</v>
      </c>
      <c r="B11092" t="s">
        <v>37</v>
      </c>
      <c r="C11092" t="s">
        <v>38</v>
      </c>
      <c r="D11092">
        <v>13</v>
      </c>
    </row>
    <row r="11093" spans="1:4" ht="15.75" customHeight="1">
      <c r="A11093" t="s">
        <v>1501</v>
      </c>
      <c r="B11093" t="s">
        <v>37</v>
      </c>
      <c r="C11093" t="s">
        <v>38</v>
      </c>
      <c r="D11093">
        <v>12</v>
      </c>
    </row>
    <row r="11094" spans="1:4" ht="15.75" customHeight="1">
      <c r="A11094" t="s">
        <v>1565</v>
      </c>
      <c r="B11094" t="s">
        <v>37</v>
      </c>
      <c r="C11094" t="s">
        <v>38</v>
      </c>
      <c r="D11094">
        <v>11</v>
      </c>
    </row>
    <row r="11095" spans="1:4" ht="15.75" customHeight="1">
      <c r="A11095" t="s">
        <v>1815</v>
      </c>
      <c r="B11095" t="s">
        <v>37</v>
      </c>
      <c r="C11095" t="s">
        <v>38</v>
      </c>
      <c r="D11095">
        <v>11</v>
      </c>
    </row>
    <row r="11096" spans="1:4" ht="15.75" customHeight="1">
      <c r="A11096" t="s">
        <v>3778</v>
      </c>
      <c r="B11096" t="s">
        <v>37</v>
      </c>
      <c r="C11096" t="s">
        <v>38</v>
      </c>
      <c r="D11096">
        <v>11</v>
      </c>
    </row>
    <row r="11097" spans="1:4" ht="15.75" customHeight="1">
      <c r="A11097" t="s">
        <v>1567</v>
      </c>
      <c r="B11097" t="s">
        <v>37</v>
      </c>
      <c r="C11097" t="s">
        <v>38</v>
      </c>
      <c r="D11097">
        <v>10</v>
      </c>
    </row>
    <row r="11098" spans="1:4" ht="15.75" customHeight="1">
      <c r="A11098" t="s">
        <v>2319</v>
      </c>
      <c r="B11098" t="s">
        <v>37</v>
      </c>
      <c r="C11098" t="s">
        <v>38</v>
      </c>
      <c r="D11098">
        <v>9</v>
      </c>
    </row>
    <row r="11099" spans="1:4" ht="15.75" customHeight="1">
      <c r="A11099" t="s">
        <v>3762</v>
      </c>
      <c r="B11099" t="s">
        <v>37</v>
      </c>
      <c r="C11099" t="s">
        <v>38</v>
      </c>
      <c r="D11099">
        <v>9</v>
      </c>
    </row>
    <row r="11100" spans="1:4" ht="15.75" customHeight="1">
      <c r="A11100" t="s">
        <v>4464</v>
      </c>
      <c r="B11100" t="s">
        <v>37</v>
      </c>
      <c r="C11100" t="s">
        <v>38</v>
      </c>
      <c r="D11100">
        <v>9</v>
      </c>
    </row>
    <row r="11101" spans="1:4" ht="15.75" customHeight="1">
      <c r="A11101" t="s">
        <v>1575</v>
      </c>
      <c r="B11101" t="s">
        <v>37</v>
      </c>
      <c r="C11101" t="s">
        <v>38</v>
      </c>
      <c r="D11101">
        <v>8</v>
      </c>
    </row>
    <row r="11102" spans="1:4" ht="15.75" customHeight="1">
      <c r="A11102" t="s">
        <v>1551</v>
      </c>
      <c r="B11102" t="s">
        <v>37</v>
      </c>
      <c r="C11102" t="s">
        <v>38</v>
      </c>
      <c r="D11102">
        <v>7</v>
      </c>
    </row>
    <row r="11103" spans="1:4" ht="15.75" customHeight="1">
      <c r="A11103" t="s">
        <v>4876</v>
      </c>
      <c r="B11103" t="s">
        <v>37</v>
      </c>
      <c r="C11103" t="s">
        <v>38</v>
      </c>
      <c r="D11103">
        <v>7</v>
      </c>
    </row>
    <row r="11104" spans="1:4" ht="15.75" customHeight="1">
      <c r="A11104" t="s">
        <v>867</v>
      </c>
      <c r="B11104" t="s">
        <v>37</v>
      </c>
      <c r="C11104" t="s">
        <v>38</v>
      </c>
      <c r="D11104">
        <v>6</v>
      </c>
    </row>
    <row r="11105" spans="1:4" ht="15.75" customHeight="1">
      <c r="A11105" t="s">
        <v>3344</v>
      </c>
      <c r="B11105" t="s">
        <v>37</v>
      </c>
      <c r="C11105" t="s">
        <v>38</v>
      </c>
      <c r="D11105">
        <v>6</v>
      </c>
    </row>
    <row r="11106" spans="1:4" ht="15.75" customHeight="1">
      <c r="A11106" t="s">
        <v>1477</v>
      </c>
      <c r="B11106" t="s">
        <v>37</v>
      </c>
      <c r="C11106" t="s">
        <v>38</v>
      </c>
      <c r="D11106">
        <v>6</v>
      </c>
    </row>
    <row r="11107" spans="1:4" ht="15.75" customHeight="1">
      <c r="A11107" t="s">
        <v>4448</v>
      </c>
      <c r="B11107" t="s">
        <v>37</v>
      </c>
      <c r="C11107" t="s">
        <v>38</v>
      </c>
      <c r="D11107">
        <v>4</v>
      </c>
    </row>
    <row r="11108" spans="1:4" ht="15.75" customHeight="1">
      <c r="A11108" t="s">
        <v>3368</v>
      </c>
      <c r="B11108" t="s">
        <v>37</v>
      </c>
      <c r="C11108" t="s">
        <v>38</v>
      </c>
      <c r="D11108">
        <v>4</v>
      </c>
    </row>
    <row r="11109" spans="1:4" ht="15.75" customHeight="1">
      <c r="A11109" t="s">
        <v>3780</v>
      </c>
      <c r="B11109" t="s">
        <v>37</v>
      </c>
      <c r="C11109" t="s">
        <v>38</v>
      </c>
      <c r="D11109">
        <v>1</v>
      </c>
    </row>
    <row r="11110" spans="1:4" ht="15.75" customHeight="1">
      <c r="A11110" t="s">
        <v>761</v>
      </c>
      <c r="B11110" t="s">
        <v>37</v>
      </c>
      <c r="C11110" t="s">
        <v>37</v>
      </c>
      <c r="D11110">
        <v>393</v>
      </c>
    </row>
    <row r="11111" spans="1:4" ht="15.75" customHeight="1">
      <c r="A11111" t="s">
        <v>724</v>
      </c>
      <c r="B11111" t="s">
        <v>37</v>
      </c>
      <c r="C11111" t="s">
        <v>37</v>
      </c>
      <c r="D11111">
        <v>387</v>
      </c>
    </row>
    <row r="11112" spans="1:4" ht="15.75" customHeight="1">
      <c r="A11112" t="s">
        <v>719</v>
      </c>
      <c r="B11112" t="s">
        <v>37</v>
      </c>
      <c r="C11112" t="s">
        <v>37</v>
      </c>
      <c r="D11112">
        <v>383</v>
      </c>
    </row>
    <row r="11113" spans="1:4" ht="15.75" customHeight="1">
      <c r="A11113" t="s">
        <v>721</v>
      </c>
      <c r="B11113" t="s">
        <v>37</v>
      </c>
      <c r="C11113" t="s">
        <v>37</v>
      </c>
      <c r="D11113">
        <v>379</v>
      </c>
    </row>
    <row r="11114" spans="1:4" ht="15.75" customHeight="1">
      <c r="A11114" t="s">
        <v>736</v>
      </c>
      <c r="B11114" t="s">
        <v>37</v>
      </c>
      <c r="C11114" t="s">
        <v>37</v>
      </c>
      <c r="D11114">
        <v>378</v>
      </c>
    </row>
    <row r="11115" spans="1:4" ht="15.75" customHeight="1">
      <c r="A11115" t="s">
        <v>800</v>
      </c>
      <c r="B11115" t="s">
        <v>37</v>
      </c>
      <c r="C11115" t="s">
        <v>37</v>
      </c>
      <c r="D11115">
        <v>377</v>
      </c>
    </row>
    <row r="11116" spans="1:4" ht="15.75" customHeight="1">
      <c r="A11116" t="s">
        <v>751</v>
      </c>
      <c r="B11116" t="s">
        <v>37</v>
      </c>
      <c r="C11116" t="s">
        <v>37</v>
      </c>
      <c r="D11116">
        <v>376</v>
      </c>
    </row>
    <row r="11117" spans="1:4" ht="15.75" customHeight="1">
      <c r="A11117" t="s">
        <v>802</v>
      </c>
      <c r="B11117" t="s">
        <v>37</v>
      </c>
      <c r="C11117" t="s">
        <v>37</v>
      </c>
      <c r="D11117">
        <v>375</v>
      </c>
    </row>
    <row r="11118" spans="1:4" ht="15.75" customHeight="1">
      <c r="A11118" t="s">
        <v>909</v>
      </c>
      <c r="B11118" t="s">
        <v>37</v>
      </c>
      <c r="C11118" t="s">
        <v>37</v>
      </c>
      <c r="D11118">
        <v>373</v>
      </c>
    </row>
    <row r="11119" spans="1:4" ht="15.75" customHeight="1">
      <c r="A11119" t="s">
        <v>828</v>
      </c>
      <c r="B11119" t="s">
        <v>37</v>
      </c>
      <c r="C11119" t="s">
        <v>37</v>
      </c>
      <c r="D11119">
        <v>373</v>
      </c>
    </row>
    <row r="11120" spans="1:4" ht="15.75" customHeight="1">
      <c r="A11120" t="s">
        <v>814</v>
      </c>
      <c r="B11120" t="s">
        <v>37</v>
      </c>
      <c r="C11120" t="s">
        <v>37</v>
      </c>
      <c r="D11120">
        <v>372</v>
      </c>
    </row>
    <row r="11121" spans="1:4" ht="15.75" customHeight="1">
      <c r="A11121" t="s">
        <v>824</v>
      </c>
      <c r="B11121" t="s">
        <v>37</v>
      </c>
      <c r="C11121" t="s">
        <v>37</v>
      </c>
      <c r="D11121">
        <v>371</v>
      </c>
    </row>
    <row r="11122" spans="1:4" ht="15.75" customHeight="1">
      <c r="A11122" t="s">
        <v>754</v>
      </c>
      <c r="B11122" t="s">
        <v>37</v>
      </c>
      <c r="C11122" t="s">
        <v>37</v>
      </c>
      <c r="D11122">
        <v>369</v>
      </c>
    </row>
    <row r="11123" spans="1:4" ht="15.75" customHeight="1">
      <c r="A11123" t="s">
        <v>891</v>
      </c>
      <c r="B11123" t="s">
        <v>37</v>
      </c>
      <c r="C11123" t="s">
        <v>37</v>
      </c>
      <c r="D11123">
        <v>367</v>
      </c>
    </row>
    <row r="11124" spans="1:4" ht="15.75" customHeight="1">
      <c r="A11124" t="s">
        <v>712</v>
      </c>
      <c r="B11124" t="s">
        <v>37</v>
      </c>
      <c r="C11124" t="s">
        <v>37</v>
      </c>
      <c r="D11124">
        <v>367</v>
      </c>
    </row>
    <row r="11125" spans="1:4" ht="15.75" customHeight="1">
      <c r="A11125" t="s">
        <v>765</v>
      </c>
      <c r="B11125" t="s">
        <v>37</v>
      </c>
      <c r="C11125" t="s">
        <v>37</v>
      </c>
      <c r="D11125">
        <v>367</v>
      </c>
    </row>
    <row r="11126" spans="1:4" ht="15.75" customHeight="1">
      <c r="A11126" t="s">
        <v>804</v>
      </c>
      <c r="B11126" t="s">
        <v>37</v>
      </c>
      <c r="C11126" t="s">
        <v>37</v>
      </c>
      <c r="D11126">
        <v>366</v>
      </c>
    </row>
    <row r="11127" spans="1:4" ht="15.75" customHeight="1">
      <c r="A11127" t="s">
        <v>734</v>
      </c>
      <c r="B11127" t="s">
        <v>37</v>
      </c>
      <c r="C11127" t="s">
        <v>37</v>
      </c>
      <c r="D11127">
        <v>366</v>
      </c>
    </row>
    <row r="11128" spans="1:4" ht="15.75" customHeight="1">
      <c r="A11128" t="s">
        <v>826</v>
      </c>
      <c r="B11128" t="s">
        <v>37</v>
      </c>
      <c r="C11128" t="s">
        <v>37</v>
      </c>
      <c r="D11128">
        <v>365</v>
      </c>
    </row>
    <row r="11129" spans="1:4" ht="15.75" customHeight="1">
      <c r="A11129" t="s">
        <v>1461</v>
      </c>
      <c r="B11129" t="s">
        <v>37</v>
      </c>
      <c r="C11129" t="s">
        <v>37</v>
      </c>
      <c r="D11129">
        <v>362</v>
      </c>
    </row>
    <row r="11130" spans="1:4" ht="15.75" customHeight="1">
      <c r="A11130" t="s">
        <v>769</v>
      </c>
      <c r="B11130" t="s">
        <v>37</v>
      </c>
      <c r="C11130" t="s">
        <v>37</v>
      </c>
      <c r="D11130">
        <v>360</v>
      </c>
    </row>
    <row r="11131" spans="1:4" ht="15.75" customHeight="1">
      <c r="A11131" t="s">
        <v>1521</v>
      </c>
      <c r="B11131" t="s">
        <v>37</v>
      </c>
      <c r="C11131" t="s">
        <v>37</v>
      </c>
      <c r="D11131">
        <v>359</v>
      </c>
    </row>
    <row r="11132" spans="1:4" ht="15.75" customHeight="1">
      <c r="A11132" t="s">
        <v>778</v>
      </c>
      <c r="B11132" t="s">
        <v>37</v>
      </c>
      <c r="C11132" t="s">
        <v>37</v>
      </c>
      <c r="D11132">
        <v>359</v>
      </c>
    </row>
    <row r="11133" spans="1:4" ht="15.75" customHeight="1">
      <c r="A11133" t="s">
        <v>738</v>
      </c>
      <c r="B11133" t="s">
        <v>37</v>
      </c>
      <c r="C11133" t="s">
        <v>37</v>
      </c>
      <c r="D11133">
        <v>355</v>
      </c>
    </row>
    <row r="11134" spans="1:4" ht="15.75" customHeight="1">
      <c r="A11134" t="s">
        <v>776</v>
      </c>
      <c r="B11134" t="s">
        <v>37</v>
      </c>
      <c r="C11134" t="s">
        <v>37</v>
      </c>
      <c r="D11134">
        <v>355</v>
      </c>
    </row>
    <row r="11135" spans="1:4" ht="15.75" customHeight="1">
      <c r="A11135" t="s">
        <v>837</v>
      </c>
      <c r="B11135" t="s">
        <v>37</v>
      </c>
      <c r="C11135" t="s">
        <v>37</v>
      </c>
      <c r="D11135">
        <v>353</v>
      </c>
    </row>
    <row r="11136" spans="1:4" ht="15.75" customHeight="1">
      <c r="A11136" t="s">
        <v>756</v>
      </c>
      <c r="B11136" t="s">
        <v>37</v>
      </c>
      <c r="C11136" t="s">
        <v>37</v>
      </c>
      <c r="D11136">
        <v>352</v>
      </c>
    </row>
    <row r="11137" spans="1:4" ht="15.75" customHeight="1">
      <c r="A11137" t="s">
        <v>899</v>
      </c>
      <c r="B11137" t="s">
        <v>37</v>
      </c>
      <c r="C11137" t="s">
        <v>37</v>
      </c>
      <c r="D11137">
        <v>352</v>
      </c>
    </row>
    <row r="11138" spans="1:4" ht="15.75" customHeight="1">
      <c r="A11138" t="s">
        <v>883</v>
      </c>
      <c r="B11138" t="s">
        <v>37</v>
      </c>
      <c r="C11138" t="s">
        <v>37</v>
      </c>
      <c r="D11138">
        <v>352</v>
      </c>
    </row>
    <row r="11139" spans="1:4" ht="15.75" customHeight="1">
      <c r="A11139" t="s">
        <v>842</v>
      </c>
      <c r="B11139" t="s">
        <v>37</v>
      </c>
      <c r="C11139" t="s">
        <v>37</v>
      </c>
      <c r="D11139">
        <v>351</v>
      </c>
    </row>
    <row r="11140" spans="1:4" ht="15.75" customHeight="1">
      <c r="A11140" t="s">
        <v>917</v>
      </c>
      <c r="B11140" t="s">
        <v>37</v>
      </c>
      <c r="C11140" t="s">
        <v>37</v>
      </c>
      <c r="D11140">
        <v>351</v>
      </c>
    </row>
    <row r="11141" spans="1:4" ht="15.75" customHeight="1">
      <c r="A11141" t="s">
        <v>1517</v>
      </c>
      <c r="B11141" t="s">
        <v>37</v>
      </c>
      <c r="C11141" t="s">
        <v>37</v>
      </c>
      <c r="D11141">
        <v>351</v>
      </c>
    </row>
    <row r="11142" spans="1:4" ht="15.75" customHeight="1">
      <c r="A11142" t="s">
        <v>1545</v>
      </c>
      <c r="B11142" t="s">
        <v>37</v>
      </c>
      <c r="C11142" t="s">
        <v>37</v>
      </c>
      <c r="D11142">
        <v>350</v>
      </c>
    </row>
    <row r="11143" spans="1:4" ht="15.75" customHeight="1">
      <c r="A11143" t="s">
        <v>2936</v>
      </c>
      <c r="B11143" t="s">
        <v>37</v>
      </c>
      <c r="C11143" t="s">
        <v>37</v>
      </c>
      <c r="D11143">
        <v>349</v>
      </c>
    </row>
    <row r="11144" spans="1:4" ht="15.75" customHeight="1">
      <c r="A11144" t="s">
        <v>831</v>
      </c>
      <c r="B11144" t="s">
        <v>37</v>
      </c>
      <c r="C11144" t="s">
        <v>37</v>
      </c>
      <c r="D11144">
        <v>349</v>
      </c>
    </row>
    <row r="11145" spans="1:4" ht="15.75" customHeight="1">
      <c r="A11145" t="s">
        <v>812</v>
      </c>
      <c r="B11145" t="s">
        <v>37</v>
      </c>
      <c r="C11145" t="s">
        <v>37</v>
      </c>
      <c r="D11145">
        <v>346</v>
      </c>
    </row>
    <row r="11146" spans="1:4" ht="15.75" customHeight="1">
      <c r="A11146" t="s">
        <v>1503</v>
      </c>
      <c r="B11146" t="s">
        <v>37</v>
      </c>
      <c r="C11146" t="s">
        <v>37</v>
      </c>
      <c r="D11146">
        <v>345</v>
      </c>
    </row>
    <row r="11147" spans="1:4" ht="15.75" customHeight="1">
      <c r="A11147" t="s">
        <v>740</v>
      </c>
      <c r="B11147" t="s">
        <v>37</v>
      </c>
      <c r="C11147" t="s">
        <v>37</v>
      </c>
      <c r="D11147">
        <v>345</v>
      </c>
    </row>
    <row r="11148" spans="1:4" ht="15.75" customHeight="1">
      <c r="A11148" t="s">
        <v>2315</v>
      </c>
      <c r="B11148" t="s">
        <v>37</v>
      </c>
      <c r="C11148" t="s">
        <v>37</v>
      </c>
      <c r="D11148">
        <v>342</v>
      </c>
    </row>
    <row r="11149" spans="1:4" ht="15.75" customHeight="1">
      <c r="A11149" t="s">
        <v>840</v>
      </c>
      <c r="B11149" t="s">
        <v>37</v>
      </c>
      <c r="C11149" t="s">
        <v>37</v>
      </c>
      <c r="D11149">
        <v>341</v>
      </c>
    </row>
    <row r="11150" spans="1:4" ht="15.75" customHeight="1">
      <c r="A11150" t="s">
        <v>1535</v>
      </c>
      <c r="B11150" t="s">
        <v>37</v>
      </c>
      <c r="C11150" t="s">
        <v>37</v>
      </c>
      <c r="D11150">
        <v>341</v>
      </c>
    </row>
    <row r="11151" spans="1:4" ht="15.75" customHeight="1">
      <c r="A11151" t="s">
        <v>820</v>
      </c>
      <c r="B11151" t="s">
        <v>37</v>
      </c>
      <c r="C11151" t="s">
        <v>37</v>
      </c>
      <c r="D11151">
        <v>340</v>
      </c>
    </row>
    <row r="11152" spans="1:4" ht="15.75" customHeight="1">
      <c r="A11152" t="s">
        <v>2353</v>
      </c>
      <c r="B11152" t="s">
        <v>37</v>
      </c>
      <c r="C11152" t="s">
        <v>37</v>
      </c>
      <c r="D11152">
        <v>340</v>
      </c>
    </row>
    <row r="11153" spans="1:4" ht="15.75" customHeight="1">
      <c r="A11153" t="s">
        <v>855</v>
      </c>
      <c r="B11153" t="s">
        <v>37</v>
      </c>
      <c r="C11153" t="s">
        <v>37</v>
      </c>
      <c r="D11153">
        <v>339</v>
      </c>
    </row>
    <row r="11154" spans="1:4" ht="15.75" customHeight="1">
      <c r="A11154" t="s">
        <v>1537</v>
      </c>
      <c r="B11154" t="s">
        <v>37</v>
      </c>
      <c r="C11154" t="s">
        <v>37</v>
      </c>
      <c r="D11154">
        <v>338</v>
      </c>
    </row>
    <row r="11155" spans="1:4" ht="15.75" customHeight="1">
      <c r="A11155" t="s">
        <v>873</v>
      </c>
      <c r="B11155" t="s">
        <v>37</v>
      </c>
      <c r="C11155" t="s">
        <v>37</v>
      </c>
      <c r="D11155">
        <v>338</v>
      </c>
    </row>
    <row r="11156" spans="1:4" ht="15.75" customHeight="1">
      <c r="A11156" t="s">
        <v>1455</v>
      </c>
      <c r="B11156" t="s">
        <v>37</v>
      </c>
      <c r="C11156" t="s">
        <v>37</v>
      </c>
      <c r="D11156">
        <v>336</v>
      </c>
    </row>
    <row r="11157" spans="1:4" ht="15.75" customHeight="1">
      <c r="A11157" t="s">
        <v>2333</v>
      </c>
      <c r="B11157" t="s">
        <v>37</v>
      </c>
      <c r="C11157" t="s">
        <v>37</v>
      </c>
      <c r="D11157">
        <v>336</v>
      </c>
    </row>
    <row r="11158" spans="1:4" ht="15.75" customHeight="1">
      <c r="A11158" t="s">
        <v>2877</v>
      </c>
      <c r="B11158" t="s">
        <v>37</v>
      </c>
      <c r="C11158" t="s">
        <v>37</v>
      </c>
      <c r="D11158">
        <v>335</v>
      </c>
    </row>
    <row r="11159" spans="1:4" ht="15.75" customHeight="1">
      <c r="A11159" t="s">
        <v>2882</v>
      </c>
      <c r="B11159" t="s">
        <v>37</v>
      </c>
      <c r="C11159" t="s">
        <v>37</v>
      </c>
      <c r="D11159">
        <v>335</v>
      </c>
    </row>
    <row r="11160" spans="1:4" ht="15.75" customHeight="1">
      <c r="A11160" t="s">
        <v>893</v>
      </c>
      <c r="B11160" t="s">
        <v>37</v>
      </c>
      <c r="C11160" t="s">
        <v>37</v>
      </c>
      <c r="D11160">
        <v>335</v>
      </c>
    </row>
    <row r="11161" spans="1:4" ht="15.75" customHeight="1">
      <c r="A11161" t="s">
        <v>1489</v>
      </c>
      <c r="B11161" t="s">
        <v>37</v>
      </c>
      <c r="C11161" t="s">
        <v>37</v>
      </c>
      <c r="D11161">
        <v>334</v>
      </c>
    </row>
    <row r="11162" spans="1:4" ht="15.75" customHeight="1">
      <c r="A11162" t="s">
        <v>792</v>
      </c>
      <c r="B11162" t="s">
        <v>37</v>
      </c>
      <c r="C11162" t="s">
        <v>37</v>
      </c>
      <c r="D11162">
        <v>334</v>
      </c>
    </row>
    <row r="11163" spans="1:4" ht="15.75" customHeight="1">
      <c r="A11163" t="s">
        <v>833</v>
      </c>
      <c r="B11163" t="s">
        <v>37</v>
      </c>
      <c r="C11163" t="s">
        <v>37</v>
      </c>
      <c r="D11163">
        <v>334</v>
      </c>
    </row>
    <row r="11164" spans="1:4" ht="15.75" customHeight="1">
      <c r="A11164" t="s">
        <v>887</v>
      </c>
      <c r="B11164" t="s">
        <v>37</v>
      </c>
      <c r="C11164" t="s">
        <v>37</v>
      </c>
      <c r="D11164">
        <v>333</v>
      </c>
    </row>
    <row r="11165" spans="1:4" ht="15.75" customHeight="1">
      <c r="A11165" t="s">
        <v>2924</v>
      </c>
      <c r="B11165" t="s">
        <v>37</v>
      </c>
      <c r="C11165" t="s">
        <v>37</v>
      </c>
      <c r="D11165">
        <v>329</v>
      </c>
    </row>
    <row r="11166" spans="1:4" ht="15.75" customHeight="1">
      <c r="A11166" t="s">
        <v>3356</v>
      </c>
      <c r="B11166" t="s">
        <v>37</v>
      </c>
      <c r="C11166" t="s">
        <v>37</v>
      </c>
      <c r="D11166">
        <v>328</v>
      </c>
    </row>
    <row r="11167" spans="1:4" ht="15.75" customHeight="1">
      <c r="A11167" t="s">
        <v>816</v>
      </c>
      <c r="B11167" t="s">
        <v>37</v>
      </c>
      <c r="C11167" t="s">
        <v>37</v>
      </c>
      <c r="D11167">
        <v>327</v>
      </c>
    </row>
    <row r="11168" spans="1:4" ht="15.75" customHeight="1">
      <c r="A11168" t="s">
        <v>2908</v>
      </c>
      <c r="B11168" t="s">
        <v>37</v>
      </c>
      <c r="C11168" t="s">
        <v>37</v>
      </c>
      <c r="D11168">
        <v>326</v>
      </c>
    </row>
    <row r="11169" spans="1:4" ht="15.75" customHeight="1">
      <c r="A11169" t="s">
        <v>822</v>
      </c>
      <c r="B11169" t="s">
        <v>37</v>
      </c>
      <c r="C11169" t="s">
        <v>37</v>
      </c>
      <c r="D11169">
        <v>326</v>
      </c>
    </row>
    <row r="11170" spans="1:4" ht="15.75" customHeight="1">
      <c r="A11170" t="s">
        <v>2943</v>
      </c>
      <c r="B11170" t="s">
        <v>37</v>
      </c>
      <c r="C11170" t="s">
        <v>37</v>
      </c>
      <c r="D11170">
        <v>325</v>
      </c>
    </row>
    <row r="11171" spans="1:4" ht="15.75" customHeight="1">
      <c r="A11171" t="s">
        <v>780</v>
      </c>
      <c r="B11171" t="s">
        <v>37</v>
      </c>
      <c r="C11171" t="s">
        <v>37</v>
      </c>
      <c r="D11171">
        <v>324</v>
      </c>
    </row>
    <row r="11172" spans="1:4" ht="15.75" customHeight="1">
      <c r="A11172" t="s">
        <v>709</v>
      </c>
      <c r="B11172" t="s">
        <v>37</v>
      </c>
      <c r="C11172" t="s">
        <v>37</v>
      </c>
      <c r="D11172">
        <v>324</v>
      </c>
    </row>
    <row r="11173" spans="1:4" ht="15.75" customHeight="1">
      <c r="A11173" t="s">
        <v>1523</v>
      </c>
      <c r="B11173" t="s">
        <v>37</v>
      </c>
      <c r="C11173" t="s">
        <v>37</v>
      </c>
      <c r="D11173">
        <v>324</v>
      </c>
    </row>
    <row r="11174" spans="1:4" ht="15.75" customHeight="1">
      <c r="A11174" t="s">
        <v>859</v>
      </c>
      <c r="B11174" t="s">
        <v>37</v>
      </c>
      <c r="C11174" t="s">
        <v>37</v>
      </c>
      <c r="D11174">
        <v>322</v>
      </c>
    </row>
    <row r="11175" spans="1:4" ht="15.75" customHeight="1">
      <c r="A11175" t="s">
        <v>767</v>
      </c>
      <c r="B11175" t="s">
        <v>37</v>
      </c>
      <c r="C11175" t="s">
        <v>37</v>
      </c>
      <c r="D11175">
        <v>322</v>
      </c>
    </row>
    <row r="11176" spans="1:4" ht="15.75" customHeight="1">
      <c r="A11176" t="s">
        <v>1563</v>
      </c>
      <c r="B11176" t="s">
        <v>37</v>
      </c>
      <c r="C11176" t="s">
        <v>37</v>
      </c>
      <c r="D11176">
        <v>321</v>
      </c>
    </row>
    <row r="11177" spans="1:4" ht="15.75" customHeight="1">
      <c r="A11177" t="s">
        <v>4884</v>
      </c>
      <c r="B11177" t="s">
        <v>37</v>
      </c>
      <c r="C11177" t="s">
        <v>37</v>
      </c>
      <c r="D11177">
        <v>320</v>
      </c>
    </row>
    <row r="11178" spans="1:4" ht="15.75" customHeight="1">
      <c r="A11178" t="s">
        <v>2359</v>
      </c>
      <c r="B11178" t="s">
        <v>37</v>
      </c>
      <c r="C11178" t="s">
        <v>37</v>
      </c>
      <c r="D11178">
        <v>320</v>
      </c>
    </row>
    <row r="11179" spans="1:4" ht="15.75" customHeight="1">
      <c r="A11179" t="s">
        <v>2902</v>
      </c>
      <c r="B11179" t="s">
        <v>37</v>
      </c>
      <c r="C11179" t="s">
        <v>37</v>
      </c>
      <c r="D11179">
        <v>319</v>
      </c>
    </row>
    <row r="11180" spans="1:4" ht="15.75" customHeight="1">
      <c r="A11180" t="s">
        <v>2325</v>
      </c>
      <c r="B11180" t="s">
        <v>37</v>
      </c>
      <c r="C11180" t="s">
        <v>37</v>
      </c>
      <c r="D11180">
        <v>319</v>
      </c>
    </row>
    <row r="11181" spans="1:4" ht="15.75" customHeight="1">
      <c r="A11181" t="s">
        <v>1819</v>
      </c>
      <c r="B11181" t="s">
        <v>37</v>
      </c>
      <c r="C11181" t="s">
        <v>37</v>
      </c>
      <c r="D11181">
        <v>318</v>
      </c>
    </row>
    <row r="11182" spans="1:4" ht="15.75" customHeight="1">
      <c r="A11182" t="s">
        <v>810</v>
      </c>
      <c r="B11182" t="s">
        <v>37</v>
      </c>
      <c r="C11182" t="s">
        <v>37</v>
      </c>
      <c r="D11182">
        <v>318</v>
      </c>
    </row>
    <row r="11183" spans="1:4" ht="15.75" customHeight="1">
      <c r="A11183" t="s">
        <v>3402</v>
      </c>
      <c r="B11183" t="s">
        <v>37</v>
      </c>
      <c r="C11183" t="s">
        <v>37</v>
      </c>
      <c r="D11183">
        <v>318</v>
      </c>
    </row>
    <row r="11184" spans="1:4" ht="15.75" customHeight="1">
      <c r="A11184" t="s">
        <v>2914</v>
      </c>
      <c r="B11184" t="s">
        <v>37</v>
      </c>
      <c r="C11184" t="s">
        <v>37</v>
      </c>
      <c r="D11184">
        <v>317</v>
      </c>
    </row>
    <row r="11185" spans="1:4" ht="15.75" customHeight="1">
      <c r="A11185" t="s">
        <v>2331</v>
      </c>
      <c r="B11185" t="s">
        <v>37</v>
      </c>
      <c r="C11185" t="s">
        <v>37</v>
      </c>
      <c r="D11185">
        <v>317</v>
      </c>
    </row>
    <row r="11186" spans="1:4" ht="15.75" customHeight="1">
      <c r="A11186" t="s">
        <v>2910</v>
      </c>
      <c r="B11186" t="s">
        <v>37</v>
      </c>
      <c r="C11186" t="s">
        <v>37</v>
      </c>
      <c r="D11186">
        <v>316</v>
      </c>
    </row>
    <row r="11187" spans="1:4" ht="15.75" customHeight="1">
      <c r="A11187" t="s">
        <v>4174</v>
      </c>
      <c r="B11187" t="s">
        <v>37</v>
      </c>
      <c r="C11187" t="s">
        <v>37</v>
      </c>
      <c r="D11187">
        <v>316</v>
      </c>
    </row>
    <row r="11188" spans="1:4" ht="15.75" customHeight="1">
      <c r="A11188" t="s">
        <v>808</v>
      </c>
      <c r="B11188" t="s">
        <v>37</v>
      </c>
      <c r="C11188" t="s">
        <v>37</v>
      </c>
      <c r="D11188">
        <v>316</v>
      </c>
    </row>
    <row r="11189" spans="1:4" ht="15.75" customHeight="1">
      <c r="A11189" t="s">
        <v>4210</v>
      </c>
      <c r="B11189" t="s">
        <v>37</v>
      </c>
      <c r="C11189" t="s">
        <v>37</v>
      </c>
      <c r="D11189">
        <v>315</v>
      </c>
    </row>
    <row r="11190" spans="1:4" ht="15.75" customHeight="1">
      <c r="A11190" t="s">
        <v>763</v>
      </c>
      <c r="B11190" t="s">
        <v>37</v>
      </c>
      <c r="C11190" t="s">
        <v>37</v>
      </c>
      <c r="D11190">
        <v>315</v>
      </c>
    </row>
    <row r="11191" spans="1:4" ht="15.75" customHeight="1">
      <c r="A11191" t="s">
        <v>806</v>
      </c>
      <c r="B11191" t="s">
        <v>37</v>
      </c>
      <c r="C11191" t="s">
        <v>37</v>
      </c>
      <c r="D11191">
        <v>314</v>
      </c>
    </row>
    <row r="11192" spans="1:4" ht="15.75" customHeight="1">
      <c r="A11192" t="s">
        <v>2930</v>
      </c>
      <c r="B11192" t="s">
        <v>37</v>
      </c>
      <c r="C11192" t="s">
        <v>37</v>
      </c>
      <c r="D11192">
        <v>312</v>
      </c>
    </row>
    <row r="11193" spans="1:4" ht="15.75" customHeight="1">
      <c r="A11193" t="s">
        <v>4872</v>
      </c>
      <c r="B11193" t="s">
        <v>37</v>
      </c>
      <c r="C11193" t="s">
        <v>37</v>
      </c>
      <c r="D11193">
        <v>311</v>
      </c>
    </row>
    <row r="11194" spans="1:4" ht="15.75" customHeight="1">
      <c r="A11194" t="s">
        <v>3342</v>
      </c>
      <c r="B11194" t="s">
        <v>37</v>
      </c>
      <c r="C11194" t="s">
        <v>37</v>
      </c>
      <c r="D11194">
        <v>311</v>
      </c>
    </row>
    <row r="11195" spans="1:4" ht="15.75" customHeight="1">
      <c r="A11195" t="s">
        <v>727</v>
      </c>
      <c r="B11195" t="s">
        <v>37</v>
      </c>
      <c r="C11195" t="s">
        <v>37</v>
      </c>
      <c r="D11195">
        <v>310</v>
      </c>
    </row>
    <row r="11196" spans="1:4" ht="15.75" customHeight="1">
      <c r="A11196" t="s">
        <v>2361</v>
      </c>
      <c r="B11196" t="s">
        <v>37</v>
      </c>
      <c r="C11196" t="s">
        <v>37</v>
      </c>
      <c r="D11196">
        <v>308</v>
      </c>
    </row>
    <row r="11197" spans="1:4" ht="15.75" customHeight="1">
      <c r="A11197" t="s">
        <v>796</v>
      </c>
      <c r="B11197" t="s">
        <v>37</v>
      </c>
      <c r="C11197" t="s">
        <v>37</v>
      </c>
      <c r="D11197">
        <v>308</v>
      </c>
    </row>
    <row r="11198" spans="1:4" ht="15.75" customHeight="1">
      <c r="A11198" t="s">
        <v>4191</v>
      </c>
      <c r="B11198" t="s">
        <v>37</v>
      </c>
      <c r="C11198" t="s">
        <v>37</v>
      </c>
      <c r="D11198">
        <v>308</v>
      </c>
    </row>
    <row r="11199" spans="1:4" ht="15.75" customHeight="1">
      <c r="A11199" t="s">
        <v>790</v>
      </c>
      <c r="B11199" t="s">
        <v>37</v>
      </c>
      <c r="C11199" t="s">
        <v>37</v>
      </c>
      <c r="D11199">
        <v>306</v>
      </c>
    </row>
    <row r="11200" spans="1:4" ht="15.75" customHeight="1">
      <c r="A11200" t="s">
        <v>3396</v>
      </c>
      <c r="B11200" t="s">
        <v>37</v>
      </c>
      <c r="C11200" t="s">
        <v>37</v>
      </c>
      <c r="D11200">
        <v>306</v>
      </c>
    </row>
    <row r="11201" spans="1:4" ht="15.75" customHeight="1">
      <c r="A11201" t="s">
        <v>784</v>
      </c>
      <c r="B11201" t="s">
        <v>37</v>
      </c>
      <c r="C11201" t="s">
        <v>37</v>
      </c>
      <c r="D11201">
        <v>306</v>
      </c>
    </row>
    <row r="11202" spans="1:4" ht="15.75" customHeight="1">
      <c r="A11202" t="s">
        <v>788</v>
      </c>
      <c r="B11202" t="s">
        <v>37</v>
      </c>
      <c r="C11202" t="s">
        <v>37</v>
      </c>
      <c r="D11202">
        <v>303</v>
      </c>
    </row>
    <row r="11203" spans="1:4" ht="15.75" customHeight="1">
      <c r="A11203" t="s">
        <v>706</v>
      </c>
      <c r="B11203" t="s">
        <v>37</v>
      </c>
      <c r="C11203" t="s">
        <v>37</v>
      </c>
      <c r="D11203">
        <v>303</v>
      </c>
    </row>
    <row r="11204" spans="1:4" ht="15.75" customHeight="1">
      <c r="A11204" t="s">
        <v>2317</v>
      </c>
      <c r="B11204" t="s">
        <v>37</v>
      </c>
      <c r="C11204" t="s">
        <v>37</v>
      </c>
      <c r="D11204">
        <v>301</v>
      </c>
    </row>
    <row r="11205" spans="1:4" ht="15.75" customHeight="1">
      <c r="A11205" t="s">
        <v>3384</v>
      </c>
      <c r="B11205" t="s">
        <v>37</v>
      </c>
      <c r="C11205" t="s">
        <v>37</v>
      </c>
      <c r="D11205">
        <v>301</v>
      </c>
    </row>
    <row r="11206" spans="1:4" ht="15.75" customHeight="1">
      <c r="A11206" t="s">
        <v>1539</v>
      </c>
      <c r="B11206" t="s">
        <v>37</v>
      </c>
      <c r="C11206" t="s">
        <v>37</v>
      </c>
      <c r="D11206">
        <v>301</v>
      </c>
    </row>
    <row r="11207" spans="1:4" ht="15.75" customHeight="1">
      <c r="A11207" t="s">
        <v>1471</v>
      </c>
      <c r="B11207" t="s">
        <v>37</v>
      </c>
      <c r="C11207" t="s">
        <v>37</v>
      </c>
      <c r="D11207">
        <v>300</v>
      </c>
    </row>
    <row r="11208" spans="1:4" ht="15.75" customHeight="1">
      <c r="A11208" t="s">
        <v>2329</v>
      </c>
      <c r="B11208" t="s">
        <v>37</v>
      </c>
      <c r="C11208" t="s">
        <v>37</v>
      </c>
      <c r="D11208">
        <v>300</v>
      </c>
    </row>
    <row r="11209" spans="1:4" ht="15.75" customHeight="1">
      <c r="A11209" t="s">
        <v>1553</v>
      </c>
      <c r="B11209" t="s">
        <v>37</v>
      </c>
      <c r="C11209" t="s">
        <v>37</v>
      </c>
      <c r="D11209">
        <v>300</v>
      </c>
    </row>
    <row r="11210" spans="1:4" ht="15.75" customHeight="1">
      <c r="A11210" t="s">
        <v>746</v>
      </c>
      <c r="B11210" t="s">
        <v>37</v>
      </c>
      <c r="C11210" t="s">
        <v>37</v>
      </c>
      <c r="D11210">
        <v>300</v>
      </c>
    </row>
    <row r="11211" spans="1:4" ht="15.75" customHeight="1">
      <c r="A11211" t="s">
        <v>732</v>
      </c>
      <c r="B11211" t="s">
        <v>37</v>
      </c>
      <c r="C11211" t="s">
        <v>37</v>
      </c>
      <c r="D11211">
        <v>300</v>
      </c>
    </row>
    <row r="11212" spans="1:4" ht="15.75" customHeight="1">
      <c r="A11212" t="s">
        <v>4870</v>
      </c>
      <c r="B11212" t="s">
        <v>37</v>
      </c>
      <c r="C11212" t="s">
        <v>37</v>
      </c>
      <c r="D11212">
        <v>300</v>
      </c>
    </row>
    <row r="11213" spans="1:4" ht="15.75" customHeight="1">
      <c r="A11213" t="s">
        <v>2373</v>
      </c>
      <c r="B11213" t="s">
        <v>37</v>
      </c>
      <c r="C11213" t="s">
        <v>37</v>
      </c>
      <c r="D11213">
        <v>299</v>
      </c>
    </row>
    <row r="11214" spans="1:4" ht="15.75" customHeight="1">
      <c r="A11214" t="s">
        <v>1511</v>
      </c>
      <c r="B11214" t="s">
        <v>37</v>
      </c>
      <c r="C11214" t="s">
        <v>37</v>
      </c>
      <c r="D11214">
        <v>299</v>
      </c>
    </row>
    <row r="11215" spans="1:4" ht="15.75" customHeight="1">
      <c r="A11215" t="s">
        <v>857</v>
      </c>
      <c r="B11215" t="s">
        <v>37</v>
      </c>
      <c r="C11215" t="s">
        <v>37</v>
      </c>
      <c r="D11215">
        <v>298</v>
      </c>
    </row>
    <row r="11216" spans="1:4" ht="15.75" customHeight="1">
      <c r="A11216" t="s">
        <v>2956</v>
      </c>
      <c r="B11216" t="s">
        <v>37</v>
      </c>
      <c r="C11216" t="s">
        <v>37</v>
      </c>
      <c r="D11216">
        <v>298</v>
      </c>
    </row>
    <row r="11217" spans="1:4" ht="15.75" customHeight="1">
      <c r="A11217" t="s">
        <v>889</v>
      </c>
      <c r="B11217" t="s">
        <v>37</v>
      </c>
      <c r="C11217" t="s">
        <v>37</v>
      </c>
      <c r="D11217">
        <v>297</v>
      </c>
    </row>
    <row r="11218" spans="1:4" ht="15.75" customHeight="1">
      <c r="A11218" t="s">
        <v>2945</v>
      </c>
      <c r="B11218" t="s">
        <v>37</v>
      </c>
      <c r="C11218" t="s">
        <v>37</v>
      </c>
      <c r="D11218">
        <v>297</v>
      </c>
    </row>
    <row r="11219" spans="1:4" ht="15.75" customHeight="1">
      <c r="A11219" t="s">
        <v>871</v>
      </c>
      <c r="B11219" t="s">
        <v>37</v>
      </c>
      <c r="C11219" t="s">
        <v>37</v>
      </c>
      <c r="D11219">
        <v>294</v>
      </c>
    </row>
    <row r="11220" spans="1:4" ht="15.75" customHeight="1">
      <c r="A11220" t="s">
        <v>782</v>
      </c>
      <c r="B11220" t="s">
        <v>37</v>
      </c>
      <c r="C11220" t="s">
        <v>37</v>
      </c>
      <c r="D11220">
        <v>293</v>
      </c>
    </row>
    <row r="11221" spans="1:4" ht="15.75" customHeight="1">
      <c r="A11221" t="s">
        <v>1469</v>
      </c>
      <c r="B11221" t="s">
        <v>37</v>
      </c>
      <c r="C11221" t="s">
        <v>37</v>
      </c>
      <c r="D11221">
        <v>293</v>
      </c>
    </row>
    <row r="11222" spans="1:4" ht="15.75" customHeight="1">
      <c r="A11222" t="s">
        <v>2958</v>
      </c>
      <c r="B11222" t="s">
        <v>37</v>
      </c>
      <c r="C11222" t="s">
        <v>37</v>
      </c>
      <c r="D11222">
        <v>292</v>
      </c>
    </row>
    <row r="11223" spans="1:4" ht="15.75" customHeight="1">
      <c r="A11223" t="s">
        <v>774</v>
      </c>
      <c r="B11223" t="s">
        <v>37</v>
      </c>
      <c r="C11223" t="s">
        <v>37</v>
      </c>
      <c r="D11223">
        <v>292</v>
      </c>
    </row>
    <row r="11224" spans="1:4" ht="15.75" customHeight="1">
      <c r="A11224" t="s">
        <v>2290</v>
      </c>
      <c r="B11224" t="s">
        <v>37</v>
      </c>
      <c r="C11224" t="s">
        <v>37</v>
      </c>
      <c r="D11224">
        <v>291</v>
      </c>
    </row>
    <row r="11225" spans="1:4" ht="15.75" customHeight="1">
      <c r="A11225" t="s">
        <v>869</v>
      </c>
      <c r="B11225" t="s">
        <v>37</v>
      </c>
      <c r="C11225" t="s">
        <v>37</v>
      </c>
      <c r="D11225">
        <v>291</v>
      </c>
    </row>
    <row r="11226" spans="1:4" ht="15.75" customHeight="1">
      <c r="A11226" t="s">
        <v>2345</v>
      </c>
      <c r="B11226" t="s">
        <v>37</v>
      </c>
      <c r="C11226" t="s">
        <v>37</v>
      </c>
      <c r="D11226">
        <v>290</v>
      </c>
    </row>
    <row r="11227" spans="1:4" ht="15.75" customHeight="1">
      <c r="A11227" t="s">
        <v>3772</v>
      </c>
      <c r="B11227" t="s">
        <v>37</v>
      </c>
      <c r="C11227" t="s">
        <v>37</v>
      </c>
      <c r="D11227">
        <v>290</v>
      </c>
    </row>
    <row r="11228" spans="1:4" ht="15.75" customHeight="1">
      <c r="A11228" t="s">
        <v>3364</v>
      </c>
      <c r="B11228" t="s">
        <v>37</v>
      </c>
      <c r="C11228" t="s">
        <v>37</v>
      </c>
      <c r="D11228">
        <v>289</v>
      </c>
    </row>
    <row r="11229" spans="1:4" ht="15.75" customHeight="1">
      <c r="A11229" t="s">
        <v>1479</v>
      </c>
      <c r="B11229" t="s">
        <v>37</v>
      </c>
      <c r="C11229" t="s">
        <v>37</v>
      </c>
      <c r="D11229">
        <v>288</v>
      </c>
    </row>
    <row r="11230" spans="1:4" ht="15.75" customHeight="1">
      <c r="A11230" t="s">
        <v>1529</v>
      </c>
      <c r="B11230" t="s">
        <v>37</v>
      </c>
      <c r="C11230" t="s">
        <v>37</v>
      </c>
      <c r="D11230">
        <v>288</v>
      </c>
    </row>
    <row r="11231" spans="1:4" ht="15.75" customHeight="1">
      <c r="A11231" t="s">
        <v>2894</v>
      </c>
      <c r="B11231" t="s">
        <v>37</v>
      </c>
      <c r="C11231" t="s">
        <v>37</v>
      </c>
      <c r="D11231">
        <v>288</v>
      </c>
    </row>
    <row r="11232" spans="1:4" ht="15.75" customHeight="1">
      <c r="A11232" t="s">
        <v>786</v>
      </c>
      <c r="B11232" t="s">
        <v>37</v>
      </c>
      <c r="C11232" t="s">
        <v>37</v>
      </c>
      <c r="D11232">
        <v>287</v>
      </c>
    </row>
    <row r="11233" spans="1:4" ht="15.75" customHeight="1">
      <c r="A11233" t="s">
        <v>4163</v>
      </c>
      <c r="B11233" t="s">
        <v>37</v>
      </c>
      <c r="C11233" t="s">
        <v>37</v>
      </c>
      <c r="D11233">
        <v>283</v>
      </c>
    </row>
    <row r="11234" spans="1:4" ht="15.75" customHeight="1">
      <c r="A11234" t="s">
        <v>2339</v>
      </c>
      <c r="B11234" t="s">
        <v>37</v>
      </c>
      <c r="C11234" t="s">
        <v>37</v>
      </c>
      <c r="D11234">
        <v>283</v>
      </c>
    </row>
    <row r="11235" spans="1:4" ht="15.75" customHeight="1">
      <c r="A11235" t="s">
        <v>2892</v>
      </c>
      <c r="B11235" t="s">
        <v>37</v>
      </c>
      <c r="C11235" t="s">
        <v>37</v>
      </c>
      <c r="D11235">
        <v>282</v>
      </c>
    </row>
    <row r="11236" spans="1:4" ht="15.75" customHeight="1">
      <c r="A11236" t="s">
        <v>3785</v>
      </c>
      <c r="B11236" t="s">
        <v>37</v>
      </c>
      <c r="C11236" t="s">
        <v>37</v>
      </c>
      <c r="D11236">
        <v>282</v>
      </c>
    </row>
    <row r="11237" spans="1:4" ht="15.75" customHeight="1">
      <c r="A11237" t="s">
        <v>4450</v>
      </c>
      <c r="B11237" t="s">
        <v>37</v>
      </c>
      <c r="C11237" t="s">
        <v>37</v>
      </c>
      <c r="D11237">
        <v>281</v>
      </c>
    </row>
    <row r="11238" spans="1:4" ht="15.75" customHeight="1">
      <c r="A11238" t="s">
        <v>2343</v>
      </c>
      <c r="B11238" t="s">
        <v>37</v>
      </c>
      <c r="C11238" t="s">
        <v>37</v>
      </c>
      <c r="D11238">
        <v>281</v>
      </c>
    </row>
    <row r="11239" spans="1:4" ht="15.75" customHeight="1">
      <c r="A11239" t="s">
        <v>865</v>
      </c>
      <c r="B11239" t="s">
        <v>37</v>
      </c>
      <c r="C11239" t="s">
        <v>37</v>
      </c>
      <c r="D11239">
        <v>281</v>
      </c>
    </row>
    <row r="11240" spans="1:4" ht="15.75" customHeight="1">
      <c r="A11240" t="s">
        <v>2301</v>
      </c>
      <c r="B11240" t="s">
        <v>37</v>
      </c>
      <c r="C11240" t="s">
        <v>37</v>
      </c>
      <c r="D11240">
        <v>279</v>
      </c>
    </row>
    <row r="11241" spans="1:4" ht="15.75" customHeight="1">
      <c r="A11241" t="s">
        <v>4212</v>
      </c>
      <c r="B11241" t="s">
        <v>37</v>
      </c>
      <c r="C11241" t="s">
        <v>37</v>
      </c>
      <c r="D11241">
        <v>279</v>
      </c>
    </row>
    <row r="11242" spans="1:4" ht="15.75" customHeight="1">
      <c r="A11242" t="s">
        <v>2351</v>
      </c>
      <c r="B11242" t="s">
        <v>37</v>
      </c>
      <c r="C11242" t="s">
        <v>37</v>
      </c>
      <c r="D11242">
        <v>278</v>
      </c>
    </row>
    <row r="11243" spans="1:4" ht="15.75" customHeight="1">
      <c r="A11243" t="s">
        <v>748</v>
      </c>
      <c r="B11243" t="s">
        <v>37</v>
      </c>
      <c r="C11243" t="s">
        <v>37</v>
      </c>
      <c r="D11243">
        <v>277</v>
      </c>
    </row>
    <row r="11244" spans="1:4" ht="15.75" customHeight="1">
      <c r="A11244" t="s">
        <v>2283</v>
      </c>
      <c r="B11244" t="s">
        <v>37</v>
      </c>
      <c r="C11244" t="s">
        <v>37</v>
      </c>
      <c r="D11244">
        <v>276</v>
      </c>
    </row>
    <row r="11245" spans="1:4" ht="15.75" customHeight="1">
      <c r="A11245" t="s">
        <v>3768</v>
      </c>
      <c r="B11245" t="s">
        <v>37</v>
      </c>
      <c r="C11245" t="s">
        <v>37</v>
      </c>
      <c r="D11245">
        <v>275</v>
      </c>
    </row>
    <row r="11246" spans="1:4" ht="15.75" customHeight="1">
      <c r="A11246" t="s">
        <v>759</v>
      </c>
      <c r="B11246" t="s">
        <v>37</v>
      </c>
      <c r="C11246" t="s">
        <v>37</v>
      </c>
      <c r="D11246">
        <v>275</v>
      </c>
    </row>
    <row r="11247" spans="1:4" ht="15.75" customHeight="1">
      <c r="A11247" t="s">
        <v>1473</v>
      </c>
      <c r="B11247" t="s">
        <v>37</v>
      </c>
      <c r="C11247" t="s">
        <v>37</v>
      </c>
      <c r="D11247">
        <v>273</v>
      </c>
    </row>
    <row r="11248" spans="1:4" ht="15.75" customHeight="1">
      <c r="A11248" t="s">
        <v>849</v>
      </c>
      <c r="B11248" t="s">
        <v>37</v>
      </c>
      <c r="C11248" t="s">
        <v>37</v>
      </c>
      <c r="D11248">
        <v>273</v>
      </c>
    </row>
    <row r="11249" spans="1:4" ht="15.75" customHeight="1">
      <c r="A11249" t="s">
        <v>2296</v>
      </c>
      <c r="B11249" t="s">
        <v>37</v>
      </c>
      <c r="C11249" t="s">
        <v>37</v>
      </c>
      <c r="D11249">
        <v>271</v>
      </c>
    </row>
    <row r="11250" spans="1:4" ht="15.75" customHeight="1">
      <c r="A11250" t="s">
        <v>3358</v>
      </c>
      <c r="B11250" t="s">
        <v>37</v>
      </c>
      <c r="C11250" t="s">
        <v>37</v>
      </c>
      <c r="D11250">
        <v>269</v>
      </c>
    </row>
    <row r="11251" spans="1:4" ht="15.75" customHeight="1">
      <c r="A11251" t="s">
        <v>3320</v>
      </c>
      <c r="B11251" t="s">
        <v>37</v>
      </c>
      <c r="C11251" t="s">
        <v>37</v>
      </c>
      <c r="D11251">
        <v>268</v>
      </c>
    </row>
    <row r="11252" spans="1:4" ht="15.75" customHeight="1">
      <c r="A11252" t="s">
        <v>2950</v>
      </c>
      <c r="B11252" t="s">
        <v>37</v>
      </c>
      <c r="C11252" t="s">
        <v>37</v>
      </c>
      <c r="D11252">
        <v>267</v>
      </c>
    </row>
    <row r="11253" spans="1:4" ht="15.75" customHeight="1">
      <c r="A11253" t="s">
        <v>2367</v>
      </c>
      <c r="B11253" t="s">
        <v>37</v>
      </c>
      <c r="C11253" t="s">
        <v>37</v>
      </c>
      <c r="D11253">
        <v>267</v>
      </c>
    </row>
    <row r="11254" spans="1:4" ht="15.75" customHeight="1">
      <c r="A11254" t="s">
        <v>744</v>
      </c>
      <c r="B11254" t="s">
        <v>37</v>
      </c>
      <c r="C11254" t="s">
        <v>37</v>
      </c>
      <c r="D11254">
        <v>267</v>
      </c>
    </row>
    <row r="11255" spans="1:4" ht="15.75" customHeight="1">
      <c r="A11255" t="s">
        <v>4207</v>
      </c>
      <c r="B11255" t="s">
        <v>37</v>
      </c>
      <c r="C11255" t="s">
        <v>37</v>
      </c>
      <c r="D11255">
        <v>266</v>
      </c>
    </row>
    <row r="11256" spans="1:4" ht="15.75" customHeight="1">
      <c r="A11256" t="s">
        <v>3398</v>
      </c>
      <c r="B11256" t="s">
        <v>37</v>
      </c>
      <c r="C11256" t="s">
        <v>37</v>
      </c>
      <c r="D11256">
        <v>266</v>
      </c>
    </row>
    <row r="11257" spans="1:4" ht="15.75" customHeight="1">
      <c r="A11257" t="s">
        <v>846</v>
      </c>
      <c r="B11257" t="s">
        <v>37</v>
      </c>
      <c r="C11257" t="s">
        <v>37</v>
      </c>
      <c r="D11257">
        <v>265</v>
      </c>
    </row>
    <row r="11258" spans="1:4" ht="15.75" customHeight="1">
      <c r="A11258" t="s">
        <v>2311</v>
      </c>
      <c r="B11258" t="s">
        <v>37</v>
      </c>
      <c r="C11258" t="s">
        <v>37</v>
      </c>
      <c r="D11258">
        <v>264</v>
      </c>
    </row>
    <row r="11259" spans="1:4" ht="15.75" customHeight="1">
      <c r="A11259" t="s">
        <v>4182</v>
      </c>
      <c r="B11259" t="s">
        <v>37</v>
      </c>
      <c r="C11259" t="s">
        <v>37</v>
      </c>
      <c r="D11259">
        <v>264</v>
      </c>
    </row>
    <row r="11260" spans="1:4" ht="15.75" customHeight="1">
      <c r="A11260" t="s">
        <v>2298</v>
      </c>
      <c r="B11260" t="s">
        <v>37</v>
      </c>
      <c r="C11260" t="s">
        <v>37</v>
      </c>
      <c r="D11260">
        <v>263</v>
      </c>
    </row>
    <row r="11261" spans="1:4" ht="15.75" customHeight="1">
      <c r="A11261" t="s">
        <v>2323</v>
      </c>
      <c r="B11261" t="s">
        <v>37</v>
      </c>
      <c r="C11261" t="s">
        <v>37</v>
      </c>
      <c r="D11261">
        <v>262</v>
      </c>
    </row>
    <row r="11262" spans="1:4" ht="15.75" customHeight="1">
      <c r="A11262" t="s">
        <v>3318</v>
      </c>
      <c r="B11262" t="s">
        <v>37</v>
      </c>
      <c r="C11262" t="s">
        <v>37</v>
      </c>
      <c r="D11262">
        <v>261</v>
      </c>
    </row>
    <row r="11263" spans="1:4" ht="15.75" customHeight="1">
      <c r="A11263" t="s">
        <v>4880</v>
      </c>
      <c r="B11263" t="s">
        <v>37</v>
      </c>
      <c r="C11263" t="s">
        <v>37</v>
      </c>
      <c r="D11263">
        <v>261</v>
      </c>
    </row>
    <row r="11264" spans="1:4" ht="15.75" customHeight="1">
      <c r="A11264" t="s">
        <v>4199</v>
      </c>
      <c r="B11264" t="s">
        <v>37</v>
      </c>
      <c r="C11264" t="s">
        <v>37</v>
      </c>
      <c r="D11264">
        <v>261</v>
      </c>
    </row>
    <row r="11265" spans="1:4" ht="15.75" customHeight="1">
      <c r="A11265" t="s">
        <v>2954</v>
      </c>
      <c r="B11265" t="s">
        <v>37</v>
      </c>
      <c r="C11265" t="s">
        <v>37</v>
      </c>
      <c r="D11265">
        <v>261</v>
      </c>
    </row>
    <row r="11266" spans="1:4" ht="15.75" customHeight="1">
      <c r="A11266" t="s">
        <v>4161</v>
      </c>
      <c r="B11266" t="s">
        <v>37</v>
      </c>
      <c r="C11266" t="s">
        <v>37</v>
      </c>
      <c r="D11266">
        <v>261</v>
      </c>
    </row>
    <row r="11267" spans="1:4" ht="15.75" customHeight="1">
      <c r="A11267" t="s">
        <v>905</v>
      </c>
      <c r="B11267" t="s">
        <v>37</v>
      </c>
      <c r="C11267" t="s">
        <v>37</v>
      </c>
      <c r="D11267">
        <v>261</v>
      </c>
    </row>
    <row r="11268" spans="1:4" ht="15.75" customHeight="1">
      <c r="A11268" t="s">
        <v>1807</v>
      </c>
      <c r="B11268" t="s">
        <v>37</v>
      </c>
      <c r="C11268" t="s">
        <v>37</v>
      </c>
      <c r="D11268">
        <v>260</v>
      </c>
    </row>
    <row r="11269" spans="1:4" ht="15.75" customHeight="1">
      <c r="A11269" t="s">
        <v>2916</v>
      </c>
      <c r="B11269" t="s">
        <v>37</v>
      </c>
      <c r="C11269" t="s">
        <v>37</v>
      </c>
      <c r="D11269">
        <v>260</v>
      </c>
    </row>
    <row r="11270" spans="1:4" ht="15.75" customHeight="1">
      <c r="A11270" t="s">
        <v>2940</v>
      </c>
      <c r="B11270" t="s">
        <v>37</v>
      </c>
      <c r="C11270" t="s">
        <v>37</v>
      </c>
      <c r="D11270">
        <v>260</v>
      </c>
    </row>
    <row r="11271" spans="1:4" ht="15.75" customHeight="1">
      <c r="A11271" t="s">
        <v>2960</v>
      </c>
      <c r="B11271" t="s">
        <v>37</v>
      </c>
      <c r="C11271" t="s">
        <v>37</v>
      </c>
      <c r="D11271">
        <v>260</v>
      </c>
    </row>
    <row r="11272" spans="1:4" ht="15.75" customHeight="1">
      <c r="A11272" t="s">
        <v>919</v>
      </c>
      <c r="B11272" t="s">
        <v>37</v>
      </c>
      <c r="C11272" t="s">
        <v>37</v>
      </c>
      <c r="D11272">
        <v>260</v>
      </c>
    </row>
    <row r="11273" spans="1:4" ht="15.75" customHeight="1">
      <c r="A11273" t="s">
        <v>915</v>
      </c>
      <c r="B11273" t="s">
        <v>37</v>
      </c>
      <c r="C11273" t="s">
        <v>37</v>
      </c>
      <c r="D11273">
        <v>259</v>
      </c>
    </row>
    <row r="11274" spans="1:4" ht="15.75" customHeight="1">
      <c r="A11274" t="s">
        <v>895</v>
      </c>
      <c r="B11274" t="s">
        <v>37</v>
      </c>
      <c r="C11274" t="s">
        <v>37</v>
      </c>
      <c r="D11274">
        <v>259</v>
      </c>
    </row>
    <row r="11275" spans="1:4" ht="15.75" customHeight="1">
      <c r="A11275" t="s">
        <v>4155</v>
      </c>
      <c r="B11275" t="s">
        <v>37</v>
      </c>
      <c r="C11275" t="s">
        <v>37</v>
      </c>
      <c r="D11275">
        <v>259</v>
      </c>
    </row>
    <row r="11276" spans="1:4" ht="15.75" customHeight="1">
      <c r="A11276" t="s">
        <v>1557</v>
      </c>
      <c r="B11276" t="s">
        <v>37</v>
      </c>
      <c r="C11276" t="s">
        <v>37</v>
      </c>
      <c r="D11276">
        <v>257</v>
      </c>
    </row>
    <row r="11277" spans="1:4" ht="15.75" customHeight="1">
      <c r="A11277" t="s">
        <v>4150</v>
      </c>
      <c r="B11277" t="s">
        <v>37</v>
      </c>
      <c r="C11277" t="s">
        <v>37</v>
      </c>
      <c r="D11277">
        <v>257</v>
      </c>
    </row>
    <row r="11278" spans="1:4" ht="15.75" customHeight="1">
      <c r="A11278" t="s">
        <v>2906</v>
      </c>
      <c r="B11278" t="s">
        <v>37</v>
      </c>
      <c r="C11278" t="s">
        <v>37</v>
      </c>
      <c r="D11278">
        <v>256</v>
      </c>
    </row>
    <row r="11279" spans="1:4" ht="15.75" customHeight="1">
      <c r="A11279" t="s">
        <v>2926</v>
      </c>
      <c r="B11279" t="s">
        <v>37</v>
      </c>
      <c r="C11279" t="s">
        <v>37</v>
      </c>
      <c r="D11279">
        <v>256</v>
      </c>
    </row>
    <row r="11280" spans="1:4" ht="15.75" customHeight="1">
      <c r="A11280" t="s">
        <v>3362</v>
      </c>
      <c r="B11280" t="s">
        <v>37</v>
      </c>
      <c r="C11280" t="s">
        <v>37</v>
      </c>
      <c r="D11280">
        <v>256</v>
      </c>
    </row>
    <row r="11281" spans="1:4" ht="15.75" customHeight="1">
      <c r="A11281" t="s">
        <v>794</v>
      </c>
      <c r="B11281" t="s">
        <v>37</v>
      </c>
      <c r="C11281" t="s">
        <v>37</v>
      </c>
      <c r="D11281">
        <v>255</v>
      </c>
    </row>
    <row r="11282" spans="1:4" ht="15.75" customHeight="1">
      <c r="A11282" t="s">
        <v>2307</v>
      </c>
      <c r="B11282" t="s">
        <v>37</v>
      </c>
      <c r="C11282" t="s">
        <v>37</v>
      </c>
      <c r="D11282">
        <v>254</v>
      </c>
    </row>
    <row r="11283" spans="1:4" ht="15.75" customHeight="1">
      <c r="A11283" t="s">
        <v>798</v>
      </c>
      <c r="B11283" t="s">
        <v>37</v>
      </c>
      <c r="C11283" t="s">
        <v>37</v>
      </c>
      <c r="D11283">
        <v>254</v>
      </c>
    </row>
    <row r="11284" spans="1:4" ht="15.75" customHeight="1">
      <c r="A11284" t="s">
        <v>2880</v>
      </c>
      <c r="B11284" t="s">
        <v>37</v>
      </c>
      <c r="C11284" t="s">
        <v>37</v>
      </c>
      <c r="D11284">
        <v>254</v>
      </c>
    </row>
    <row r="11285" spans="1:4" ht="15.75" customHeight="1">
      <c r="A11285" t="s">
        <v>1573</v>
      </c>
      <c r="B11285" t="s">
        <v>37</v>
      </c>
      <c r="C11285" t="s">
        <v>37</v>
      </c>
      <c r="D11285">
        <v>252</v>
      </c>
    </row>
    <row r="11286" spans="1:4" ht="15.75" customHeight="1">
      <c r="A11286" t="s">
        <v>2934</v>
      </c>
      <c r="B11286" t="s">
        <v>37</v>
      </c>
      <c r="C11286" t="s">
        <v>37</v>
      </c>
      <c r="D11286">
        <v>250</v>
      </c>
    </row>
    <row r="11287" spans="1:4" ht="15.75" customHeight="1">
      <c r="A11287" t="s">
        <v>4172</v>
      </c>
      <c r="B11287" t="s">
        <v>37</v>
      </c>
      <c r="C11287" t="s">
        <v>37</v>
      </c>
      <c r="D11287">
        <v>249</v>
      </c>
    </row>
    <row r="11288" spans="1:4" ht="15.75" customHeight="1">
      <c r="A11288" t="s">
        <v>2313</v>
      </c>
      <c r="B11288" t="s">
        <v>37</v>
      </c>
      <c r="C11288" t="s">
        <v>37</v>
      </c>
      <c r="D11288">
        <v>248</v>
      </c>
    </row>
    <row r="11289" spans="1:4" ht="15.75" customHeight="1">
      <c r="A11289" t="s">
        <v>861</v>
      </c>
      <c r="B11289" t="s">
        <v>37</v>
      </c>
      <c r="C11289" t="s">
        <v>37</v>
      </c>
      <c r="D11289">
        <v>248</v>
      </c>
    </row>
    <row r="11290" spans="1:4" ht="15.75" customHeight="1">
      <c r="A11290" t="s">
        <v>3739</v>
      </c>
      <c r="B11290" t="s">
        <v>37</v>
      </c>
      <c r="C11290" t="s">
        <v>37</v>
      </c>
      <c r="D11290">
        <v>247</v>
      </c>
    </row>
    <row r="11291" spans="1:4" ht="15.75" customHeight="1">
      <c r="A11291" t="s">
        <v>2365</v>
      </c>
      <c r="B11291" t="s">
        <v>37</v>
      </c>
      <c r="C11291" t="s">
        <v>37</v>
      </c>
      <c r="D11291">
        <v>247</v>
      </c>
    </row>
    <row r="11292" spans="1:4" ht="15.75" customHeight="1">
      <c r="A11292" t="s">
        <v>1475</v>
      </c>
      <c r="B11292" t="s">
        <v>37</v>
      </c>
      <c r="C11292" t="s">
        <v>37</v>
      </c>
      <c r="D11292">
        <v>247</v>
      </c>
    </row>
    <row r="11293" spans="1:4" ht="15.75" customHeight="1">
      <c r="A11293" t="s">
        <v>907</v>
      </c>
      <c r="B11293" t="s">
        <v>37</v>
      </c>
      <c r="C11293" t="s">
        <v>37</v>
      </c>
      <c r="D11293">
        <v>246</v>
      </c>
    </row>
    <row r="11294" spans="1:4" ht="15.75" customHeight="1">
      <c r="A11294" t="s">
        <v>1492</v>
      </c>
      <c r="B11294" t="s">
        <v>37</v>
      </c>
      <c r="C11294" t="s">
        <v>37</v>
      </c>
      <c r="D11294">
        <v>246</v>
      </c>
    </row>
    <row r="11295" spans="1:4" ht="15.75" customHeight="1">
      <c r="A11295" t="s">
        <v>2912</v>
      </c>
      <c r="B11295" t="s">
        <v>37</v>
      </c>
      <c r="C11295" t="s">
        <v>37</v>
      </c>
      <c r="D11295">
        <v>245</v>
      </c>
    </row>
    <row r="11296" spans="1:4" ht="15.75" customHeight="1">
      <c r="A11296" t="s">
        <v>4157</v>
      </c>
      <c r="B11296" t="s">
        <v>37</v>
      </c>
      <c r="C11296" t="s">
        <v>37</v>
      </c>
      <c r="D11296">
        <v>244</v>
      </c>
    </row>
    <row r="11297" spans="1:4" ht="15.75" customHeight="1">
      <c r="A11297" t="s">
        <v>4896</v>
      </c>
      <c r="B11297" t="s">
        <v>37</v>
      </c>
      <c r="C11297" t="s">
        <v>37</v>
      </c>
      <c r="D11297">
        <v>243</v>
      </c>
    </row>
    <row r="11298" spans="1:4" ht="15.75" customHeight="1">
      <c r="A11298" t="s">
        <v>2904</v>
      </c>
      <c r="B11298" t="s">
        <v>37</v>
      </c>
      <c r="C11298" t="s">
        <v>37</v>
      </c>
      <c r="D11298">
        <v>243</v>
      </c>
    </row>
    <row r="11299" spans="1:4" ht="15.75" customHeight="1">
      <c r="A11299" t="s">
        <v>875</v>
      </c>
      <c r="B11299" t="s">
        <v>37</v>
      </c>
      <c r="C11299" t="s">
        <v>37</v>
      </c>
      <c r="D11299">
        <v>243</v>
      </c>
    </row>
    <row r="11300" spans="1:4" ht="15.75" customHeight="1">
      <c r="A11300" t="s">
        <v>4892</v>
      </c>
      <c r="B11300" t="s">
        <v>37</v>
      </c>
      <c r="C11300" t="s">
        <v>37</v>
      </c>
      <c r="D11300">
        <v>242</v>
      </c>
    </row>
    <row r="11301" spans="1:4" ht="15.75" customHeight="1">
      <c r="A11301" t="s">
        <v>4195</v>
      </c>
      <c r="B11301" t="s">
        <v>37</v>
      </c>
      <c r="C11301" t="s">
        <v>37</v>
      </c>
      <c r="D11301">
        <v>242</v>
      </c>
    </row>
    <row r="11302" spans="1:4" ht="15.75" customHeight="1">
      <c r="A11302" t="s">
        <v>2920</v>
      </c>
      <c r="B11302" t="s">
        <v>37</v>
      </c>
      <c r="C11302" t="s">
        <v>37</v>
      </c>
      <c r="D11302">
        <v>242</v>
      </c>
    </row>
    <row r="11303" spans="1:4" ht="15.75" customHeight="1">
      <c r="A11303" t="s">
        <v>877</v>
      </c>
      <c r="B11303" t="s">
        <v>37</v>
      </c>
      <c r="C11303" t="s">
        <v>37</v>
      </c>
      <c r="D11303">
        <v>241</v>
      </c>
    </row>
    <row r="11304" spans="1:4" ht="15.75" customHeight="1">
      <c r="A11304" t="s">
        <v>853</v>
      </c>
      <c r="B11304" t="s">
        <v>37</v>
      </c>
      <c r="C11304" t="s">
        <v>37</v>
      </c>
      <c r="D11304">
        <v>240</v>
      </c>
    </row>
    <row r="11305" spans="1:4" ht="15.75" customHeight="1">
      <c r="A11305" t="s">
        <v>2355</v>
      </c>
      <c r="B11305" t="s">
        <v>37</v>
      </c>
      <c r="C11305" t="s">
        <v>37</v>
      </c>
      <c r="D11305">
        <v>240</v>
      </c>
    </row>
    <row r="11306" spans="1:4" ht="15.75" customHeight="1">
      <c r="A11306" t="s">
        <v>4167</v>
      </c>
      <c r="B11306" t="s">
        <v>37</v>
      </c>
      <c r="C11306" t="s">
        <v>37</v>
      </c>
      <c r="D11306">
        <v>240</v>
      </c>
    </row>
    <row r="11307" spans="1:4" ht="15.75" customHeight="1">
      <c r="A11307" t="s">
        <v>2293</v>
      </c>
      <c r="B11307" t="s">
        <v>37</v>
      </c>
      <c r="C11307" t="s">
        <v>37</v>
      </c>
      <c r="D11307">
        <v>239</v>
      </c>
    </row>
    <row r="11308" spans="1:4" ht="15.75" customHeight="1">
      <c r="A11308" t="s">
        <v>835</v>
      </c>
      <c r="B11308" t="s">
        <v>37</v>
      </c>
      <c r="C11308" t="s">
        <v>37</v>
      </c>
      <c r="D11308">
        <v>239</v>
      </c>
    </row>
    <row r="11309" spans="1:4" ht="15.75" customHeight="1">
      <c r="A11309" t="s">
        <v>4197</v>
      </c>
      <c r="B11309" t="s">
        <v>37</v>
      </c>
      <c r="C11309" t="s">
        <v>37</v>
      </c>
      <c r="D11309">
        <v>238</v>
      </c>
    </row>
    <row r="11310" spans="1:4" ht="15.75" customHeight="1">
      <c r="A11310" t="s">
        <v>913</v>
      </c>
      <c r="B11310" t="s">
        <v>37</v>
      </c>
      <c r="C11310" t="s">
        <v>37</v>
      </c>
      <c r="D11310">
        <v>236</v>
      </c>
    </row>
    <row r="11311" spans="1:4" ht="15.75" customHeight="1">
      <c r="A11311" t="s">
        <v>863</v>
      </c>
      <c r="B11311" t="s">
        <v>37</v>
      </c>
      <c r="C11311" t="s">
        <v>37</v>
      </c>
      <c r="D11311">
        <v>235</v>
      </c>
    </row>
    <row r="11312" spans="1:4" ht="15.75" customHeight="1">
      <c r="A11312" t="s">
        <v>3776</v>
      </c>
      <c r="B11312" t="s">
        <v>37</v>
      </c>
      <c r="C11312" t="s">
        <v>37</v>
      </c>
      <c r="D11312">
        <v>234</v>
      </c>
    </row>
    <row r="11313" spans="1:4" ht="15.75" customHeight="1">
      <c r="A11313" t="s">
        <v>885</v>
      </c>
      <c r="B11313" t="s">
        <v>37</v>
      </c>
      <c r="C11313" t="s">
        <v>37</v>
      </c>
      <c r="D11313">
        <v>233</v>
      </c>
    </row>
    <row r="11314" spans="1:4" ht="15.75" customHeight="1">
      <c r="A11314" t="s">
        <v>4886</v>
      </c>
      <c r="B11314" t="s">
        <v>37</v>
      </c>
      <c r="C11314" t="s">
        <v>37</v>
      </c>
      <c r="D11314">
        <v>233</v>
      </c>
    </row>
    <row r="11315" spans="1:4" ht="15.75" customHeight="1">
      <c r="A11315" t="s">
        <v>3390</v>
      </c>
      <c r="B11315" t="s">
        <v>37</v>
      </c>
      <c r="C11315" t="s">
        <v>37</v>
      </c>
      <c r="D11315">
        <v>233</v>
      </c>
    </row>
    <row r="11316" spans="1:4" ht="15.75" customHeight="1">
      <c r="A11316" t="s">
        <v>851</v>
      </c>
      <c r="B11316" t="s">
        <v>37</v>
      </c>
      <c r="C11316" t="s">
        <v>37</v>
      </c>
      <c r="D11316">
        <v>233</v>
      </c>
    </row>
    <row r="11317" spans="1:4" ht="15.75" customHeight="1">
      <c r="A11317" t="s">
        <v>4170</v>
      </c>
      <c r="B11317" t="s">
        <v>37</v>
      </c>
      <c r="C11317" t="s">
        <v>37</v>
      </c>
      <c r="D11317">
        <v>231</v>
      </c>
    </row>
    <row r="11318" spans="1:4" ht="15.75" customHeight="1">
      <c r="A11318" t="s">
        <v>4452</v>
      </c>
      <c r="B11318" t="s">
        <v>37</v>
      </c>
      <c r="C11318" t="s">
        <v>37</v>
      </c>
      <c r="D11318">
        <v>229</v>
      </c>
    </row>
    <row r="11319" spans="1:4" ht="15.75" customHeight="1">
      <c r="A11319" t="s">
        <v>1541</v>
      </c>
      <c r="B11319" t="s">
        <v>37</v>
      </c>
      <c r="C11319" t="s">
        <v>37</v>
      </c>
      <c r="D11319">
        <v>229</v>
      </c>
    </row>
    <row r="11320" spans="1:4" ht="15.75" customHeight="1">
      <c r="A11320" t="s">
        <v>1499</v>
      </c>
      <c r="B11320" t="s">
        <v>37</v>
      </c>
      <c r="C11320" t="s">
        <v>37</v>
      </c>
      <c r="D11320">
        <v>228</v>
      </c>
    </row>
    <row r="11321" spans="1:4" ht="15.75" customHeight="1">
      <c r="A11321" t="s">
        <v>742</v>
      </c>
      <c r="B11321" t="s">
        <v>37</v>
      </c>
      <c r="C11321" t="s">
        <v>37</v>
      </c>
      <c r="D11321">
        <v>226</v>
      </c>
    </row>
    <row r="11322" spans="1:4" ht="15.75" customHeight="1">
      <c r="A11322" t="s">
        <v>1519</v>
      </c>
      <c r="B11322" t="s">
        <v>37</v>
      </c>
      <c r="C11322" t="s">
        <v>37</v>
      </c>
      <c r="D11322">
        <v>226</v>
      </c>
    </row>
    <row r="11323" spans="1:4" ht="15.75" customHeight="1">
      <c r="A11323" t="s">
        <v>2896</v>
      </c>
      <c r="B11323" t="s">
        <v>37</v>
      </c>
      <c r="C11323" t="s">
        <v>37</v>
      </c>
      <c r="D11323">
        <v>225</v>
      </c>
    </row>
    <row r="11324" spans="1:4" ht="15.75" customHeight="1">
      <c r="A11324" t="s">
        <v>4184</v>
      </c>
      <c r="B11324" t="s">
        <v>37</v>
      </c>
      <c r="C11324" t="s">
        <v>37</v>
      </c>
      <c r="D11324">
        <v>223</v>
      </c>
    </row>
    <row r="11325" spans="1:4" ht="15.75" customHeight="1">
      <c r="A11325" t="s">
        <v>2357</v>
      </c>
      <c r="B11325" t="s">
        <v>37</v>
      </c>
      <c r="C11325" t="s">
        <v>37</v>
      </c>
      <c r="D11325">
        <v>222</v>
      </c>
    </row>
    <row r="11326" spans="1:4" ht="15.75" customHeight="1">
      <c r="A11326" t="s">
        <v>1467</v>
      </c>
      <c r="B11326" t="s">
        <v>37</v>
      </c>
      <c r="C11326" t="s">
        <v>37</v>
      </c>
      <c r="D11326">
        <v>222</v>
      </c>
    </row>
    <row r="11327" spans="1:4" ht="15.75" customHeight="1">
      <c r="A11327" t="s">
        <v>4460</v>
      </c>
      <c r="B11327" t="s">
        <v>37</v>
      </c>
      <c r="C11327" t="s">
        <v>37</v>
      </c>
      <c r="D11327">
        <v>221</v>
      </c>
    </row>
    <row r="11328" spans="1:4" ht="15.75" customHeight="1">
      <c r="A11328" t="s">
        <v>3766</v>
      </c>
      <c r="B11328" t="s">
        <v>37</v>
      </c>
      <c r="C11328" t="s">
        <v>37</v>
      </c>
      <c r="D11328">
        <v>221</v>
      </c>
    </row>
    <row r="11329" spans="1:4" ht="15.75" customHeight="1">
      <c r="A11329" t="s">
        <v>4193</v>
      </c>
      <c r="B11329" t="s">
        <v>37</v>
      </c>
      <c r="C11329" t="s">
        <v>37</v>
      </c>
      <c r="D11329">
        <v>221</v>
      </c>
    </row>
    <row r="11330" spans="1:4" ht="15.75" customHeight="1">
      <c r="A11330" t="s">
        <v>903</v>
      </c>
      <c r="B11330" t="s">
        <v>37</v>
      </c>
      <c r="C11330" t="s">
        <v>37</v>
      </c>
      <c r="D11330">
        <v>220</v>
      </c>
    </row>
    <row r="11331" spans="1:4" ht="15.75" customHeight="1">
      <c r="A11331" t="s">
        <v>3328</v>
      </c>
      <c r="B11331" t="s">
        <v>37</v>
      </c>
      <c r="C11331" t="s">
        <v>37</v>
      </c>
      <c r="D11331">
        <v>219</v>
      </c>
    </row>
    <row r="11332" spans="1:4" ht="15.75" customHeight="1">
      <c r="A11332" t="s">
        <v>3340</v>
      </c>
      <c r="B11332" t="s">
        <v>37</v>
      </c>
      <c r="C11332" t="s">
        <v>37</v>
      </c>
      <c r="D11332">
        <v>218</v>
      </c>
    </row>
    <row r="11333" spans="1:4" ht="15.75" customHeight="1">
      <c r="A11333" t="s">
        <v>897</v>
      </c>
      <c r="B11333" t="s">
        <v>37</v>
      </c>
      <c r="C11333" t="s">
        <v>37</v>
      </c>
      <c r="D11333">
        <v>218</v>
      </c>
    </row>
    <row r="11334" spans="1:4" ht="15.75" customHeight="1">
      <c r="A11334" t="s">
        <v>3378</v>
      </c>
      <c r="B11334" t="s">
        <v>37</v>
      </c>
      <c r="C11334" t="s">
        <v>37</v>
      </c>
      <c r="D11334">
        <v>218</v>
      </c>
    </row>
    <row r="11335" spans="1:4" ht="15.75" customHeight="1">
      <c r="A11335" t="s">
        <v>772</v>
      </c>
      <c r="B11335" t="s">
        <v>37</v>
      </c>
      <c r="C11335" t="s">
        <v>37</v>
      </c>
      <c r="D11335">
        <v>217</v>
      </c>
    </row>
    <row r="11336" spans="1:4" ht="15.75" customHeight="1">
      <c r="A11336" t="s">
        <v>3756</v>
      </c>
      <c r="B11336" t="s">
        <v>37</v>
      </c>
      <c r="C11336" t="s">
        <v>37</v>
      </c>
      <c r="D11336">
        <v>216</v>
      </c>
    </row>
    <row r="11337" spans="1:4" ht="15.75" customHeight="1">
      <c r="A11337" t="s">
        <v>4851</v>
      </c>
      <c r="B11337" t="s">
        <v>37</v>
      </c>
      <c r="C11337" t="s">
        <v>37</v>
      </c>
      <c r="D11337">
        <v>216</v>
      </c>
    </row>
    <row r="11338" spans="1:4" ht="15.75" customHeight="1">
      <c r="A11338" t="s">
        <v>4864</v>
      </c>
      <c r="B11338" t="s">
        <v>37</v>
      </c>
      <c r="C11338" t="s">
        <v>37</v>
      </c>
      <c r="D11338">
        <v>215</v>
      </c>
    </row>
    <row r="11339" spans="1:4" ht="15.75" customHeight="1">
      <c r="A11339" t="s">
        <v>3350</v>
      </c>
      <c r="B11339" t="s">
        <v>37</v>
      </c>
      <c r="C11339" t="s">
        <v>37</v>
      </c>
      <c r="D11339">
        <v>214</v>
      </c>
    </row>
    <row r="11340" spans="1:4" ht="15.75" customHeight="1">
      <c r="A11340" t="s">
        <v>3366</v>
      </c>
      <c r="B11340" t="s">
        <v>37</v>
      </c>
      <c r="C11340" t="s">
        <v>37</v>
      </c>
      <c r="D11340">
        <v>214</v>
      </c>
    </row>
    <row r="11341" spans="1:4" ht="15.75" customHeight="1">
      <c r="A11341" t="s">
        <v>4176</v>
      </c>
      <c r="B11341" t="s">
        <v>37</v>
      </c>
      <c r="C11341" t="s">
        <v>37</v>
      </c>
      <c r="D11341">
        <v>214</v>
      </c>
    </row>
    <row r="11342" spans="1:4" ht="15.75" customHeight="1">
      <c r="A11342" t="s">
        <v>4855</v>
      </c>
      <c r="B11342" t="s">
        <v>37</v>
      </c>
      <c r="C11342" t="s">
        <v>37</v>
      </c>
      <c r="D11342">
        <v>214</v>
      </c>
    </row>
    <row r="11343" spans="1:4" ht="15.75" customHeight="1">
      <c r="A11343" t="s">
        <v>2898</v>
      </c>
      <c r="B11343" t="s">
        <v>37</v>
      </c>
      <c r="C11343" t="s">
        <v>37</v>
      </c>
      <c r="D11343">
        <v>213</v>
      </c>
    </row>
    <row r="11344" spans="1:4" ht="15.75" customHeight="1">
      <c r="A11344" t="s">
        <v>3760</v>
      </c>
      <c r="B11344" t="s">
        <v>37</v>
      </c>
      <c r="C11344" t="s">
        <v>37</v>
      </c>
      <c r="D11344">
        <v>211</v>
      </c>
    </row>
    <row r="11345" spans="1:4" ht="15.75" customHeight="1">
      <c r="A11345" t="s">
        <v>4186</v>
      </c>
      <c r="B11345" t="s">
        <v>37</v>
      </c>
      <c r="C11345" t="s">
        <v>37</v>
      </c>
      <c r="D11345">
        <v>211</v>
      </c>
    </row>
    <row r="11346" spans="1:4" ht="15.75" customHeight="1">
      <c r="A11346" t="s">
        <v>4845</v>
      </c>
      <c r="B11346" t="s">
        <v>37</v>
      </c>
      <c r="C11346" t="s">
        <v>37</v>
      </c>
      <c r="D11346">
        <v>211</v>
      </c>
    </row>
    <row r="11347" spans="1:4" ht="15.75" customHeight="1">
      <c r="A11347" t="s">
        <v>4152</v>
      </c>
      <c r="B11347" t="s">
        <v>37</v>
      </c>
      <c r="C11347" t="s">
        <v>37</v>
      </c>
      <c r="D11347">
        <v>210</v>
      </c>
    </row>
    <row r="11348" spans="1:4" ht="15.75" customHeight="1">
      <c r="A11348" t="s">
        <v>2287</v>
      </c>
      <c r="B11348" t="s">
        <v>37</v>
      </c>
      <c r="C11348" t="s">
        <v>37</v>
      </c>
      <c r="D11348">
        <v>207</v>
      </c>
    </row>
    <row r="11349" spans="1:4" ht="15.75" customHeight="1">
      <c r="A11349" t="s">
        <v>1513</v>
      </c>
      <c r="B11349" t="s">
        <v>37</v>
      </c>
      <c r="C11349" t="s">
        <v>37</v>
      </c>
      <c r="D11349">
        <v>206</v>
      </c>
    </row>
    <row r="11350" spans="1:4" ht="15.75" customHeight="1">
      <c r="A11350" t="s">
        <v>2347</v>
      </c>
      <c r="B11350" t="s">
        <v>37</v>
      </c>
      <c r="C11350" t="s">
        <v>37</v>
      </c>
      <c r="D11350">
        <v>205</v>
      </c>
    </row>
    <row r="11351" spans="1:4" ht="15.75" customHeight="1">
      <c r="A11351" t="s">
        <v>4868</v>
      </c>
      <c r="B11351" t="s">
        <v>37</v>
      </c>
      <c r="C11351" t="s">
        <v>37</v>
      </c>
      <c r="D11351">
        <v>205</v>
      </c>
    </row>
    <row r="11352" spans="1:4" ht="15.75" customHeight="1">
      <c r="A11352" t="s">
        <v>4189</v>
      </c>
      <c r="B11352" t="s">
        <v>37</v>
      </c>
      <c r="C11352" t="s">
        <v>37</v>
      </c>
      <c r="D11352">
        <v>205</v>
      </c>
    </row>
    <row r="11353" spans="1:4" ht="15.75" customHeight="1">
      <c r="A11353" t="s">
        <v>2327</v>
      </c>
      <c r="B11353" t="s">
        <v>37</v>
      </c>
      <c r="C11353" t="s">
        <v>37</v>
      </c>
      <c r="D11353">
        <v>204</v>
      </c>
    </row>
    <row r="11354" spans="1:4" ht="15.75" customHeight="1">
      <c r="A11354" t="s">
        <v>3348</v>
      </c>
      <c r="B11354" t="s">
        <v>37</v>
      </c>
      <c r="C11354" t="s">
        <v>37</v>
      </c>
      <c r="D11354">
        <v>204</v>
      </c>
    </row>
    <row r="11355" spans="1:4" ht="15.75" customHeight="1">
      <c r="A11355" t="s">
        <v>4890</v>
      </c>
      <c r="B11355" t="s">
        <v>37</v>
      </c>
      <c r="C11355" t="s">
        <v>37</v>
      </c>
      <c r="D11355">
        <v>204</v>
      </c>
    </row>
    <row r="11356" spans="1:4" ht="15.75" customHeight="1">
      <c r="A11356" t="s">
        <v>4203</v>
      </c>
      <c r="B11356" t="s">
        <v>37</v>
      </c>
      <c r="C11356" t="s">
        <v>37</v>
      </c>
      <c r="D11356">
        <v>203</v>
      </c>
    </row>
    <row r="11357" spans="1:4" ht="15.75" customHeight="1">
      <c r="A11357" t="s">
        <v>4866</v>
      </c>
      <c r="B11357" t="s">
        <v>37</v>
      </c>
      <c r="C11357" t="s">
        <v>37</v>
      </c>
      <c r="D11357">
        <v>200</v>
      </c>
    </row>
    <row r="11358" spans="1:4" ht="15.75" customHeight="1">
      <c r="A11358" t="s">
        <v>3752</v>
      </c>
      <c r="B11358" t="s">
        <v>37</v>
      </c>
      <c r="C11358" t="s">
        <v>37</v>
      </c>
      <c r="D11358">
        <v>200</v>
      </c>
    </row>
    <row r="11359" spans="1:4" ht="15.75" customHeight="1">
      <c r="A11359" t="s">
        <v>1571</v>
      </c>
      <c r="B11359" t="s">
        <v>37</v>
      </c>
      <c r="C11359" t="s">
        <v>37</v>
      </c>
      <c r="D11359">
        <v>200</v>
      </c>
    </row>
    <row r="11360" spans="1:4" ht="15.75" customHeight="1">
      <c r="A11360" t="s">
        <v>1525</v>
      </c>
      <c r="B11360" t="s">
        <v>37</v>
      </c>
      <c r="C11360" t="s">
        <v>37</v>
      </c>
      <c r="D11360">
        <v>197</v>
      </c>
    </row>
    <row r="11361" spans="1:4" ht="15.75" customHeight="1">
      <c r="A11361" t="s">
        <v>1509</v>
      </c>
      <c r="B11361" t="s">
        <v>37</v>
      </c>
      <c r="C11361" t="s">
        <v>37</v>
      </c>
      <c r="D11361">
        <v>196</v>
      </c>
    </row>
    <row r="11362" spans="1:4" ht="15.75" customHeight="1">
      <c r="A11362" t="s">
        <v>4201</v>
      </c>
      <c r="B11362" t="s">
        <v>37</v>
      </c>
      <c r="C11362" t="s">
        <v>37</v>
      </c>
      <c r="D11362">
        <v>195</v>
      </c>
    </row>
    <row r="11363" spans="1:4" ht="15.75" customHeight="1">
      <c r="A11363" t="s">
        <v>3372</v>
      </c>
      <c r="B11363" t="s">
        <v>37</v>
      </c>
      <c r="C11363" t="s">
        <v>37</v>
      </c>
      <c r="D11363">
        <v>193</v>
      </c>
    </row>
    <row r="11364" spans="1:4" ht="15.75" customHeight="1">
      <c r="A11364" t="s">
        <v>1543</v>
      </c>
      <c r="B11364" t="s">
        <v>37</v>
      </c>
      <c r="C11364" t="s">
        <v>37</v>
      </c>
      <c r="D11364">
        <v>193</v>
      </c>
    </row>
    <row r="11365" spans="1:4" ht="15.75" customHeight="1">
      <c r="A11365" t="s">
        <v>3743</v>
      </c>
      <c r="B11365" t="s">
        <v>37</v>
      </c>
      <c r="C11365" t="s">
        <v>37</v>
      </c>
      <c r="D11365">
        <v>192</v>
      </c>
    </row>
    <row r="11366" spans="1:4" ht="15.75" customHeight="1">
      <c r="A11366" t="s">
        <v>3330</v>
      </c>
      <c r="B11366" t="s">
        <v>37</v>
      </c>
      <c r="C11366" t="s">
        <v>37</v>
      </c>
      <c r="D11366">
        <v>192</v>
      </c>
    </row>
    <row r="11367" spans="1:4" ht="15.75" customHeight="1">
      <c r="A11367" t="s">
        <v>4438</v>
      </c>
      <c r="B11367" t="s">
        <v>37</v>
      </c>
      <c r="C11367" t="s">
        <v>37</v>
      </c>
      <c r="D11367">
        <v>192</v>
      </c>
    </row>
    <row r="11368" spans="1:4" ht="15.75" customHeight="1">
      <c r="A11368" t="s">
        <v>1555</v>
      </c>
      <c r="B11368" t="s">
        <v>37</v>
      </c>
      <c r="C11368" t="s">
        <v>37</v>
      </c>
      <c r="D11368">
        <v>188</v>
      </c>
    </row>
    <row r="11369" spans="1:4" ht="15.75" customHeight="1">
      <c r="A11369" t="s">
        <v>3745</v>
      </c>
      <c r="B11369" t="s">
        <v>37</v>
      </c>
      <c r="C11369" t="s">
        <v>37</v>
      </c>
      <c r="D11369">
        <v>187</v>
      </c>
    </row>
    <row r="11370" spans="1:4" ht="15.75" customHeight="1">
      <c r="A11370" t="s">
        <v>3346</v>
      </c>
      <c r="B11370" t="s">
        <v>37</v>
      </c>
      <c r="C11370" t="s">
        <v>37</v>
      </c>
      <c r="D11370">
        <v>184</v>
      </c>
    </row>
    <row r="11371" spans="1:4" ht="15.75" customHeight="1">
      <c r="A11371" t="s">
        <v>4159</v>
      </c>
      <c r="B11371" t="s">
        <v>37</v>
      </c>
      <c r="C11371" t="s">
        <v>37</v>
      </c>
      <c r="D11371">
        <v>184</v>
      </c>
    </row>
    <row r="11372" spans="1:4" ht="15.75" customHeight="1">
      <c r="A11372" t="s">
        <v>3338</v>
      </c>
      <c r="B11372" t="s">
        <v>37</v>
      </c>
      <c r="C11372" t="s">
        <v>37</v>
      </c>
      <c r="D11372">
        <v>184</v>
      </c>
    </row>
    <row r="11373" spans="1:4" ht="15.75" customHeight="1">
      <c r="A11373" t="s">
        <v>4874</v>
      </c>
      <c r="B11373" t="s">
        <v>37</v>
      </c>
      <c r="C11373" t="s">
        <v>37</v>
      </c>
      <c r="D11373">
        <v>183</v>
      </c>
    </row>
    <row r="11374" spans="1:4" ht="15.75" customHeight="1">
      <c r="A11374" t="s">
        <v>879</v>
      </c>
      <c r="B11374" t="s">
        <v>37</v>
      </c>
      <c r="C11374" t="s">
        <v>37</v>
      </c>
      <c r="D11374">
        <v>183</v>
      </c>
    </row>
    <row r="11375" spans="1:4" ht="15.75" customHeight="1">
      <c r="A11375" t="s">
        <v>1803</v>
      </c>
      <c r="B11375" t="s">
        <v>37</v>
      </c>
      <c r="C11375" t="s">
        <v>37</v>
      </c>
      <c r="D11375">
        <v>182</v>
      </c>
    </row>
    <row r="11376" spans="1:4" ht="15.75" customHeight="1">
      <c r="A11376" t="s">
        <v>715</v>
      </c>
      <c r="B11376" t="s">
        <v>37</v>
      </c>
      <c r="C11376" t="s">
        <v>37</v>
      </c>
      <c r="D11376">
        <v>180</v>
      </c>
    </row>
    <row r="11377" spans="1:4" ht="15.75" customHeight="1">
      <c r="A11377" t="s">
        <v>901</v>
      </c>
      <c r="B11377" t="s">
        <v>37</v>
      </c>
      <c r="C11377" t="s">
        <v>37</v>
      </c>
      <c r="D11377">
        <v>179</v>
      </c>
    </row>
    <row r="11378" spans="1:4" ht="15.75" customHeight="1">
      <c r="A11378" t="s">
        <v>3382</v>
      </c>
      <c r="B11378" t="s">
        <v>37</v>
      </c>
      <c r="C11378" t="s">
        <v>37</v>
      </c>
      <c r="D11378">
        <v>177</v>
      </c>
    </row>
    <row r="11379" spans="1:4" ht="15.75" customHeight="1">
      <c r="A11379" t="s">
        <v>2938</v>
      </c>
      <c r="B11379" t="s">
        <v>37</v>
      </c>
      <c r="C11379" t="s">
        <v>37</v>
      </c>
      <c r="D11379">
        <v>177</v>
      </c>
    </row>
    <row r="11380" spans="1:4" ht="15.75" customHeight="1">
      <c r="A11380" t="s">
        <v>4857</v>
      </c>
      <c r="B11380" t="s">
        <v>37</v>
      </c>
      <c r="C11380" t="s">
        <v>37</v>
      </c>
      <c r="D11380">
        <v>174</v>
      </c>
    </row>
    <row r="11381" spans="1:4" ht="15.75" customHeight="1">
      <c r="A11381" t="s">
        <v>3774</v>
      </c>
      <c r="B11381" t="s">
        <v>37</v>
      </c>
      <c r="C11381" t="s">
        <v>37</v>
      </c>
      <c r="D11381">
        <v>174</v>
      </c>
    </row>
    <row r="11382" spans="1:4" ht="15.75" customHeight="1">
      <c r="A11382" t="s">
        <v>2900</v>
      </c>
      <c r="B11382" t="s">
        <v>37</v>
      </c>
      <c r="C11382" t="s">
        <v>37</v>
      </c>
      <c r="D11382">
        <v>173</v>
      </c>
    </row>
    <row r="11383" spans="1:4" ht="15.75" customHeight="1">
      <c r="A11383" t="s">
        <v>2321</v>
      </c>
      <c r="B11383" t="s">
        <v>37</v>
      </c>
      <c r="C11383" t="s">
        <v>37</v>
      </c>
      <c r="D11383">
        <v>172</v>
      </c>
    </row>
    <row r="11384" spans="1:4" ht="15.75" customHeight="1">
      <c r="A11384" t="s">
        <v>1547</v>
      </c>
      <c r="B11384" t="s">
        <v>37</v>
      </c>
      <c r="C11384" t="s">
        <v>37</v>
      </c>
      <c r="D11384">
        <v>171</v>
      </c>
    </row>
    <row r="11385" spans="1:4" ht="15.75" customHeight="1">
      <c r="A11385" t="s">
        <v>2349</v>
      </c>
      <c r="B11385" t="s">
        <v>37</v>
      </c>
      <c r="C11385" t="s">
        <v>37</v>
      </c>
      <c r="D11385">
        <v>171</v>
      </c>
    </row>
    <row r="11386" spans="1:4" ht="15.75" customHeight="1">
      <c r="A11386" t="s">
        <v>1494</v>
      </c>
      <c r="B11386" t="s">
        <v>37</v>
      </c>
      <c r="C11386" t="s">
        <v>37</v>
      </c>
      <c r="D11386">
        <v>169</v>
      </c>
    </row>
    <row r="11387" spans="1:4" ht="15.75" customHeight="1">
      <c r="A11387" t="s">
        <v>1817</v>
      </c>
      <c r="B11387" t="s">
        <v>37</v>
      </c>
      <c r="C11387" t="s">
        <v>37</v>
      </c>
      <c r="D11387">
        <v>168</v>
      </c>
    </row>
    <row r="11388" spans="1:4" ht="15.75" customHeight="1">
      <c r="A11388" t="s">
        <v>1485</v>
      </c>
      <c r="B11388" t="s">
        <v>37</v>
      </c>
      <c r="C11388" t="s">
        <v>37</v>
      </c>
      <c r="D11388">
        <v>167</v>
      </c>
    </row>
    <row r="11389" spans="1:4" ht="15.75" customHeight="1">
      <c r="A11389" t="s">
        <v>2922</v>
      </c>
      <c r="B11389" t="s">
        <v>37</v>
      </c>
      <c r="C11389" t="s">
        <v>37</v>
      </c>
      <c r="D11389">
        <v>167</v>
      </c>
    </row>
    <row r="11390" spans="1:4" ht="15.75" customHeight="1">
      <c r="A11390" t="s">
        <v>4894</v>
      </c>
      <c r="B11390" t="s">
        <v>37</v>
      </c>
      <c r="C11390" t="s">
        <v>37</v>
      </c>
      <c r="D11390">
        <v>166</v>
      </c>
    </row>
    <row r="11391" spans="1:4" ht="15.75" customHeight="1">
      <c r="A11391" t="s">
        <v>1505</v>
      </c>
      <c r="B11391" t="s">
        <v>37</v>
      </c>
      <c r="C11391" t="s">
        <v>37</v>
      </c>
      <c r="D11391">
        <v>166</v>
      </c>
    </row>
    <row r="11392" spans="1:4" ht="15.75" customHeight="1">
      <c r="A11392" t="s">
        <v>2918</v>
      </c>
      <c r="B11392" t="s">
        <v>37</v>
      </c>
      <c r="C11392" t="s">
        <v>37</v>
      </c>
      <c r="D11392">
        <v>165</v>
      </c>
    </row>
    <row r="11393" spans="1:4" ht="15.75" customHeight="1">
      <c r="A11393" t="s">
        <v>2948</v>
      </c>
      <c r="B11393" t="s">
        <v>37</v>
      </c>
      <c r="C11393" t="s">
        <v>37</v>
      </c>
      <c r="D11393">
        <v>165</v>
      </c>
    </row>
    <row r="11394" spans="1:4" ht="15.75" customHeight="1">
      <c r="A11394" t="s">
        <v>2932</v>
      </c>
      <c r="B11394" t="s">
        <v>37</v>
      </c>
      <c r="C11394" t="s">
        <v>37</v>
      </c>
      <c r="D11394">
        <v>164</v>
      </c>
    </row>
    <row r="11395" spans="1:4" ht="15.75" customHeight="1">
      <c r="A11395" t="s">
        <v>4468</v>
      </c>
      <c r="B11395" t="s">
        <v>37</v>
      </c>
      <c r="C11395" t="s">
        <v>37</v>
      </c>
      <c r="D11395">
        <v>164</v>
      </c>
    </row>
    <row r="11396" spans="1:4" ht="15.75" customHeight="1">
      <c r="A11396" t="s">
        <v>844</v>
      </c>
      <c r="B11396" t="s">
        <v>37</v>
      </c>
      <c r="C11396" t="s">
        <v>37</v>
      </c>
      <c r="D11396">
        <v>161</v>
      </c>
    </row>
    <row r="11397" spans="1:4" ht="15.75" customHeight="1">
      <c r="A11397" t="s">
        <v>4878</v>
      </c>
      <c r="B11397" t="s">
        <v>37</v>
      </c>
      <c r="C11397" t="s">
        <v>37</v>
      </c>
      <c r="D11397">
        <v>160</v>
      </c>
    </row>
    <row r="11398" spans="1:4" ht="15.75" customHeight="1">
      <c r="A11398" t="s">
        <v>4180</v>
      </c>
      <c r="B11398" t="s">
        <v>37</v>
      </c>
      <c r="C11398" t="s">
        <v>37</v>
      </c>
      <c r="D11398">
        <v>158</v>
      </c>
    </row>
    <row r="11399" spans="1:4" ht="15.75" customHeight="1">
      <c r="A11399" t="s">
        <v>2363</v>
      </c>
      <c r="B11399" t="s">
        <v>37</v>
      </c>
      <c r="C11399" t="s">
        <v>37</v>
      </c>
      <c r="D11399">
        <v>157</v>
      </c>
    </row>
    <row r="11400" spans="1:4" ht="15.75" customHeight="1">
      <c r="A11400" t="s">
        <v>3737</v>
      </c>
      <c r="B11400" t="s">
        <v>37</v>
      </c>
      <c r="C11400" t="s">
        <v>37</v>
      </c>
      <c r="D11400">
        <v>156</v>
      </c>
    </row>
    <row r="11401" spans="1:4" ht="15.75" customHeight="1">
      <c r="A11401" t="s">
        <v>1813</v>
      </c>
      <c r="B11401" t="s">
        <v>37</v>
      </c>
      <c r="C11401" t="s">
        <v>37</v>
      </c>
      <c r="D11401">
        <v>155</v>
      </c>
    </row>
    <row r="11402" spans="1:4" ht="15.75" customHeight="1">
      <c r="A11402" t="s">
        <v>911</v>
      </c>
      <c r="B11402" t="s">
        <v>37</v>
      </c>
      <c r="C11402" t="s">
        <v>37</v>
      </c>
      <c r="D11402">
        <v>155</v>
      </c>
    </row>
    <row r="11403" spans="1:4" ht="15.75" customHeight="1">
      <c r="A11403" t="s">
        <v>3747</v>
      </c>
      <c r="B11403" t="s">
        <v>37</v>
      </c>
      <c r="C11403" t="s">
        <v>37</v>
      </c>
      <c r="D11403">
        <v>154</v>
      </c>
    </row>
    <row r="11404" spans="1:4" ht="15.75" customHeight="1">
      <c r="A11404" t="s">
        <v>1805</v>
      </c>
      <c r="B11404" t="s">
        <v>37</v>
      </c>
      <c r="C11404" t="s">
        <v>37</v>
      </c>
      <c r="D11404">
        <v>153</v>
      </c>
    </row>
    <row r="11405" spans="1:4" ht="15.75" customHeight="1">
      <c r="A11405" t="s">
        <v>3394</v>
      </c>
      <c r="B11405" t="s">
        <v>37</v>
      </c>
      <c r="C11405" t="s">
        <v>37</v>
      </c>
      <c r="D11405">
        <v>151</v>
      </c>
    </row>
    <row r="11406" spans="1:4" ht="15.75" customHeight="1">
      <c r="A11406" t="s">
        <v>4888</v>
      </c>
      <c r="B11406" t="s">
        <v>37</v>
      </c>
      <c r="C11406" t="s">
        <v>37</v>
      </c>
      <c r="D11406">
        <v>149</v>
      </c>
    </row>
    <row r="11407" spans="1:4" ht="15.75" customHeight="1">
      <c r="A11407" t="s">
        <v>3764</v>
      </c>
      <c r="B11407" t="s">
        <v>37</v>
      </c>
      <c r="C11407" t="s">
        <v>37</v>
      </c>
      <c r="D11407">
        <v>149</v>
      </c>
    </row>
    <row r="11408" spans="1:4" ht="15.75" customHeight="1">
      <c r="A11408" t="s">
        <v>4861</v>
      </c>
      <c r="B11408" t="s">
        <v>37</v>
      </c>
      <c r="C11408" t="s">
        <v>37</v>
      </c>
      <c r="D11408">
        <v>149</v>
      </c>
    </row>
    <row r="11409" spans="1:4" ht="15.75" customHeight="1">
      <c r="A11409" t="s">
        <v>1561</v>
      </c>
      <c r="B11409" t="s">
        <v>37</v>
      </c>
      <c r="C11409" t="s">
        <v>37</v>
      </c>
      <c r="D11409">
        <v>148</v>
      </c>
    </row>
    <row r="11410" spans="1:4" ht="15.75" customHeight="1">
      <c r="A11410" t="s">
        <v>4454</v>
      </c>
      <c r="B11410" t="s">
        <v>37</v>
      </c>
      <c r="C11410" t="s">
        <v>37</v>
      </c>
      <c r="D11410">
        <v>147</v>
      </c>
    </row>
    <row r="11411" spans="1:4" ht="15.75" customHeight="1">
      <c r="A11411" t="s">
        <v>1481</v>
      </c>
      <c r="B11411" t="s">
        <v>37</v>
      </c>
      <c r="C11411" t="s">
        <v>37</v>
      </c>
      <c r="D11411">
        <v>147</v>
      </c>
    </row>
    <row r="11412" spans="1:4" ht="15.75" customHeight="1">
      <c r="A11412" t="s">
        <v>1809</v>
      </c>
      <c r="B11412" t="s">
        <v>37</v>
      </c>
      <c r="C11412" t="s">
        <v>37</v>
      </c>
      <c r="D11412">
        <v>146</v>
      </c>
    </row>
    <row r="11413" spans="1:4" ht="15.75" customHeight="1">
      <c r="A11413" t="s">
        <v>2335</v>
      </c>
      <c r="B11413" t="s">
        <v>37</v>
      </c>
      <c r="C11413" t="s">
        <v>37</v>
      </c>
      <c r="D11413">
        <v>146</v>
      </c>
    </row>
    <row r="11414" spans="1:4" ht="15.75" customHeight="1">
      <c r="A11414" t="s">
        <v>1515</v>
      </c>
      <c r="B11414" t="s">
        <v>37</v>
      </c>
      <c r="C11414" t="s">
        <v>37</v>
      </c>
      <c r="D11414">
        <v>145</v>
      </c>
    </row>
    <row r="11415" spans="1:4" ht="15.75" customHeight="1">
      <c r="A11415" t="s">
        <v>1549</v>
      </c>
      <c r="B11415" t="s">
        <v>37</v>
      </c>
      <c r="C11415" t="s">
        <v>37</v>
      </c>
      <c r="D11415">
        <v>144</v>
      </c>
    </row>
    <row r="11416" spans="1:4" ht="15.75" customHeight="1">
      <c r="A11416" t="s">
        <v>3326</v>
      </c>
      <c r="B11416" t="s">
        <v>37</v>
      </c>
      <c r="C11416" t="s">
        <v>37</v>
      </c>
      <c r="D11416">
        <v>144</v>
      </c>
    </row>
    <row r="11417" spans="1:4" ht="15.75" customHeight="1">
      <c r="A11417" t="s">
        <v>3360</v>
      </c>
      <c r="B11417" t="s">
        <v>37</v>
      </c>
      <c r="C11417" t="s">
        <v>37</v>
      </c>
      <c r="D11417">
        <v>144</v>
      </c>
    </row>
    <row r="11418" spans="1:4" ht="15.75" customHeight="1">
      <c r="A11418" t="s">
        <v>2337</v>
      </c>
      <c r="B11418" t="s">
        <v>37</v>
      </c>
      <c r="C11418" t="s">
        <v>37</v>
      </c>
      <c r="D11418">
        <v>140</v>
      </c>
    </row>
    <row r="11419" spans="1:4" ht="15.75" customHeight="1">
      <c r="A11419" t="s">
        <v>2952</v>
      </c>
      <c r="B11419" t="s">
        <v>37</v>
      </c>
      <c r="C11419" t="s">
        <v>37</v>
      </c>
      <c r="D11419">
        <v>140</v>
      </c>
    </row>
    <row r="11420" spans="1:4" ht="15.75" customHeight="1">
      <c r="A11420" t="s">
        <v>1799</v>
      </c>
      <c r="B11420" t="s">
        <v>37</v>
      </c>
      <c r="C11420" t="s">
        <v>37</v>
      </c>
      <c r="D11420">
        <v>137</v>
      </c>
    </row>
    <row r="11421" spans="1:4" ht="15.75" customHeight="1">
      <c r="A11421" t="s">
        <v>1487</v>
      </c>
      <c r="B11421" t="s">
        <v>37</v>
      </c>
      <c r="C11421" t="s">
        <v>37</v>
      </c>
      <c r="D11421">
        <v>137</v>
      </c>
    </row>
    <row r="11422" spans="1:4" ht="15.75" customHeight="1">
      <c r="A11422" t="s">
        <v>4859</v>
      </c>
      <c r="B11422" t="s">
        <v>37</v>
      </c>
      <c r="C11422" t="s">
        <v>37</v>
      </c>
      <c r="D11422">
        <v>134</v>
      </c>
    </row>
    <row r="11423" spans="1:4" ht="15.75" customHeight="1">
      <c r="A11423" t="s">
        <v>4165</v>
      </c>
      <c r="B11423" t="s">
        <v>37</v>
      </c>
      <c r="C11423" t="s">
        <v>37</v>
      </c>
      <c r="D11423">
        <v>131</v>
      </c>
    </row>
    <row r="11424" spans="1:4" ht="15.75" customHeight="1">
      <c r="A11424" t="s">
        <v>4456</v>
      </c>
      <c r="B11424" t="s">
        <v>37</v>
      </c>
      <c r="C11424" t="s">
        <v>37</v>
      </c>
      <c r="D11424">
        <v>129</v>
      </c>
    </row>
    <row r="11425" spans="1:4" ht="15.75" customHeight="1">
      <c r="A11425" t="s">
        <v>3324</v>
      </c>
      <c r="B11425" t="s">
        <v>37</v>
      </c>
      <c r="C11425" t="s">
        <v>37</v>
      </c>
      <c r="D11425">
        <v>128</v>
      </c>
    </row>
    <row r="11426" spans="1:4" ht="15.75" customHeight="1">
      <c r="A11426" t="s">
        <v>2341</v>
      </c>
      <c r="B11426" t="s">
        <v>37</v>
      </c>
      <c r="C11426" t="s">
        <v>37</v>
      </c>
      <c r="D11426">
        <v>124</v>
      </c>
    </row>
    <row r="11427" spans="1:4" ht="15.75" customHeight="1">
      <c r="A11427" t="s">
        <v>729</v>
      </c>
      <c r="B11427" t="s">
        <v>37</v>
      </c>
      <c r="C11427" t="s">
        <v>37</v>
      </c>
      <c r="D11427">
        <v>123</v>
      </c>
    </row>
    <row r="11428" spans="1:4" ht="15.75" customHeight="1">
      <c r="A11428" t="s">
        <v>881</v>
      </c>
      <c r="B11428" t="s">
        <v>37</v>
      </c>
      <c r="C11428" t="s">
        <v>37</v>
      </c>
      <c r="D11428">
        <v>123</v>
      </c>
    </row>
    <row r="11429" spans="1:4" ht="15.75" customHeight="1">
      <c r="A11429" t="s">
        <v>1801</v>
      </c>
      <c r="B11429" t="s">
        <v>37</v>
      </c>
      <c r="C11429" t="s">
        <v>37</v>
      </c>
      <c r="D11429">
        <v>123</v>
      </c>
    </row>
    <row r="11430" spans="1:4" ht="15.75" customHeight="1">
      <c r="A11430" t="s">
        <v>4458</v>
      </c>
      <c r="B11430" t="s">
        <v>37</v>
      </c>
      <c r="C11430" t="s">
        <v>37</v>
      </c>
      <c r="D11430">
        <v>122</v>
      </c>
    </row>
    <row r="11431" spans="1:4" ht="15.75" customHeight="1">
      <c r="A11431" t="s">
        <v>3354</v>
      </c>
      <c r="B11431" t="s">
        <v>37</v>
      </c>
      <c r="C11431" t="s">
        <v>37</v>
      </c>
      <c r="D11431">
        <v>122</v>
      </c>
    </row>
    <row r="11432" spans="1:4" ht="15.75" customHeight="1">
      <c r="A11432" t="s">
        <v>4905</v>
      </c>
      <c r="B11432" t="s">
        <v>37</v>
      </c>
      <c r="C11432" t="s">
        <v>37</v>
      </c>
      <c r="D11432">
        <v>122</v>
      </c>
    </row>
    <row r="11433" spans="1:4" ht="15.75" customHeight="1">
      <c r="A11433" t="s">
        <v>1569</v>
      </c>
      <c r="B11433" t="s">
        <v>37</v>
      </c>
      <c r="C11433" t="s">
        <v>37</v>
      </c>
      <c r="D11433">
        <v>121</v>
      </c>
    </row>
    <row r="11434" spans="1:4" ht="15.75" customHeight="1">
      <c r="A11434" t="s">
        <v>4462</v>
      </c>
      <c r="B11434" t="s">
        <v>37</v>
      </c>
      <c r="C11434" t="s">
        <v>37</v>
      </c>
      <c r="D11434">
        <v>121</v>
      </c>
    </row>
    <row r="11435" spans="1:4" ht="15.75" customHeight="1">
      <c r="A11435" t="s">
        <v>4178</v>
      </c>
      <c r="B11435" t="s">
        <v>37</v>
      </c>
      <c r="C11435" t="s">
        <v>37</v>
      </c>
      <c r="D11435">
        <v>121</v>
      </c>
    </row>
    <row r="11436" spans="1:4" ht="15.75" customHeight="1">
      <c r="A11436" t="s">
        <v>4470</v>
      </c>
      <c r="B11436" t="s">
        <v>37</v>
      </c>
      <c r="C11436" t="s">
        <v>37</v>
      </c>
      <c r="D11436">
        <v>121</v>
      </c>
    </row>
    <row r="11437" spans="1:4" ht="15.75" customHeight="1">
      <c r="A11437" t="s">
        <v>3388</v>
      </c>
      <c r="B11437" t="s">
        <v>37</v>
      </c>
      <c r="C11437" t="s">
        <v>37</v>
      </c>
      <c r="D11437">
        <v>119</v>
      </c>
    </row>
    <row r="11438" spans="1:4" ht="15.75" customHeight="1">
      <c r="A11438" t="s">
        <v>2369</v>
      </c>
      <c r="B11438" t="s">
        <v>37</v>
      </c>
      <c r="C11438" t="s">
        <v>37</v>
      </c>
      <c r="D11438">
        <v>119</v>
      </c>
    </row>
    <row r="11439" spans="1:4" ht="15.75" customHeight="1">
      <c r="A11439" t="s">
        <v>1483</v>
      </c>
      <c r="B11439" t="s">
        <v>37</v>
      </c>
      <c r="C11439" t="s">
        <v>37</v>
      </c>
      <c r="D11439">
        <v>118</v>
      </c>
    </row>
    <row r="11440" spans="1:4" ht="15.75" customHeight="1">
      <c r="A11440" t="s">
        <v>3754</v>
      </c>
      <c r="B11440" t="s">
        <v>37</v>
      </c>
      <c r="C11440" t="s">
        <v>37</v>
      </c>
      <c r="D11440">
        <v>115</v>
      </c>
    </row>
    <row r="11441" spans="1:4" ht="15.75" customHeight="1">
      <c r="A11441" t="s">
        <v>3374</v>
      </c>
      <c r="B11441" t="s">
        <v>37</v>
      </c>
      <c r="C11441" t="s">
        <v>37</v>
      </c>
      <c r="D11441">
        <v>111</v>
      </c>
    </row>
    <row r="11442" spans="1:4" ht="15.75" customHeight="1">
      <c r="A11442" t="s">
        <v>1811</v>
      </c>
      <c r="B11442" t="s">
        <v>37</v>
      </c>
      <c r="C11442" t="s">
        <v>37</v>
      </c>
      <c r="D11442">
        <v>109</v>
      </c>
    </row>
    <row r="11443" spans="1:4" ht="15.75" customHeight="1">
      <c r="A11443" t="s">
        <v>4442</v>
      </c>
      <c r="B11443" t="s">
        <v>37</v>
      </c>
      <c r="C11443" t="s">
        <v>37</v>
      </c>
      <c r="D11443">
        <v>108</v>
      </c>
    </row>
    <row r="11444" spans="1:4" ht="15.75" customHeight="1">
      <c r="A11444" t="s">
        <v>1464</v>
      </c>
      <c r="B11444" t="s">
        <v>37</v>
      </c>
      <c r="C11444" t="s">
        <v>37</v>
      </c>
      <c r="D11444">
        <v>107</v>
      </c>
    </row>
    <row r="11445" spans="1:4" ht="15.75" customHeight="1">
      <c r="A11445" t="s">
        <v>3376</v>
      </c>
      <c r="B11445" t="s">
        <v>37</v>
      </c>
      <c r="C11445" t="s">
        <v>37</v>
      </c>
      <c r="D11445">
        <v>107</v>
      </c>
    </row>
    <row r="11446" spans="1:4" ht="15.75" customHeight="1">
      <c r="A11446" t="s">
        <v>4472</v>
      </c>
      <c r="B11446" t="s">
        <v>37</v>
      </c>
      <c r="C11446" t="s">
        <v>37</v>
      </c>
      <c r="D11446">
        <v>107</v>
      </c>
    </row>
    <row r="11447" spans="1:4" ht="15.75" customHeight="1">
      <c r="A11447" t="s">
        <v>3731</v>
      </c>
      <c r="B11447" t="s">
        <v>37</v>
      </c>
      <c r="C11447" t="s">
        <v>37</v>
      </c>
      <c r="D11447">
        <v>106</v>
      </c>
    </row>
    <row r="11448" spans="1:4" ht="15.75" customHeight="1">
      <c r="A11448" t="s">
        <v>1559</v>
      </c>
      <c r="B11448" t="s">
        <v>37</v>
      </c>
      <c r="C11448" t="s">
        <v>37</v>
      </c>
      <c r="D11448">
        <v>104</v>
      </c>
    </row>
    <row r="11449" spans="1:4" ht="15.75" customHeight="1">
      <c r="A11449" t="s">
        <v>1577</v>
      </c>
      <c r="B11449" t="s">
        <v>37</v>
      </c>
      <c r="C11449" t="s">
        <v>37</v>
      </c>
      <c r="D11449">
        <v>104</v>
      </c>
    </row>
    <row r="11450" spans="1:4" ht="15.75" customHeight="1">
      <c r="A11450" t="s">
        <v>4446</v>
      </c>
      <c r="B11450" t="s">
        <v>37</v>
      </c>
      <c r="C11450" t="s">
        <v>37</v>
      </c>
      <c r="D11450">
        <v>103</v>
      </c>
    </row>
    <row r="11451" spans="1:4" ht="15.75" customHeight="1">
      <c r="A11451" t="s">
        <v>818</v>
      </c>
      <c r="B11451" t="s">
        <v>37</v>
      </c>
      <c r="C11451" t="s">
        <v>37</v>
      </c>
      <c r="D11451">
        <v>103</v>
      </c>
    </row>
    <row r="11452" spans="1:4" ht="15.75" customHeight="1">
      <c r="A11452" t="s">
        <v>4205</v>
      </c>
      <c r="B11452" t="s">
        <v>37</v>
      </c>
      <c r="C11452" t="s">
        <v>37</v>
      </c>
      <c r="D11452">
        <v>101</v>
      </c>
    </row>
    <row r="11453" spans="1:4" ht="15.75" customHeight="1">
      <c r="A11453" t="s">
        <v>3370</v>
      </c>
      <c r="B11453" t="s">
        <v>37</v>
      </c>
      <c r="C11453" t="s">
        <v>37</v>
      </c>
      <c r="D11453">
        <v>101</v>
      </c>
    </row>
    <row r="11454" spans="1:4" ht="15.75" customHeight="1">
      <c r="A11454" t="s">
        <v>2886</v>
      </c>
      <c r="B11454" t="s">
        <v>37</v>
      </c>
      <c r="C11454" t="s">
        <v>37</v>
      </c>
      <c r="D11454">
        <v>99</v>
      </c>
    </row>
    <row r="11455" spans="1:4" ht="15.75" customHeight="1">
      <c r="A11455" t="s">
        <v>3334</v>
      </c>
      <c r="B11455" t="s">
        <v>37</v>
      </c>
      <c r="C11455" t="s">
        <v>37</v>
      </c>
      <c r="D11455">
        <v>93</v>
      </c>
    </row>
    <row r="11456" spans="1:4" ht="15.75" customHeight="1">
      <c r="A11456" t="s">
        <v>4466</v>
      </c>
      <c r="B11456" t="s">
        <v>37</v>
      </c>
      <c r="C11456" t="s">
        <v>37</v>
      </c>
      <c r="D11456">
        <v>92</v>
      </c>
    </row>
    <row r="11457" spans="1:4" ht="15.75" customHeight="1">
      <c r="A11457" t="s">
        <v>1527</v>
      </c>
      <c r="B11457" t="s">
        <v>37</v>
      </c>
      <c r="C11457" t="s">
        <v>37</v>
      </c>
      <c r="D11457">
        <v>86</v>
      </c>
    </row>
    <row r="11458" spans="1:4" ht="15.75" customHeight="1">
      <c r="A11458" t="s">
        <v>1565</v>
      </c>
      <c r="B11458" t="s">
        <v>37</v>
      </c>
      <c r="C11458" t="s">
        <v>37</v>
      </c>
      <c r="D11458">
        <v>84</v>
      </c>
    </row>
    <row r="11459" spans="1:4" ht="15.75" customHeight="1">
      <c r="A11459" t="s">
        <v>3735</v>
      </c>
      <c r="B11459" t="s">
        <v>37</v>
      </c>
      <c r="C11459" t="s">
        <v>37</v>
      </c>
      <c r="D11459">
        <v>84</v>
      </c>
    </row>
    <row r="11460" spans="1:4" ht="15.75" customHeight="1">
      <c r="A11460" t="s">
        <v>3749</v>
      </c>
      <c r="B11460" t="s">
        <v>37</v>
      </c>
      <c r="C11460" t="s">
        <v>37</v>
      </c>
      <c r="D11460">
        <v>83</v>
      </c>
    </row>
    <row r="11461" spans="1:4" ht="15.75" customHeight="1">
      <c r="A11461" t="s">
        <v>1496</v>
      </c>
      <c r="B11461" t="s">
        <v>37</v>
      </c>
      <c r="C11461" t="s">
        <v>37</v>
      </c>
      <c r="D11461">
        <v>82</v>
      </c>
    </row>
    <row r="11462" spans="1:4" ht="15.75" customHeight="1">
      <c r="A11462" t="s">
        <v>1501</v>
      </c>
      <c r="B11462" t="s">
        <v>37</v>
      </c>
      <c r="C11462" t="s">
        <v>37</v>
      </c>
      <c r="D11462">
        <v>80</v>
      </c>
    </row>
    <row r="11463" spans="1:4" ht="15.75" customHeight="1">
      <c r="A11463" t="s">
        <v>3336</v>
      </c>
      <c r="B11463" t="s">
        <v>37</v>
      </c>
      <c r="C11463" t="s">
        <v>37</v>
      </c>
      <c r="D11463">
        <v>80</v>
      </c>
    </row>
    <row r="11464" spans="1:4" ht="15.75" customHeight="1">
      <c r="A11464" t="s">
        <v>4882</v>
      </c>
      <c r="B11464" t="s">
        <v>37</v>
      </c>
      <c r="C11464" t="s">
        <v>37</v>
      </c>
      <c r="D11464">
        <v>79</v>
      </c>
    </row>
    <row r="11465" spans="1:4" ht="15.75" customHeight="1">
      <c r="A11465" t="s">
        <v>4214</v>
      </c>
      <c r="B11465" t="s">
        <v>37</v>
      </c>
      <c r="C11465" t="s">
        <v>37</v>
      </c>
      <c r="D11465">
        <v>79</v>
      </c>
    </row>
    <row r="11466" spans="1:4" ht="15.75" customHeight="1">
      <c r="A11466" t="s">
        <v>1507</v>
      </c>
      <c r="B11466" t="s">
        <v>37</v>
      </c>
      <c r="C11466" t="s">
        <v>37</v>
      </c>
      <c r="D11466">
        <v>77</v>
      </c>
    </row>
    <row r="11467" spans="1:4" ht="15.75" customHeight="1">
      <c r="A11467" t="s">
        <v>1551</v>
      </c>
      <c r="B11467" t="s">
        <v>37</v>
      </c>
      <c r="C11467" t="s">
        <v>37</v>
      </c>
      <c r="D11467">
        <v>75</v>
      </c>
    </row>
    <row r="11468" spans="1:4" ht="15.75" customHeight="1">
      <c r="A11468" t="s">
        <v>1575</v>
      </c>
      <c r="B11468" t="s">
        <v>37</v>
      </c>
      <c r="C11468" t="s">
        <v>37</v>
      </c>
      <c r="D11468">
        <v>74</v>
      </c>
    </row>
    <row r="11469" spans="1:4" ht="15.75" customHeight="1">
      <c r="A11469" t="s">
        <v>3392</v>
      </c>
      <c r="B11469" t="s">
        <v>37</v>
      </c>
      <c r="C11469" t="s">
        <v>37</v>
      </c>
      <c r="D11469">
        <v>71</v>
      </c>
    </row>
    <row r="11470" spans="1:4" ht="15.75" customHeight="1">
      <c r="A11470" t="s">
        <v>4876</v>
      </c>
      <c r="B11470" t="s">
        <v>37</v>
      </c>
      <c r="C11470" t="s">
        <v>37</v>
      </c>
      <c r="D11470">
        <v>69</v>
      </c>
    </row>
    <row r="11471" spans="1:4" ht="15.75" customHeight="1">
      <c r="A11471" t="s">
        <v>3733</v>
      </c>
      <c r="B11471" t="s">
        <v>37</v>
      </c>
      <c r="C11471" t="s">
        <v>37</v>
      </c>
      <c r="D11471">
        <v>62</v>
      </c>
    </row>
    <row r="11472" spans="1:4" ht="15.75" customHeight="1">
      <c r="A11472" t="s">
        <v>3741</v>
      </c>
      <c r="B11472" t="s">
        <v>37</v>
      </c>
      <c r="C11472" t="s">
        <v>37</v>
      </c>
      <c r="D11472">
        <v>61</v>
      </c>
    </row>
    <row r="11473" spans="1:4" ht="15.75" customHeight="1">
      <c r="A11473" t="s">
        <v>1567</v>
      </c>
      <c r="B11473" t="s">
        <v>37</v>
      </c>
      <c r="C11473" t="s">
        <v>37</v>
      </c>
      <c r="D11473">
        <v>60</v>
      </c>
    </row>
    <row r="11474" spans="1:4" ht="15.75" customHeight="1">
      <c r="A11474" t="s">
        <v>2928</v>
      </c>
      <c r="B11474" t="s">
        <v>37</v>
      </c>
      <c r="C11474" t="s">
        <v>37</v>
      </c>
      <c r="D11474">
        <v>59</v>
      </c>
    </row>
    <row r="11475" spans="1:4" ht="15.75" customHeight="1">
      <c r="A11475" t="s">
        <v>4853</v>
      </c>
      <c r="B11475" t="s">
        <v>37</v>
      </c>
      <c r="C11475" t="s">
        <v>37</v>
      </c>
      <c r="D11475">
        <v>58</v>
      </c>
    </row>
    <row r="11476" spans="1:4" ht="15.75" customHeight="1">
      <c r="A11476" t="s">
        <v>1477</v>
      </c>
      <c r="B11476" t="s">
        <v>37</v>
      </c>
      <c r="C11476" t="s">
        <v>37</v>
      </c>
      <c r="D11476">
        <v>58</v>
      </c>
    </row>
    <row r="11477" spans="1:4" ht="15.75" customHeight="1">
      <c r="A11477" t="s">
        <v>1823</v>
      </c>
      <c r="B11477" t="s">
        <v>37</v>
      </c>
      <c r="C11477" t="s">
        <v>37</v>
      </c>
      <c r="D11477">
        <v>58</v>
      </c>
    </row>
    <row r="11478" spans="1:4" ht="15.75" customHeight="1">
      <c r="A11478" t="s">
        <v>2309</v>
      </c>
      <c r="B11478" t="s">
        <v>37</v>
      </c>
      <c r="C11478" t="s">
        <v>37</v>
      </c>
      <c r="D11478">
        <v>57</v>
      </c>
    </row>
    <row r="11479" spans="1:4" ht="15.75" customHeight="1">
      <c r="A11479" t="s">
        <v>3380</v>
      </c>
      <c r="B11479" t="s">
        <v>37</v>
      </c>
      <c r="C11479" t="s">
        <v>37</v>
      </c>
      <c r="D11479">
        <v>57</v>
      </c>
    </row>
    <row r="11480" spans="1:4" ht="15.75" customHeight="1">
      <c r="A11480" t="s">
        <v>867</v>
      </c>
      <c r="B11480" t="s">
        <v>37</v>
      </c>
      <c r="C11480" t="s">
        <v>37</v>
      </c>
      <c r="D11480">
        <v>55</v>
      </c>
    </row>
    <row r="11481" spans="1:4" ht="15.75" customHeight="1">
      <c r="A11481" t="s">
        <v>2303</v>
      </c>
      <c r="B11481" t="s">
        <v>37</v>
      </c>
      <c r="C11481" t="s">
        <v>37</v>
      </c>
      <c r="D11481">
        <v>55</v>
      </c>
    </row>
    <row r="11482" spans="1:4" ht="15.75" customHeight="1">
      <c r="A11482" t="s">
        <v>4474</v>
      </c>
      <c r="B11482" t="s">
        <v>37</v>
      </c>
      <c r="C11482" t="s">
        <v>37</v>
      </c>
      <c r="D11482">
        <v>53</v>
      </c>
    </row>
    <row r="11483" spans="1:4" ht="15.75" customHeight="1">
      <c r="A11483" t="s">
        <v>3352</v>
      </c>
      <c r="B11483" t="s">
        <v>37</v>
      </c>
      <c r="C11483" t="s">
        <v>37</v>
      </c>
      <c r="D11483">
        <v>52</v>
      </c>
    </row>
    <row r="11484" spans="1:4" ht="15.75" customHeight="1">
      <c r="A11484" t="s">
        <v>2305</v>
      </c>
      <c r="B11484" t="s">
        <v>37</v>
      </c>
      <c r="C11484" t="s">
        <v>37</v>
      </c>
      <c r="D11484">
        <v>50</v>
      </c>
    </row>
    <row r="11485" spans="1:4" ht="15.75" customHeight="1">
      <c r="A11485" t="s">
        <v>1533</v>
      </c>
      <c r="B11485" t="s">
        <v>37</v>
      </c>
      <c r="C11485" t="s">
        <v>37</v>
      </c>
      <c r="D11485">
        <v>49</v>
      </c>
    </row>
    <row r="11486" spans="1:4" ht="15.75" customHeight="1">
      <c r="A11486" t="s">
        <v>3322</v>
      </c>
      <c r="B11486" t="s">
        <v>37</v>
      </c>
      <c r="C11486" t="s">
        <v>37</v>
      </c>
      <c r="D11486">
        <v>48</v>
      </c>
    </row>
    <row r="11487" spans="1:4" ht="15.75" customHeight="1">
      <c r="A11487" t="s">
        <v>3770</v>
      </c>
      <c r="B11487" t="s">
        <v>37</v>
      </c>
      <c r="C11487" t="s">
        <v>37</v>
      </c>
      <c r="D11487">
        <v>46</v>
      </c>
    </row>
    <row r="11488" spans="1:4" ht="15.75" customHeight="1">
      <c r="A11488" t="s">
        <v>4444</v>
      </c>
      <c r="B11488" t="s">
        <v>37</v>
      </c>
      <c r="C11488" t="s">
        <v>37</v>
      </c>
      <c r="D11488">
        <v>45</v>
      </c>
    </row>
    <row r="11489" spans="1:4" ht="15.75" customHeight="1">
      <c r="A11489" t="s">
        <v>1815</v>
      </c>
      <c r="B11489" t="s">
        <v>37</v>
      </c>
      <c r="C11489" t="s">
        <v>37</v>
      </c>
      <c r="D11489">
        <v>44</v>
      </c>
    </row>
    <row r="11490" spans="1:4" ht="15.75" customHeight="1">
      <c r="A11490" t="s">
        <v>2371</v>
      </c>
      <c r="B11490" t="s">
        <v>37</v>
      </c>
      <c r="C11490" t="s">
        <v>37</v>
      </c>
      <c r="D11490">
        <v>44</v>
      </c>
    </row>
    <row r="11491" spans="1:4" ht="15.75" customHeight="1">
      <c r="A11491" t="s">
        <v>3400</v>
      </c>
      <c r="B11491" t="s">
        <v>37</v>
      </c>
      <c r="C11491" t="s">
        <v>37</v>
      </c>
      <c r="D11491">
        <v>43</v>
      </c>
    </row>
    <row r="11492" spans="1:4" ht="15.75" customHeight="1">
      <c r="A11492" t="s">
        <v>4435</v>
      </c>
      <c r="B11492" t="s">
        <v>37</v>
      </c>
      <c r="C11492" t="s">
        <v>37</v>
      </c>
      <c r="D11492">
        <v>41</v>
      </c>
    </row>
    <row r="11493" spans="1:4" ht="15.75" customHeight="1">
      <c r="A11493" t="s">
        <v>3758</v>
      </c>
      <c r="B11493" t="s">
        <v>37</v>
      </c>
      <c r="C11493" t="s">
        <v>37</v>
      </c>
      <c r="D11493">
        <v>41</v>
      </c>
    </row>
    <row r="11494" spans="1:4" ht="15.75" customHeight="1">
      <c r="A11494" t="s">
        <v>3783</v>
      </c>
      <c r="B11494" t="s">
        <v>37</v>
      </c>
      <c r="C11494" t="s">
        <v>37</v>
      </c>
      <c r="D11494">
        <v>38</v>
      </c>
    </row>
    <row r="11495" spans="1:4" ht="15.75" customHeight="1">
      <c r="A11495" t="s">
        <v>3386</v>
      </c>
      <c r="B11495" t="s">
        <v>37</v>
      </c>
      <c r="C11495" t="s">
        <v>37</v>
      </c>
      <c r="D11495">
        <v>36</v>
      </c>
    </row>
    <row r="11496" spans="1:4" ht="15.75" customHeight="1">
      <c r="A11496" t="s">
        <v>4440</v>
      </c>
      <c r="B11496" t="s">
        <v>37</v>
      </c>
      <c r="C11496" t="s">
        <v>37</v>
      </c>
      <c r="D11496">
        <v>32</v>
      </c>
    </row>
    <row r="11497" spans="1:4" ht="15.75" customHeight="1">
      <c r="A11497" t="s">
        <v>4902</v>
      </c>
      <c r="B11497" t="s">
        <v>37</v>
      </c>
      <c r="C11497" t="s">
        <v>37</v>
      </c>
      <c r="D11497">
        <v>30</v>
      </c>
    </row>
    <row r="11498" spans="1:4" ht="15.75" customHeight="1">
      <c r="A11498" t="s">
        <v>4464</v>
      </c>
      <c r="B11498" t="s">
        <v>37</v>
      </c>
      <c r="C11498" t="s">
        <v>37</v>
      </c>
      <c r="D11498">
        <v>29</v>
      </c>
    </row>
    <row r="11499" spans="1:4" ht="15.75" customHeight="1">
      <c r="A11499" t="s">
        <v>2319</v>
      </c>
      <c r="B11499" t="s">
        <v>37</v>
      </c>
      <c r="C11499" t="s">
        <v>37</v>
      </c>
      <c r="D11499">
        <v>24</v>
      </c>
    </row>
    <row r="11500" spans="1:4" ht="15.75" customHeight="1">
      <c r="A11500" t="s">
        <v>3368</v>
      </c>
      <c r="B11500" t="s">
        <v>37</v>
      </c>
      <c r="C11500" t="s">
        <v>37</v>
      </c>
      <c r="D11500">
        <v>23</v>
      </c>
    </row>
    <row r="11501" spans="1:4" ht="15.75" customHeight="1">
      <c r="A11501" t="s">
        <v>1531</v>
      </c>
      <c r="B11501" t="s">
        <v>37</v>
      </c>
      <c r="C11501" t="s">
        <v>37</v>
      </c>
      <c r="D11501">
        <v>17</v>
      </c>
    </row>
    <row r="11502" spans="1:4" ht="15.75" customHeight="1">
      <c r="A11502" t="s">
        <v>3332</v>
      </c>
      <c r="B11502" t="s">
        <v>37</v>
      </c>
      <c r="C11502" t="s">
        <v>37</v>
      </c>
      <c r="D11502">
        <v>15</v>
      </c>
    </row>
    <row r="11503" spans="1:4" ht="15.75" customHeight="1">
      <c r="A11503" t="s">
        <v>1821</v>
      </c>
      <c r="B11503" t="s">
        <v>37</v>
      </c>
      <c r="C11503" t="s">
        <v>37</v>
      </c>
      <c r="D11503">
        <v>14</v>
      </c>
    </row>
    <row r="11504" spans="1:4" ht="15.75" customHeight="1">
      <c r="A11504" t="s">
        <v>4448</v>
      </c>
      <c r="B11504" t="s">
        <v>37</v>
      </c>
      <c r="C11504" t="s">
        <v>37</v>
      </c>
      <c r="D11504">
        <v>13</v>
      </c>
    </row>
    <row r="11505" spans="1:4" ht="15.75" customHeight="1">
      <c r="A11505" t="s">
        <v>4898</v>
      </c>
      <c r="B11505" t="s">
        <v>37</v>
      </c>
      <c r="C11505" t="s">
        <v>37</v>
      </c>
      <c r="D11505">
        <v>13</v>
      </c>
    </row>
    <row r="11506" spans="1:4" ht="15.75" customHeight="1">
      <c r="A11506" t="s">
        <v>1825</v>
      </c>
      <c r="B11506" t="s">
        <v>37</v>
      </c>
      <c r="C11506" t="s">
        <v>37</v>
      </c>
      <c r="D11506">
        <v>13</v>
      </c>
    </row>
    <row r="11507" spans="1:4" ht="15.75" customHeight="1">
      <c r="A11507" t="s">
        <v>4900</v>
      </c>
      <c r="B11507" t="s">
        <v>37</v>
      </c>
      <c r="C11507" t="s">
        <v>37</v>
      </c>
      <c r="D11507">
        <v>11</v>
      </c>
    </row>
    <row r="11508" spans="1:4" ht="15.75" customHeight="1">
      <c r="A11508" t="s">
        <v>3778</v>
      </c>
      <c r="B11508" t="s">
        <v>37</v>
      </c>
      <c r="C11508" t="s">
        <v>37</v>
      </c>
      <c r="D11508">
        <v>11</v>
      </c>
    </row>
    <row r="11509" spans="1:4" ht="15.75" customHeight="1">
      <c r="A11509" t="s">
        <v>3762</v>
      </c>
      <c r="B11509" t="s">
        <v>37</v>
      </c>
      <c r="C11509" t="s">
        <v>37</v>
      </c>
      <c r="D11509">
        <v>10</v>
      </c>
    </row>
    <row r="11510" spans="1:4" ht="15.75" customHeight="1">
      <c r="A11510" t="s">
        <v>3344</v>
      </c>
      <c r="B11510" t="s">
        <v>37</v>
      </c>
      <c r="C11510" t="s">
        <v>37</v>
      </c>
      <c r="D11510">
        <v>8</v>
      </c>
    </row>
    <row r="11511" spans="1:4" ht="15.75" customHeight="1">
      <c r="A11511" t="s">
        <v>3780</v>
      </c>
      <c r="B11511" t="s">
        <v>37</v>
      </c>
      <c r="C11511" t="s">
        <v>37</v>
      </c>
      <c r="D11511">
        <v>4</v>
      </c>
    </row>
    <row r="11587" spans="1:1" ht="15.75" customHeight="1">
      <c r="A11587" s="7"/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3ba4022-d336-4d41-bc2f-041cf9ba1e34">
      <Terms xmlns="http://schemas.microsoft.com/office/infopath/2007/PartnerControls"/>
    </lcf76f155ced4ddcb4097134ff3c332f>
    <TaxCatchAll xmlns="67031c94-089c-4bc1-8a37-c803c815d65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D536958978C47BC545CC9F52E9E99" ma:contentTypeVersion="15" ma:contentTypeDescription="Een nieuw document maken." ma:contentTypeScope="" ma:versionID="a29097660df03c12e10d0f1481c4f184">
  <xsd:schema xmlns:xsd="http://www.w3.org/2001/XMLSchema" xmlns:xs="http://www.w3.org/2001/XMLSchema" xmlns:p="http://schemas.microsoft.com/office/2006/metadata/properties" xmlns:ns2="d3ba4022-d336-4d41-bc2f-041cf9ba1e34" xmlns:ns3="67031c94-089c-4bc1-8a37-c803c815d654" targetNamespace="http://schemas.microsoft.com/office/2006/metadata/properties" ma:root="true" ma:fieldsID="be6a9e56331253104a94206ae14e2442" ns2:_="" ns3:_="">
    <xsd:import namespace="d3ba4022-d336-4d41-bc2f-041cf9ba1e34"/>
    <xsd:import namespace="67031c94-089c-4bc1-8a37-c803c815d6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a4022-d336-4d41-bc2f-041cf9ba1e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Afbeeldingtags" ma:readOnly="false" ma:fieldId="{5cf76f15-5ced-4ddc-b409-7134ff3c332f}" ma:taxonomyMulti="true" ma:sspId="4402ae21-27d8-4dae-ba5d-e9ed6ec939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31c94-089c-4bc1-8a37-c803c815d65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2134b17-1589-44c6-8082-8f7c19cfafdb}" ma:internalName="TaxCatchAll" ma:showField="CatchAllData" ma:web="67031c94-089c-4bc1-8a37-c803c815d6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ECFBDF-0C75-413C-AF44-8E72EBBEE010}"/>
</file>

<file path=customXml/itemProps2.xml><?xml version="1.0" encoding="utf-8"?>
<ds:datastoreItem xmlns:ds="http://schemas.openxmlformats.org/officeDocument/2006/customXml" ds:itemID="{94B534D9-B8B3-42B6-BE56-E38DE2C38022}"/>
</file>

<file path=customXml/itemProps3.xml><?xml version="1.0" encoding="utf-8"?>
<ds:datastoreItem xmlns:ds="http://schemas.openxmlformats.org/officeDocument/2006/customXml" ds:itemID="{B9AF1477-028E-49CA-92DD-CD3F38E5D6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mark.wilkinson@upm.es</cp:lastModifiedBy>
  <cp:revision/>
  <dcterms:created xsi:type="dcterms:W3CDTF">2024-06-12T12:45:26Z</dcterms:created>
  <dcterms:modified xsi:type="dcterms:W3CDTF">2025-05-29T09:17:49Z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0x01010054ED536958978C47BC545CC9F52E9E99</vt:lpwstr>
  </property>
  <property fmtid="{D5CDD505-2E9C-101B-9397-08002B2CF9AE}" pid="3" name="MediaServiceImageTags">
    <vt:lpwstr/>
  </property>
</Properties>
</file>