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-120" yWindow="60" windowWidth="9705" windowHeight="10980" tabRatio="813" activeTab="2"/>
  </bookViews>
  <sheets>
    <sheet name="Cashflow" sheetId="7" r:id="rId1"/>
    <sheet name="KK" sheetId="8" r:id="rId2"/>
    <sheet name="Rekap" sheetId="3" r:id="rId3"/>
    <sheet name="OOD" sheetId="5" r:id="rId4"/>
    <sheet name="Bills" sheetId="1" r:id="rId5"/>
    <sheet name="Invoices" sheetId="10" r:id="rId6"/>
    <sheet name="DP" sheetId="20" r:id="rId7"/>
    <sheet name="Bank" sheetId="9" r:id="rId8"/>
    <sheet name="OTA" sheetId="4" r:id="rId9"/>
    <sheet name="Kuitansi" sheetId="14" r:id="rId10"/>
    <sheet name="Jur-kum" sheetId="16" r:id="rId11"/>
    <sheet name="Jur2" sheetId="19" r:id="rId12"/>
    <sheet name="LR" sheetId="17" r:id="rId13"/>
    <sheet name="Neraca" sheetId="18" r:id="rId14"/>
    <sheet name="Laba Rugi" sheetId="12" r:id="rId15"/>
  </sheets>
  <externalReferences>
    <externalReference r:id="rId16"/>
    <externalReference r:id="rId17"/>
  </externalReferences>
  <definedNames>
    <definedName name="_xlnm._FilterDatabase" localSheetId="7" hidden="1">Bank!$A$1:$T$56</definedName>
    <definedName name="_xlnm._FilterDatabase" localSheetId="0" hidden="1">Cashflow!$A$1:$L$500</definedName>
    <definedName name="_xlnm._FilterDatabase" localSheetId="5" hidden="1">Invoices!$A$1:$P$27</definedName>
    <definedName name="_xlnm._FilterDatabase" localSheetId="10" hidden="1">'Jur-kum'!$A$3:$F$28</definedName>
    <definedName name="_xlnm._FilterDatabase" localSheetId="1" hidden="1">KK!$A$1:$AL$338</definedName>
    <definedName name="_xlnm._FilterDatabase" localSheetId="9" hidden="1">Kuitansi!$A$1:$N$112</definedName>
    <definedName name="_xlnm.Print_Area" localSheetId="7">Bank!$A$111:$C$173</definedName>
    <definedName name="_xlnm.Print_Area" localSheetId="6">DP!$A$85:$G$155</definedName>
    <definedName name="_xlnm.Print_Area" localSheetId="11">'Jur2'!$A$1:$E$95</definedName>
    <definedName name="_xlnm.Print_Area" localSheetId="10">'Jur-kum'!$A$1:$F$110</definedName>
    <definedName name="_xlnm.Print_Area" localSheetId="9">Kuitansi!$C$1:$D$111</definedName>
    <definedName name="_xlnm.Print_Area" localSheetId="2">Rekap!$A$1:$D$58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" i="18" l="1"/>
  <c r="D36" i="19"/>
  <c r="C55" i="18" l="1"/>
  <c r="F46" i="18"/>
  <c r="F38" i="18"/>
  <c r="F40" i="18"/>
  <c r="D83" i="19"/>
  <c r="B81" i="19"/>
  <c r="B80" i="19"/>
  <c r="B79" i="19"/>
  <c r="D31" i="17"/>
  <c r="D33" i="17" s="1"/>
  <c r="D12" i="17"/>
  <c r="D9" i="17"/>
  <c r="E9" i="17"/>
  <c r="D86" i="19"/>
  <c r="C49" i="16"/>
  <c r="H384" i="7" l="1"/>
  <c r="H268" i="7"/>
  <c r="I58" i="14"/>
  <c r="I86" i="14"/>
  <c r="D116" i="14"/>
  <c r="F101" i="16" l="1"/>
  <c r="F100" i="16"/>
  <c r="B36" i="17" l="1"/>
  <c r="B37" i="17"/>
  <c r="B38" i="17"/>
  <c r="B39" i="17"/>
  <c r="B35" i="17"/>
  <c r="C31" i="17" l="1"/>
  <c r="F39" i="18"/>
  <c r="C47" i="18"/>
  <c r="C73" i="16" l="1"/>
  <c r="D85" i="19"/>
  <c r="B78" i="19"/>
  <c r="B77" i="19"/>
  <c r="F51" i="18" s="1"/>
  <c r="D74" i="19" l="1"/>
  <c r="D73" i="19"/>
  <c r="C50" i="18" l="1"/>
  <c r="F84" i="16"/>
  <c r="C170" i="9"/>
  <c r="C172" i="9"/>
  <c r="C163" i="9"/>
  <c r="C155" i="9"/>
  <c r="C154" i="9"/>
  <c r="C151" i="9"/>
  <c r="C148" i="9"/>
  <c r="C164" i="9" s="1"/>
  <c r="C133" i="9"/>
  <c r="C142" i="9"/>
  <c r="C121" i="9"/>
  <c r="C119" i="9"/>
  <c r="C123" i="9"/>
  <c r="F96" i="16"/>
  <c r="F95" i="16"/>
  <c r="C95" i="16" s="1"/>
  <c r="F94" i="16"/>
  <c r="D40" i="17"/>
  <c r="G48" i="20"/>
  <c r="C57" i="20"/>
  <c r="E251" i="8"/>
  <c r="G79" i="20"/>
  <c r="D83" i="20"/>
  <c r="E83" i="20"/>
  <c r="F83" i="20"/>
  <c r="D57" i="20"/>
  <c r="E57" i="20"/>
  <c r="F57" i="20"/>
  <c r="C83" i="20"/>
  <c r="K19" i="9"/>
  <c r="K7" i="9"/>
  <c r="C96" i="9" l="1"/>
  <c r="C94" i="9"/>
  <c r="C105" i="9"/>
  <c r="C90" i="9"/>
  <c r="C85" i="9"/>
  <c r="C514" i="7"/>
  <c r="I90" i="14" l="1"/>
  <c r="I83" i="14"/>
  <c r="I47" i="14"/>
  <c r="I40" i="14"/>
  <c r="I39" i="14"/>
  <c r="G5" i="10"/>
  <c r="E34" i="10"/>
  <c r="F34" i="10" s="1"/>
  <c r="E33" i="10"/>
  <c r="E32" i="10"/>
  <c r="E31" i="10"/>
  <c r="E30" i="10"/>
  <c r="G34" i="20"/>
  <c r="G35" i="20"/>
  <c r="G36" i="20"/>
  <c r="G56" i="20" l="1"/>
  <c r="G82" i="20"/>
  <c r="G81" i="20"/>
  <c r="G78" i="20"/>
  <c r="G77" i="20"/>
  <c r="G76" i="20"/>
  <c r="G75" i="20"/>
  <c r="G74" i="20"/>
  <c r="G73" i="20"/>
  <c r="G72" i="20"/>
  <c r="G71" i="20"/>
  <c r="G70" i="20"/>
  <c r="G69" i="20"/>
  <c r="G68" i="20"/>
  <c r="G51" i="20"/>
  <c r="G67" i="20"/>
  <c r="G66" i="20"/>
  <c r="G65" i="20"/>
  <c r="G64" i="20"/>
  <c r="G50" i="20"/>
  <c r="G63" i="20"/>
  <c r="G62" i="20"/>
  <c r="G61" i="20"/>
  <c r="G60" i="20"/>
  <c r="G59" i="20"/>
  <c r="G83" i="20" s="1"/>
  <c r="G49" i="20"/>
  <c r="G47" i="20"/>
  <c r="G57" i="20" s="1"/>
  <c r="K42" i="9" l="1"/>
  <c r="C61" i="9"/>
  <c r="S54" i="9"/>
  <c r="S53" i="9"/>
  <c r="K52" i="9"/>
  <c r="J51" i="9"/>
  <c r="K50" i="9"/>
  <c r="K49" i="9"/>
  <c r="G45" i="9"/>
  <c r="G46" i="9"/>
  <c r="G47" i="9"/>
  <c r="G48" i="9"/>
  <c r="G44" i="9"/>
  <c r="K11" i="14"/>
  <c r="K74" i="14"/>
  <c r="M11" i="14"/>
  <c r="M39" i="14"/>
  <c r="M40" i="14"/>
  <c r="M47" i="14"/>
  <c r="M51" i="14"/>
  <c r="M63" i="14"/>
  <c r="M66" i="14"/>
  <c r="M74" i="14"/>
  <c r="M83" i="14"/>
  <c r="M90" i="14"/>
  <c r="K111" i="14"/>
  <c r="M111" i="14" s="1"/>
  <c r="K110" i="14"/>
  <c r="M110" i="14" s="1"/>
  <c r="H109" i="14"/>
  <c r="M109" i="14" s="1"/>
  <c r="J108" i="14"/>
  <c r="M108" i="14" s="1"/>
  <c r="J107" i="14"/>
  <c r="M107" i="14" s="1"/>
  <c r="K106" i="14"/>
  <c r="M106" i="14" s="1"/>
  <c r="K105" i="14"/>
  <c r="M105" i="14" s="1"/>
  <c r="H104" i="14"/>
  <c r="M104" i="14" s="1"/>
  <c r="G103" i="14"/>
  <c r="M103" i="14" s="1"/>
  <c r="K102" i="14"/>
  <c r="M102" i="14" s="1"/>
  <c r="J101" i="14"/>
  <c r="M101" i="14" s="1"/>
  <c r="H100" i="14"/>
  <c r="M100" i="14" s="1"/>
  <c r="K99" i="14"/>
  <c r="M99" i="14" s="1"/>
  <c r="J98" i="14"/>
  <c r="M98" i="14" s="1"/>
  <c r="H97" i="14"/>
  <c r="M97" i="14" s="1"/>
  <c r="K96" i="14"/>
  <c r="M96" i="14" s="1"/>
  <c r="H95" i="14" l="1"/>
  <c r="M95" i="14" s="1"/>
  <c r="K94" i="14"/>
  <c r="M94" i="14" s="1"/>
  <c r="K93" i="14"/>
  <c r="M93" i="14" s="1"/>
  <c r="J92" i="14"/>
  <c r="M92" i="14" s="1"/>
  <c r="K91" i="14"/>
  <c r="M91" i="14" s="1"/>
  <c r="H89" i="14"/>
  <c r="M89" i="14" s="1"/>
  <c r="K88" i="14"/>
  <c r="M88" i="14" s="1"/>
  <c r="E87" i="14"/>
  <c r="M86" i="14"/>
  <c r="K85" i="14"/>
  <c r="M85" i="14" s="1"/>
  <c r="G84" i="14"/>
  <c r="M84" i="14" s="1"/>
  <c r="K82" i="14"/>
  <c r="M82" i="14" s="1"/>
  <c r="K81" i="14"/>
  <c r="M81" i="14" s="1"/>
  <c r="K80" i="14"/>
  <c r="M80" i="14" s="1"/>
  <c r="H79" i="14"/>
  <c r="M79" i="14" s="1"/>
  <c r="H78" i="14"/>
  <c r="M78" i="14" s="1"/>
  <c r="J77" i="14"/>
  <c r="M77" i="14" s="1"/>
  <c r="K76" i="14"/>
  <c r="M76" i="14" s="1"/>
  <c r="G75" i="14"/>
  <c r="M75" i="14" s="1"/>
  <c r="H73" i="14"/>
  <c r="M73" i="14" s="1"/>
  <c r="H72" i="14"/>
  <c r="M72" i="14" s="1"/>
  <c r="H71" i="14"/>
  <c r="M71" i="14" s="1"/>
  <c r="J70" i="14"/>
  <c r="M70" i="14" s="1"/>
  <c r="H69" i="14"/>
  <c r="M69" i="14" s="1"/>
  <c r="G68" i="14"/>
  <c r="M68" i="14" s="1"/>
  <c r="J67" i="14"/>
  <c r="M67" i="14" s="1"/>
  <c r="H65" i="14"/>
  <c r="M65" i="14" s="1"/>
  <c r="G64" i="14"/>
  <c r="M64" i="14" s="1"/>
  <c r="J62" i="14"/>
  <c r="M62" i="14" s="1"/>
  <c r="H61" i="14"/>
  <c r="M61" i="14" s="1"/>
  <c r="K60" i="14"/>
  <c r="M60" i="14" s="1"/>
  <c r="H59" i="14"/>
  <c r="M59" i="14" s="1"/>
  <c r="K57" i="14"/>
  <c r="M57" i="14" s="1"/>
  <c r="G56" i="14"/>
  <c r="M56" i="14" s="1"/>
  <c r="J55" i="14"/>
  <c r="M55" i="14" s="1"/>
  <c r="K54" i="14"/>
  <c r="M54" i="14" s="1"/>
  <c r="J52" i="14"/>
  <c r="M52" i="14" s="1"/>
  <c r="J50" i="14"/>
  <c r="M50" i="14" s="1"/>
  <c r="G49" i="14"/>
  <c r="M49" i="14" s="1"/>
  <c r="J48" i="14"/>
  <c r="M48" i="14" s="1"/>
  <c r="E46" i="14"/>
  <c r="M46" i="14" s="1"/>
  <c r="K45" i="14"/>
  <c r="M45" i="14" s="1"/>
  <c r="H44" i="14"/>
  <c r="M44" i="14" s="1"/>
  <c r="K43" i="14"/>
  <c r="M43" i="14" s="1"/>
  <c r="K42" i="14"/>
  <c r="M42" i="14" s="1"/>
  <c r="K41" i="14"/>
  <c r="M41" i="14" s="1"/>
  <c r="J38" i="14"/>
  <c r="M38" i="14" s="1"/>
  <c r="K37" i="14"/>
  <c r="M37" i="14" s="1"/>
  <c r="H36" i="14"/>
  <c r="M36" i="14" s="1"/>
  <c r="J35" i="14"/>
  <c r="M35" i="14" s="1"/>
  <c r="H34" i="14"/>
  <c r="M34" i="14" s="1"/>
  <c r="K33" i="14"/>
  <c r="M33" i="14" s="1"/>
  <c r="G32" i="14"/>
  <c r="M32" i="14" s="1"/>
  <c r="K31" i="14"/>
  <c r="M31" i="14" s="1"/>
  <c r="K30" i="14"/>
  <c r="M30" i="14" s="1"/>
  <c r="K29" i="14"/>
  <c r="M29" i="14" s="1"/>
  <c r="K28" i="14"/>
  <c r="M28" i="14" s="1"/>
  <c r="K27" i="14"/>
  <c r="M27" i="14" s="1"/>
  <c r="K26" i="14"/>
  <c r="M26" i="14" s="1"/>
  <c r="J25" i="14"/>
  <c r="M25" i="14" s="1"/>
  <c r="K24" i="14"/>
  <c r="M24" i="14" s="1"/>
  <c r="H23" i="14"/>
  <c r="M23" i="14" s="1"/>
  <c r="K22" i="14"/>
  <c r="M22" i="14" s="1"/>
  <c r="K21" i="14"/>
  <c r="M21" i="14" s="1"/>
  <c r="K20" i="14"/>
  <c r="M20" i="14" s="1"/>
  <c r="G19" i="14"/>
  <c r="M19" i="14" s="1"/>
  <c r="H18" i="14"/>
  <c r="M18" i="14" s="1"/>
  <c r="K17" i="14"/>
  <c r="M17" i="14" s="1"/>
  <c r="K16" i="14"/>
  <c r="M16" i="14" s="1"/>
  <c r="K15" i="14"/>
  <c r="M15" i="14" s="1"/>
  <c r="K14" i="14"/>
  <c r="M14" i="14" s="1"/>
  <c r="K13" i="14"/>
  <c r="M13" i="14" s="1"/>
  <c r="K12" i="14"/>
  <c r="M12" i="14" s="1"/>
  <c r="K10" i="14"/>
  <c r="M10" i="14" s="1"/>
  <c r="H9" i="14"/>
  <c r="M9" i="14" s="1"/>
  <c r="H8" i="14"/>
  <c r="M8" i="14" s="1"/>
  <c r="K7" i="14"/>
  <c r="M7" i="14" s="1"/>
  <c r="J6" i="14"/>
  <c r="M6" i="14" s="1"/>
  <c r="K5" i="14"/>
  <c r="M5" i="14" s="1"/>
  <c r="G4" i="14"/>
  <c r="M4" i="14" s="1"/>
  <c r="K3" i="14"/>
  <c r="M3" i="14" s="1"/>
  <c r="K2" i="14"/>
  <c r="M2" i="14" s="1"/>
  <c r="M58" i="14" l="1"/>
  <c r="E115" i="14"/>
  <c r="F9" i="16" s="1"/>
  <c r="C509" i="7"/>
  <c r="M87" i="14"/>
  <c r="C106" i="16"/>
  <c r="C108" i="16"/>
  <c r="C81" i="16"/>
  <c r="B67" i="19" s="1"/>
  <c r="D67" i="19" s="1"/>
  <c r="C83" i="16"/>
  <c r="C84" i="16"/>
  <c r="C86" i="16"/>
  <c r="C87" i="16"/>
  <c r="C88" i="16"/>
  <c r="C89" i="16"/>
  <c r="C90" i="16"/>
  <c r="C91" i="16"/>
  <c r="C92" i="16"/>
  <c r="C93" i="16"/>
  <c r="C94" i="16"/>
  <c r="C96" i="16"/>
  <c r="C97" i="16"/>
  <c r="C98" i="16"/>
  <c r="C99" i="16"/>
  <c r="C100" i="16"/>
  <c r="C101" i="16"/>
  <c r="C41" i="16"/>
  <c r="C45" i="16"/>
  <c r="C46" i="16"/>
  <c r="C47" i="16"/>
  <c r="C48" i="16"/>
  <c r="C39" i="16"/>
  <c r="C30" i="16"/>
  <c r="C19" i="16"/>
  <c r="C24" i="16"/>
  <c r="D53" i="14" l="1"/>
  <c r="K53" i="14" s="1"/>
  <c r="M53" i="14" s="1"/>
  <c r="K43" i="9"/>
  <c r="L41" i="9"/>
  <c r="J40" i="9"/>
  <c r="K39" i="9"/>
  <c r="J38" i="9"/>
  <c r="K37" i="9"/>
  <c r="K36" i="9"/>
  <c r="K35" i="9"/>
  <c r="K34" i="9"/>
  <c r="L33" i="9"/>
  <c r="K32" i="9"/>
  <c r="J31" i="9"/>
  <c r="K30" i="9"/>
  <c r="K29" i="9"/>
  <c r="K28" i="9"/>
  <c r="M27" i="9"/>
  <c r="J26" i="9"/>
  <c r="S25" i="9"/>
  <c r="I24" i="9"/>
  <c r="J23" i="9"/>
  <c r="K22" i="9"/>
  <c r="H21" i="9"/>
  <c r="H20" i="9"/>
  <c r="J18" i="9"/>
  <c r="J17" i="9"/>
  <c r="J16" i="9"/>
  <c r="J15" i="9"/>
  <c r="J14" i="9"/>
  <c r="K13" i="9"/>
  <c r="K12" i="9"/>
  <c r="K11" i="9"/>
  <c r="S10" i="9"/>
  <c r="L9" i="9"/>
  <c r="H8" i="9"/>
  <c r="K6" i="9"/>
  <c r="K5" i="9"/>
  <c r="K4" i="9"/>
  <c r="D4" i="9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G26" i="10"/>
  <c r="G25" i="10"/>
  <c r="G20" i="10"/>
  <c r="H19" i="10"/>
  <c r="G18" i="10"/>
  <c r="G17" i="10"/>
  <c r="G15" i="10"/>
  <c r="G14" i="10"/>
  <c r="G13" i="10"/>
  <c r="G12" i="10"/>
  <c r="K11" i="10"/>
  <c r="H10" i="10"/>
  <c r="G9" i="10"/>
  <c r="G8" i="10"/>
  <c r="G7" i="10"/>
  <c r="G6" i="10"/>
  <c r="G4" i="10"/>
  <c r="G3" i="10"/>
  <c r="J52" i="1"/>
  <c r="J51" i="1"/>
  <c r="N50" i="1"/>
  <c r="L49" i="1"/>
  <c r="J48" i="1"/>
  <c r="J47" i="1"/>
  <c r="J46" i="1"/>
  <c r="J45" i="1"/>
  <c r="N44" i="1"/>
  <c r="N43" i="1"/>
  <c r="J42" i="1"/>
  <c r="K41" i="1"/>
  <c r="J40" i="1"/>
  <c r="J39" i="1"/>
  <c r="J38" i="1"/>
  <c r="J36" i="1"/>
  <c r="J34" i="1"/>
  <c r="J33" i="1"/>
  <c r="J31" i="1"/>
  <c r="J30" i="1"/>
  <c r="J29" i="1"/>
  <c r="J28" i="1"/>
  <c r="N27" i="1"/>
  <c r="J26" i="1"/>
  <c r="N25" i="1"/>
  <c r="J24" i="1"/>
  <c r="K23" i="1"/>
  <c r="K22" i="1"/>
  <c r="J21" i="1"/>
  <c r="N20" i="1"/>
  <c r="N19" i="1"/>
  <c r="N17" i="1"/>
  <c r="N16" i="1"/>
  <c r="K15" i="1"/>
  <c r="J14" i="1"/>
  <c r="N13" i="1"/>
  <c r="J11" i="1"/>
  <c r="J10" i="1"/>
  <c r="J9" i="1"/>
  <c r="J7" i="1"/>
  <c r="K6" i="1"/>
  <c r="J5" i="1"/>
  <c r="J4" i="1"/>
  <c r="L3" i="1"/>
  <c r="J2" i="1"/>
  <c r="C33" i="5"/>
  <c r="K337" i="8" l="1"/>
  <c r="H336" i="8"/>
  <c r="K335" i="8"/>
  <c r="G334" i="8"/>
  <c r="H333" i="8"/>
  <c r="AG332" i="8"/>
  <c r="AI331" i="8"/>
  <c r="E330" i="8"/>
  <c r="AF329" i="8"/>
  <c r="I328" i="8"/>
  <c r="H327" i="8"/>
  <c r="H326" i="8"/>
  <c r="K325" i="8"/>
  <c r="AG324" i="8"/>
  <c r="AF323" i="8"/>
  <c r="J322" i="8"/>
  <c r="H321" i="8"/>
  <c r="H320" i="8"/>
  <c r="H319" i="8"/>
  <c r="H318" i="8"/>
  <c r="H317" i="8"/>
  <c r="AF316" i="8"/>
  <c r="K315" i="8"/>
  <c r="G314" i="8"/>
  <c r="K313" i="8"/>
  <c r="W312" i="8"/>
  <c r="AD311" i="8"/>
  <c r="H310" i="8"/>
  <c r="H309" i="8"/>
  <c r="I308" i="8"/>
  <c r="AF307" i="8"/>
  <c r="AB306" i="8"/>
  <c r="AG305" i="8"/>
  <c r="AB304" i="8"/>
  <c r="AB303" i="8"/>
  <c r="E302" i="8"/>
  <c r="K301" i="8"/>
  <c r="AB300" i="8"/>
  <c r="E299" i="8"/>
  <c r="E298" i="8"/>
  <c r="X297" i="8"/>
  <c r="I296" i="8"/>
  <c r="AG295" i="8"/>
  <c r="K294" i="8"/>
  <c r="J293" i="8"/>
  <c r="AF292" i="8"/>
  <c r="I291" i="8"/>
  <c r="AG290" i="8"/>
  <c r="K289" i="8"/>
  <c r="M288" i="8"/>
  <c r="AF287" i="8"/>
  <c r="K286" i="8"/>
  <c r="AF285" i="8"/>
  <c r="AD284" i="8"/>
  <c r="AG283" i="8"/>
  <c r="AD282" i="8"/>
  <c r="W281" i="8"/>
  <c r="K280" i="8"/>
  <c r="AF279" i="8"/>
  <c r="K278" i="8"/>
  <c r="K277" i="8"/>
  <c r="I276" i="8"/>
  <c r="J275" i="8"/>
  <c r="H274" i="8"/>
  <c r="H273" i="8"/>
  <c r="H272" i="8"/>
  <c r="H271" i="8"/>
  <c r="K270" i="8"/>
  <c r="AG269" i="8"/>
  <c r="AG268" i="8"/>
  <c r="AF267" i="8"/>
  <c r="I266" i="8"/>
  <c r="W265" i="8"/>
  <c r="AG264" i="8"/>
  <c r="AG263" i="8"/>
  <c r="J262" i="8"/>
  <c r="L261" i="8"/>
  <c r="K260" i="8"/>
  <c r="AD259" i="8"/>
  <c r="H258" i="8"/>
  <c r="AG257" i="8"/>
  <c r="X256" i="8"/>
  <c r="AG255" i="8"/>
  <c r="H254" i="8"/>
  <c r="AG253" i="8"/>
  <c r="H252" i="8"/>
  <c r="H250" i="8"/>
  <c r="H249" i="8"/>
  <c r="H248" i="8"/>
  <c r="K247" i="8"/>
  <c r="AG246" i="8"/>
  <c r="AD245" i="8"/>
  <c r="AF244" i="8"/>
  <c r="J243" i="8"/>
  <c r="AK242" i="8"/>
  <c r="AD241" i="8"/>
  <c r="H240" i="8"/>
  <c r="K239" i="8"/>
  <c r="AG238" i="8"/>
  <c r="J237" i="8"/>
  <c r="AF236" i="8"/>
  <c r="AF235" i="8"/>
  <c r="AB234" i="8"/>
  <c r="I233" i="8"/>
  <c r="H232" i="8"/>
  <c r="AG231" i="8"/>
  <c r="H230" i="8"/>
  <c r="K229" i="8"/>
  <c r="J228" i="8"/>
  <c r="AF227" i="8"/>
  <c r="H226" i="8"/>
  <c r="AD225" i="8"/>
  <c r="AG224" i="8"/>
  <c r="P223" i="8"/>
  <c r="O222" i="8"/>
  <c r="AF221" i="8"/>
  <c r="AI220" i="8"/>
  <c r="K219" i="8"/>
  <c r="AK218" i="8"/>
  <c r="AF217" i="8"/>
  <c r="J216" i="8"/>
  <c r="AF215" i="8"/>
  <c r="AG214" i="8"/>
  <c r="K213" i="8"/>
  <c r="AG212" i="8"/>
  <c r="K211" i="8"/>
  <c r="H210" i="8"/>
  <c r="AG209" i="8"/>
  <c r="AF208" i="8"/>
  <c r="AG207" i="8"/>
  <c r="K206" i="8"/>
  <c r="J205" i="8"/>
  <c r="X204" i="8"/>
  <c r="X203" i="8"/>
  <c r="X202" i="8"/>
  <c r="AD201" i="8"/>
  <c r="L200" i="8"/>
  <c r="K199" i="8"/>
  <c r="N198" i="8"/>
  <c r="H197" i="8"/>
  <c r="K196" i="8"/>
  <c r="X195" i="8"/>
  <c r="X194" i="8"/>
  <c r="AG193" i="8"/>
  <c r="AF192" i="8"/>
  <c r="AG191" i="8"/>
  <c r="H190" i="8"/>
  <c r="H189" i="8"/>
  <c r="K188" i="8"/>
  <c r="AF187" i="8"/>
  <c r="AK186" i="8"/>
  <c r="AF185" i="8"/>
  <c r="AK184" i="8"/>
  <c r="H183" i="8"/>
  <c r="AE182" i="8"/>
  <c r="H181" i="8"/>
  <c r="K180" i="8"/>
  <c r="AA179" i="8"/>
  <c r="Z178" i="8"/>
  <c r="P177" i="8"/>
  <c r="Q176" i="8"/>
  <c r="R175" i="8"/>
  <c r="V174" i="8"/>
  <c r="T173" i="8"/>
  <c r="S172" i="8"/>
  <c r="AE171" i="8"/>
  <c r="I170" i="8"/>
  <c r="AF169" i="8"/>
  <c r="K168" i="8"/>
  <c r="H167" i="8"/>
  <c r="AK166" i="8"/>
  <c r="AD165" i="8"/>
  <c r="AG164" i="8"/>
  <c r="AF163" i="8"/>
  <c r="AG162" i="8"/>
  <c r="AF161" i="8"/>
  <c r="K160" i="8"/>
  <c r="H159" i="8"/>
  <c r="K158" i="8"/>
  <c r="AG157" i="8"/>
  <c r="AJ156" i="8"/>
  <c r="AG155" i="8"/>
  <c r="K154" i="8"/>
  <c r="H153" i="8"/>
  <c r="AK152" i="8"/>
  <c r="H151" i="8"/>
  <c r="AJ150" i="8"/>
  <c r="I149" i="8"/>
  <c r="H148" i="8"/>
  <c r="I147" i="8"/>
  <c r="H146" i="8"/>
  <c r="H145" i="8"/>
  <c r="H144" i="8"/>
  <c r="H143" i="8"/>
  <c r="AB142" i="8"/>
  <c r="H141" i="8"/>
  <c r="AK140" i="8"/>
  <c r="K139" i="8"/>
  <c r="H138" i="8"/>
  <c r="X137" i="8"/>
  <c r="J136" i="8"/>
  <c r="G135" i="8"/>
  <c r="AG134" i="8"/>
  <c r="H133" i="8"/>
  <c r="I132" i="8"/>
  <c r="Y131" i="8"/>
  <c r="AG130" i="8"/>
  <c r="K129" i="8"/>
  <c r="H128" i="8"/>
  <c r="K127" i="8"/>
  <c r="H126" i="8"/>
  <c r="AK125" i="8"/>
  <c r="H124" i="8"/>
  <c r="AB123" i="8"/>
  <c r="K122" i="8"/>
  <c r="H121" i="8"/>
  <c r="L120" i="8"/>
  <c r="H119" i="8"/>
  <c r="J118" i="8"/>
  <c r="G117" i="8"/>
  <c r="H116" i="8"/>
  <c r="J115" i="8"/>
  <c r="H114" i="8"/>
  <c r="H113" i="8"/>
  <c r="K112" i="8"/>
  <c r="H111" i="8"/>
  <c r="J110" i="8"/>
  <c r="G109" i="8"/>
  <c r="AG108" i="8"/>
  <c r="L107" i="8"/>
  <c r="AG106" i="8"/>
  <c r="AK105" i="8"/>
  <c r="AF104" i="8"/>
  <c r="AI103" i="8"/>
  <c r="H102" i="8"/>
  <c r="J101" i="8"/>
  <c r="K100" i="8"/>
  <c r="H99" i="8"/>
  <c r="K98" i="8"/>
  <c r="K97" i="8"/>
  <c r="G96" i="8"/>
  <c r="H95" i="8"/>
  <c r="H94" i="8"/>
  <c r="AG93" i="8"/>
  <c r="J92" i="8"/>
  <c r="L91" i="8"/>
  <c r="H90" i="8"/>
  <c r="AG89" i="8"/>
  <c r="H88" i="8"/>
  <c r="H87" i="8"/>
  <c r="I86" i="8"/>
  <c r="AK85" i="8"/>
  <c r="AJ84" i="8"/>
  <c r="G83" i="8"/>
  <c r="K82" i="8"/>
  <c r="K81" i="8"/>
  <c r="K80" i="8"/>
  <c r="H79" i="8"/>
  <c r="G78" i="8"/>
  <c r="G77" i="8"/>
  <c r="AK76" i="8"/>
  <c r="H75" i="8"/>
  <c r="O74" i="8"/>
  <c r="J73" i="8"/>
  <c r="H72" i="8"/>
  <c r="H71" i="8"/>
  <c r="H70" i="8"/>
  <c r="G69" i="8"/>
  <c r="AD68" i="8"/>
  <c r="I67" i="8"/>
  <c r="K66" i="8"/>
  <c r="H65" i="8"/>
  <c r="G64" i="8"/>
  <c r="J63" i="8"/>
  <c r="AE62" i="8"/>
  <c r="J61" i="8"/>
  <c r="AG60" i="8"/>
  <c r="H59" i="8"/>
  <c r="G58" i="8"/>
  <c r="AG57" i="8"/>
  <c r="G56" i="8"/>
  <c r="AC55" i="8"/>
  <c r="AG54" i="8"/>
  <c r="AD53" i="8"/>
  <c r="AG52" i="8"/>
  <c r="AG51" i="8"/>
  <c r="H50" i="8"/>
  <c r="I49" i="8"/>
  <c r="G48" i="8"/>
  <c r="H47" i="8"/>
  <c r="AG46" i="8"/>
  <c r="H45" i="8"/>
  <c r="H44" i="8"/>
  <c r="K43" i="8"/>
  <c r="H42" i="8"/>
  <c r="H41" i="8"/>
  <c r="AB40" i="8"/>
  <c r="G39" i="8"/>
  <c r="I38" i="8"/>
  <c r="G37" i="8"/>
  <c r="G36" i="8"/>
  <c r="H35" i="8"/>
  <c r="H34" i="8"/>
  <c r="G33" i="8"/>
  <c r="G32" i="8"/>
  <c r="AG31" i="8"/>
  <c r="H30" i="8"/>
  <c r="K29" i="8"/>
  <c r="K28" i="8"/>
  <c r="H27" i="8"/>
  <c r="G26" i="8"/>
  <c r="AF25" i="8"/>
  <c r="H24" i="8"/>
  <c r="AG23" i="8"/>
  <c r="J22" i="8"/>
  <c r="J21" i="8"/>
  <c r="G20" i="8"/>
  <c r="H19" i="8"/>
  <c r="AG18" i="8"/>
  <c r="H17" i="8"/>
  <c r="AD16" i="8"/>
  <c r="H15" i="8"/>
  <c r="G14" i="8"/>
  <c r="K13" i="8"/>
  <c r="H12" i="8"/>
  <c r="AG11" i="8"/>
  <c r="G10" i="8"/>
  <c r="AD9" i="8"/>
  <c r="H8" i="8"/>
  <c r="H7" i="8"/>
  <c r="H6" i="8"/>
  <c r="L5" i="8"/>
  <c r="I4" i="8"/>
  <c r="G3" i="8"/>
  <c r="K2" i="8"/>
  <c r="D500" i="7"/>
  <c r="G489" i="7"/>
  <c r="K488" i="7"/>
  <c r="F487" i="7"/>
  <c r="K486" i="7"/>
  <c r="K485" i="7"/>
  <c r="K484" i="7"/>
  <c r="F483" i="7"/>
  <c r="K482" i="7"/>
  <c r="K481" i="7"/>
  <c r="K480" i="7"/>
  <c r="G479" i="7"/>
  <c r="K478" i="7"/>
  <c r="K477" i="7"/>
  <c r="K476" i="7"/>
  <c r="K475" i="7"/>
  <c r="K474" i="7"/>
  <c r="K473" i="7"/>
  <c r="K472" i="7"/>
  <c r="I471" i="7"/>
  <c r="K470" i="7"/>
  <c r="F469" i="7"/>
  <c r="F468" i="7"/>
  <c r="H467" i="7"/>
  <c r="K466" i="7"/>
  <c r="K465" i="7"/>
  <c r="K464" i="7"/>
  <c r="K463" i="7"/>
  <c r="K462" i="7"/>
  <c r="K461" i="7"/>
  <c r="K460" i="7"/>
  <c r="K459" i="7"/>
  <c r="G458" i="7"/>
  <c r="K457" i="7"/>
  <c r="I456" i="7"/>
  <c r="K455" i="7"/>
  <c r="K454" i="7"/>
  <c r="F453" i="7"/>
  <c r="K452" i="7"/>
  <c r="K451" i="7"/>
  <c r="K450" i="7"/>
  <c r="K449" i="7"/>
  <c r="K448" i="7"/>
  <c r="K447" i="7"/>
  <c r="K446" i="7"/>
  <c r="F445" i="7"/>
  <c r="I444" i="7"/>
  <c r="K443" i="7"/>
  <c r="K442" i="7"/>
  <c r="K441" i="7"/>
  <c r="K440" i="7"/>
  <c r="K439" i="7"/>
  <c r="K438" i="7"/>
  <c r="K437" i="7"/>
  <c r="I436" i="7"/>
  <c r="K435" i="7"/>
  <c r="F434" i="7"/>
  <c r="K433" i="7"/>
  <c r="K432" i="7"/>
  <c r="K431" i="7"/>
  <c r="K430" i="7"/>
  <c r="K429" i="7"/>
  <c r="K428" i="7"/>
  <c r="K427" i="7"/>
  <c r="I426" i="7"/>
  <c r="K425" i="7"/>
  <c r="K424" i="7"/>
  <c r="G423" i="7"/>
  <c r="G422" i="7"/>
  <c r="K421" i="7"/>
  <c r="K420" i="7"/>
  <c r="K419" i="7"/>
  <c r="K418" i="7"/>
  <c r="J417" i="7"/>
  <c r="K416" i="7"/>
  <c r="K415" i="7"/>
  <c r="K414" i="7"/>
  <c r="K413" i="7"/>
  <c r="K412" i="7" l="1"/>
  <c r="K411" i="7"/>
  <c r="K410" i="7"/>
  <c r="K409" i="7"/>
  <c r="K408" i="7"/>
  <c r="K407" i="7"/>
  <c r="K406" i="7"/>
  <c r="K405" i="7"/>
  <c r="I404" i="7"/>
  <c r="K403" i="7"/>
  <c r="G402" i="7"/>
  <c r="K401" i="7"/>
  <c r="F400" i="7"/>
  <c r="F399" i="7"/>
  <c r="K398" i="7"/>
  <c r="H397" i="7"/>
  <c r="K396" i="7"/>
  <c r="K395" i="7"/>
  <c r="K394" i="7"/>
  <c r="K393" i="7"/>
  <c r="K392" i="7"/>
  <c r="K391" i="7"/>
  <c r="K390" i="7"/>
  <c r="K389" i="7"/>
  <c r="K388" i="7"/>
  <c r="G387" i="7"/>
  <c r="K386" i="7"/>
  <c r="I385" i="7"/>
  <c r="K383" i="7"/>
  <c r="I382" i="7"/>
  <c r="H381" i="7"/>
  <c r="K380" i="7"/>
  <c r="K379" i="7"/>
  <c r="K378" i="7"/>
  <c r="K377" i="7"/>
  <c r="G376" i="7"/>
  <c r="K375" i="7"/>
  <c r="K374" i="7"/>
  <c r="K373" i="7"/>
  <c r="K372" i="7"/>
  <c r="K371" i="7"/>
  <c r="I370" i="7"/>
  <c r="K369" i="7"/>
  <c r="K368" i="7"/>
  <c r="G367" i="7"/>
  <c r="K366" i="7"/>
  <c r="F365" i="7"/>
  <c r="F364" i="7"/>
  <c r="I363" i="7"/>
  <c r="K362" i="7"/>
  <c r="K361" i="7"/>
  <c r="K360" i="7"/>
  <c r="K359" i="7"/>
  <c r="K358" i="7"/>
  <c r="K357" i="7"/>
  <c r="K356" i="7"/>
  <c r="K355" i="7"/>
  <c r="G354" i="7"/>
  <c r="K353" i="7"/>
  <c r="K352" i="7"/>
  <c r="K351" i="7"/>
  <c r="K350" i="7"/>
  <c r="K349" i="7"/>
  <c r="K348" i="7"/>
  <c r="K347" i="7"/>
  <c r="K346" i="7"/>
  <c r="G345" i="7"/>
  <c r="K344" i="7"/>
  <c r="K343" i="7"/>
  <c r="K342" i="7"/>
  <c r="G341" i="7"/>
  <c r="K340" i="7"/>
  <c r="K339" i="7"/>
  <c r="K338" i="7"/>
  <c r="I337" i="7"/>
  <c r="K336" i="7"/>
  <c r="K335" i="7"/>
  <c r="K334" i="7"/>
  <c r="K333" i="7"/>
  <c r="G332" i="7"/>
  <c r="G331" i="7"/>
  <c r="K330" i="7"/>
  <c r="K329" i="7"/>
  <c r="K328" i="7"/>
  <c r="K327" i="7"/>
  <c r="K326" i="7"/>
  <c r="K325" i="7"/>
  <c r="K324" i="7"/>
  <c r="K323" i="7"/>
  <c r="G322" i="7"/>
  <c r="K321" i="7"/>
  <c r="K320" i="7"/>
  <c r="I319" i="7"/>
  <c r="K318" i="7"/>
  <c r="K317" i="7"/>
  <c r="G316" i="7"/>
  <c r="K315" i="7"/>
  <c r="G314" i="7"/>
  <c r="G313" i="7"/>
  <c r="K312" i="7"/>
  <c r="K311" i="7"/>
  <c r="K310" i="7"/>
  <c r="K309" i="7"/>
  <c r="K308" i="7"/>
  <c r="J307" i="7"/>
  <c r="K306" i="7"/>
  <c r="I305" i="7"/>
  <c r="K304" i="7"/>
  <c r="K303" i="7"/>
  <c r="K302" i="7"/>
  <c r="I302" i="7"/>
  <c r="K301" i="7"/>
  <c r="I300" i="7"/>
  <c r="K299" i="7"/>
  <c r="K298" i="7"/>
  <c r="I297" i="7"/>
  <c r="K296" i="7"/>
  <c r="K295" i="7"/>
  <c r="H294" i="7"/>
  <c r="K293" i="7"/>
  <c r="K292" i="7"/>
  <c r="G291" i="7"/>
  <c r="K290" i="7"/>
  <c r="H289" i="7"/>
  <c r="K288" i="7"/>
  <c r="K287" i="7"/>
  <c r="K286" i="7"/>
  <c r="K285" i="7"/>
  <c r="K284" i="7"/>
  <c r="K283" i="7"/>
  <c r="K282" i="7"/>
  <c r="H281" i="7"/>
  <c r="K280" i="7"/>
  <c r="K279" i="7"/>
  <c r="K278" i="7"/>
  <c r="K277" i="7"/>
  <c r="K276" i="7"/>
  <c r="K275" i="7"/>
  <c r="K274" i="7"/>
  <c r="K273" i="7"/>
  <c r="K272" i="7"/>
  <c r="K271" i="7"/>
  <c r="K270" i="7"/>
  <c r="K269" i="7"/>
  <c r="K267" i="7"/>
  <c r="K266" i="7"/>
  <c r="K265" i="7"/>
  <c r="G264" i="7"/>
  <c r="I263" i="7"/>
  <c r="K262" i="7"/>
  <c r="K261" i="7"/>
  <c r="K260" i="7"/>
  <c r="I259" i="7"/>
  <c r="K258" i="7"/>
  <c r="F257" i="7"/>
  <c r="K256" i="7"/>
  <c r="K255" i="7"/>
  <c r="K254" i="7"/>
  <c r="G253" i="7"/>
  <c r="K252" i="7"/>
  <c r="K251" i="7"/>
  <c r="K250" i="7"/>
  <c r="K249" i="7"/>
  <c r="G248" i="7"/>
  <c r="K247" i="7"/>
  <c r="K246" i="7"/>
  <c r="K245" i="7"/>
  <c r="K244" i="7"/>
  <c r="K243" i="7"/>
  <c r="K242" i="7"/>
  <c r="K241" i="7"/>
  <c r="K240" i="7"/>
  <c r="K239" i="7"/>
  <c r="K238" i="7"/>
  <c r="K237" i="7"/>
  <c r="K236" i="7"/>
  <c r="K235" i="7"/>
  <c r="I234" i="7"/>
  <c r="K233" i="7"/>
  <c r="K232" i="7"/>
  <c r="K231" i="7"/>
  <c r="K230" i="7"/>
  <c r="H229" i="7"/>
  <c r="G228" i="7"/>
  <c r="K227" i="7"/>
  <c r="K226" i="7"/>
  <c r="K225" i="7"/>
  <c r="K224" i="7"/>
  <c r="K223" i="7"/>
  <c r="K222" i="7"/>
  <c r="K221" i="7"/>
  <c r="K220" i="7"/>
  <c r="K219" i="7"/>
  <c r="I218" i="7"/>
  <c r="K217" i="7"/>
  <c r="K216" i="7"/>
  <c r="I215" i="7"/>
  <c r="H214" i="7"/>
  <c r="K213" i="7"/>
  <c r="K212" i="7"/>
  <c r="K211" i="7"/>
  <c r="K210" i="7"/>
  <c r="I209" i="7"/>
  <c r="K208" i="7"/>
  <c r="K207" i="7"/>
  <c r="K206" i="7"/>
  <c r="K205" i="7"/>
  <c r="K204" i="7"/>
  <c r="G203" i="7"/>
  <c r="K202" i="7"/>
  <c r="H201" i="7"/>
  <c r="I200" i="7"/>
  <c r="K199" i="7"/>
  <c r="G198" i="7"/>
  <c r="K197" i="7"/>
  <c r="G196" i="7"/>
  <c r="K195" i="7"/>
  <c r="K194" i="7"/>
  <c r="K193" i="7"/>
  <c r="G192" i="7"/>
  <c r="K191" i="7"/>
  <c r="K190" i="7"/>
  <c r="K189" i="7"/>
  <c r="K188" i="7"/>
  <c r="K187" i="7"/>
  <c r="K186" i="7"/>
  <c r="K185" i="7"/>
  <c r="K184" i="7"/>
  <c r="K183" i="7"/>
  <c r="K182" i="7"/>
  <c r="K181" i="7"/>
  <c r="K180" i="7"/>
  <c r="H179" i="7"/>
  <c r="K178" i="7"/>
  <c r="K177" i="7"/>
  <c r="G176" i="7"/>
  <c r="K175" i="7"/>
  <c r="K174" i="7"/>
  <c r="K173" i="7"/>
  <c r="K172" i="7"/>
  <c r="K171" i="7"/>
  <c r="K170" i="7"/>
  <c r="K169" i="7"/>
  <c r="K168" i="7"/>
  <c r="K167" i="7"/>
  <c r="K166" i="7"/>
  <c r="K165" i="7"/>
  <c r="K164" i="7"/>
  <c r="K163" i="7"/>
  <c r="K162" i="7"/>
  <c r="K161" i="7"/>
  <c r="K160" i="7"/>
  <c r="K159" i="7"/>
  <c r="F158" i="7"/>
  <c r="K157" i="7"/>
  <c r="K156" i="7"/>
  <c r="H155" i="7"/>
  <c r="K154" i="7"/>
  <c r="K153" i="7"/>
  <c r="K152" i="7"/>
  <c r="K151" i="7"/>
  <c r="H150" i="7"/>
  <c r="H149" i="7"/>
  <c r="I148" i="7"/>
  <c r="K147" i="7"/>
  <c r="K146" i="7"/>
  <c r="K145" i="7"/>
  <c r="G144" i="7"/>
  <c r="K143" i="7"/>
  <c r="K142" i="7"/>
  <c r="F141" i="7"/>
  <c r="K140" i="7"/>
  <c r="H139" i="7"/>
  <c r="K138" i="7"/>
  <c r="K137" i="7"/>
  <c r="K136" i="7"/>
  <c r="K135" i="7"/>
  <c r="K134" i="7"/>
  <c r="K133" i="7"/>
  <c r="K132" i="7"/>
  <c r="K131" i="7"/>
  <c r="K130" i="7"/>
  <c r="K129" i="7"/>
  <c r="I128" i="7"/>
  <c r="K127" i="7"/>
  <c r="K126" i="7"/>
  <c r="K125" i="7"/>
  <c r="K124" i="7"/>
  <c r="K123" i="7"/>
  <c r="K122" i="7"/>
  <c r="K121" i="7"/>
  <c r="K120" i="7"/>
  <c r="K119" i="7"/>
  <c r="K118" i="7"/>
  <c r="K117" i="7"/>
  <c r="I116" i="7"/>
  <c r="K115" i="7"/>
  <c r="K114" i="7"/>
  <c r="K113" i="7"/>
  <c r="K112" i="7"/>
  <c r="F111" i="7"/>
  <c r="K110" i="7"/>
  <c r="K109" i="7"/>
  <c r="K108" i="7"/>
  <c r="K107" i="7"/>
  <c r="K106" i="7"/>
  <c r="K105" i="7"/>
  <c r="K104" i="7"/>
  <c r="F104" i="7"/>
  <c r="K103" i="7"/>
  <c r="H102" i="7"/>
  <c r="K101" i="7"/>
  <c r="K100" i="7"/>
  <c r="K99" i="7"/>
  <c r="K98" i="7"/>
  <c r="K97" i="7"/>
  <c r="K96" i="7"/>
  <c r="K95" i="7"/>
  <c r="K94" i="7"/>
  <c r="K93" i="7"/>
  <c r="F92" i="7"/>
  <c r="F91" i="7"/>
  <c r="K90" i="7"/>
  <c r="I89" i="7"/>
  <c r="K88" i="7"/>
  <c r="K87" i="7"/>
  <c r="K86" i="7"/>
  <c r="K85" i="7"/>
  <c r="G84" i="7"/>
  <c r="K83" i="7"/>
  <c r="K82" i="7"/>
  <c r="K81" i="7"/>
  <c r="K80" i="7"/>
  <c r="K79" i="7"/>
  <c r="H78" i="7"/>
  <c r="F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I62" i="7"/>
  <c r="K61" i="7"/>
  <c r="K60" i="7"/>
  <c r="K59" i="7"/>
  <c r="K58" i="7"/>
  <c r="K57" i="7"/>
  <c r="K56" i="7"/>
  <c r="K55" i="7"/>
  <c r="K54" i="7"/>
  <c r="K53" i="7"/>
  <c r="K52" i="7"/>
  <c r="F51" i="7"/>
  <c r="H50" i="7"/>
  <c r="F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F35" i="7"/>
  <c r="F34" i="7"/>
  <c r="F490" i="7" s="1"/>
  <c r="K33" i="7"/>
  <c r="H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I18" i="7"/>
  <c r="K17" i="7"/>
  <c r="K16" i="7"/>
  <c r="I15" i="7"/>
  <c r="K14" i="7"/>
  <c r="G13" i="7"/>
  <c r="K12" i="7"/>
  <c r="H11" i="7"/>
  <c r="K10" i="7"/>
  <c r="K9" i="7"/>
  <c r="K8" i="7"/>
  <c r="K7" i="7"/>
  <c r="K6" i="7"/>
  <c r="K5" i="7"/>
  <c r="K4" i="7"/>
  <c r="K3" i="7"/>
  <c r="K2" i="7"/>
  <c r="D2" i="7"/>
  <c r="D3" i="7" s="1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D194" i="7" s="1"/>
  <c r="D195" i="7" s="1"/>
  <c r="D196" i="7" s="1"/>
  <c r="D197" i="7" s="1"/>
  <c r="D198" i="7" s="1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D232" i="7" s="1"/>
  <c r="D233" i="7" s="1"/>
  <c r="D234" i="7" s="1"/>
  <c r="D235" i="7" s="1"/>
  <c r="D236" i="7" s="1"/>
  <c r="D237" i="7" s="1"/>
  <c r="D238" i="7" s="1"/>
  <c r="D239" i="7" s="1"/>
  <c r="D240" i="7" s="1"/>
  <c r="D241" i="7" s="1"/>
  <c r="D242" i="7" s="1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D259" i="7" s="1"/>
  <c r="D260" i="7" s="1"/>
  <c r="D261" i="7" s="1"/>
  <c r="D262" i="7" s="1"/>
  <c r="D263" i="7" s="1"/>
  <c r="D264" i="7" s="1"/>
  <c r="D265" i="7" s="1"/>
  <c r="D266" i="7" s="1"/>
  <c r="D267" i="7" s="1"/>
  <c r="D268" i="7" s="1"/>
  <c r="D269" i="7" s="1"/>
  <c r="D270" i="7" s="1"/>
  <c r="D271" i="7" s="1"/>
  <c r="D272" i="7" s="1"/>
  <c r="D273" i="7" s="1"/>
  <c r="D274" i="7" s="1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92" i="7" s="1"/>
  <c r="D293" i="7" s="1"/>
  <c r="D294" i="7" s="1"/>
  <c r="D295" i="7" s="1"/>
  <c r="D296" i="7" s="1"/>
  <c r="D297" i="7" s="1"/>
  <c r="D298" i="7" s="1"/>
  <c r="D299" i="7" s="1"/>
  <c r="D300" i="7" s="1"/>
  <c r="D301" i="7" s="1"/>
  <c r="D302" i="7" s="1"/>
  <c r="D303" i="7" s="1"/>
  <c r="D304" i="7" s="1"/>
  <c r="D305" i="7" s="1"/>
  <c r="D306" i="7" s="1"/>
  <c r="D307" i="7" s="1"/>
  <c r="D308" i="7" s="1"/>
  <c r="D309" i="7" s="1"/>
  <c r="D310" i="7" s="1"/>
  <c r="D311" i="7" s="1"/>
  <c r="D312" i="7" s="1"/>
  <c r="D313" i="7" s="1"/>
  <c r="D314" i="7" s="1"/>
  <c r="D315" i="7" s="1"/>
  <c r="D316" i="7" s="1"/>
  <c r="D317" i="7" s="1"/>
  <c r="D318" i="7" s="1"/>
  <c r="D319" i="7" s="1"/>
  <c r="D320" i="7" s="1"/>
  <c r="D321" i="7" s="1"/>
  <c r="D322" i="7" s="1"/>
  <c r="D323" i="7" s="1"/>
  <c r="D324" i="7" s="1"/>
  <c r="D325" i="7" s="1"/>
  <c r="D326" i="7" s="1"/>
  <c r="D327" i="7" s="1"/>
  <c r="D328" i="7" s="1"/>
  <c r="D329" i="7" s="1"/>
  <c r="D330" i="7" s="1"/>
  <c r="D331" i="7" s="1"/>
  <c r="D332" i="7" s="1"/>
  <c r="D333" i="7" s="1"/>
  <c r="D334" i="7" s="1"/>
  <c r="D335" i="7" s="1"/>
  <c r="D336" i="7" s="1"/>
  <c r="D337" i="7" s="1"/>
  <c r="D338" i="7" s="1"/>
  <c r="D339" i="7" s="1"/>
  <c r="D340" i="7" s="1"/>
  <c r="D341" i="7" s="1"/>
  <c r="D342" i="7" s="1"/>
  <c r="D343" i="7" s="1"/>
  <c r="D344" i="7" s="1"/>
  <c r="D345" i="7" s="1"/>
  <c r="D346" i="7" s="1"/>
  <c r="D347" i="7" s="1"/>
  <c r="D348" i="7" s="1"/>
  <c r="D349" i="7" s="1"/>
  <c r="D350" i="7" s="1"/>
  <c r="D351" i="7" s="1"/>
  <c r="D352" i="7" s="1"/>
  <c r="D353" i="7" s="1"/>
  <c r="D354" i="7" s="1"/>
  <c r="D355" i="7" s="1"/>
  <c r="D356" i="7" s="1"/>
  <c r="D357" i="7" s="1"/>
  <c r="D358" i="7" s="1"/>
  <c r="D359" i="7" s="1"/>
  <c r="D360" i="7" s="1"/>
  <c r="D361" i="7" s="1"/>
  <c r="D362" i="7" s="1"/>
  <c r="D363" i="7" s="1"/>
  <c r="D364" i="7" s="1"/>
  <c r="D365" i="7" s="1"/>
  <c r="D366" i="7" s="1"/>
  <c r="D367" i="7" s="1"/>
  <c r="D368" i="7" s="1"/>
  <c r="D369" i="7" s="1"/>
  <c r="D370" i="7" s="1"/>
  <c r="D371" i="7" s="1"/>
  <c r="D372" i="7" s="1"/>
  <c r="D373" i="7" s="1"/>
  <c r="D374" i="7" s="1"/>
  <c r="D375" i="7" s="1"/>
  <c r="D376" i="7" s="1"/>
  <c r="D377" i="7" s="1"/>
  <c r="D378" i="7" s="1"/>
  <c r="D379" i="7" s="1"/>
  <c r="D380" i="7" s="1"/>
  <c r="D381" i="7" s="1"/>
  <c r="D382" i="7" s="1"/>
  <c r="D383" i="7" s="1"/>
  <c r="D384" i="7" s="1"/>
  <c r="D385" i="7" s="1"/>
  <c r="D386" i="7" s="1"/>
  <c r="D387" i="7" s="1"/>
  <c r="D388" i="7" s="1"/>
  <c r="D389" i="7" s="1"/>
  <c r="D390" i="7" s="1"/>
  <c r="D391" i="7" s="1"/>
  <c r="D392" i="7" s="1"/>
  <c r="D393" i="7" s="1"/>
  <c r="D394" i="7" s="1"/>
  <c r="D395" i="7" s="1"/>
  <c r="D396" i="7" s="1"/>
  <c r="D397" i="7" s="1"/>
  <c r="D398" i="7" s="1"/>
  <c r="D399" i="7" s="1"/>
  <c r="D400" i="7" s="1"/>
  <c r="D401" i="7" s="1"/>
  <c r="D402" i="7" s="1"/>
  <c r="D403" i="7" s="1"/>
  <c r="D404" i="7" s="1"/>
  <c r="D405" i="7" s="1"/>
  <c r="D406" i="7" s="1"/>
  <c r="D407" i="7" s="1"/>
  <c r="D408" i="7" s="1"/>
  <c r="D409" i="7" s="1"/>
  <c r="D410" i="7" s="1"/>
  <c r="D411" i="7" s="1"/>
  <c r="D412" i="7" s="1"/>
  <c r="D413" i="7" s="1"/>
  <c r="D414" i="7" s="1"/>
  <c r="D415" i="7" s="1"/>
  <c r="D416" i="7" s="1"/>
  <c r="D417" i="7" s="1"/>
  <c r="D418" i="7" s="1"/>
  <c r="D419" i="7" s="1"/>
  <c r="D420" i="7" s="1"/>
  <c r="D421" i="7" s="1"/>
  <c r="D422" i="7" s="1"/>
  <c r="D423" i="7" s="1"/>
  <c r="D424" i="7" s="1"/>
  <c r="D425" i="7" s="1"/>
  <c r="D426" i="7" s="1"/>
  <c r="D427" i="7" s="1"/>
  <c r="D428" i="7" s="1"/>
  <c r="D429" i="7" s="1"/>
  <c r="D430" i="7" s="1"/>
  <c r="D431" i="7" s="1"/>
  <c r="D432" i="7" s="1"/>
  <c r="D433" i="7" s="1"/>
  <c r="D434" i="7" s="1"/>
  <c r="D435" i="7" s="1"/>
  <c r="D436" i="7" s="1"/>
  <c r="D437" i="7" s="1"/>
  <c r="D438" i="7" s="1"/>
  <c r="D439" i="7" s="1"/>
  <c r="D440" i="7" s="1"/>
  <c r="D441" i="7" s="1"/>
  <c r="D442" i="7" s="1"/>
  <c r="D443" i="7" s="1"/>
  <c r="D444" i="7" s="1"/>
  <c r="D445" i="7" s="1"/>
  <c r="D446" i="7" s="1"/>
  <c r="D447" i="7" s="1"/>
  <c r="D448" i="7" s="1"/>
  <c r="D449" i="7" s="1"/>
  <c r="D450" i="7" s="1"/>
  <c r="D451" i="7" s="1"/>
  <c r="D452" i="7" s="1"/>
  <c r="D453" i="7" s="1"/>
  <c r="D454" i="7" s="1"/>
  <c r="D455" i="7" s="1"/>
  <c r="D456" i="7" s="1"/>
  <c r="D457" i="7" s="1"/>
  <c r="D458" i="7" s="1"/>
  <c r="D459" i="7" s="1"/>
  <c r="D460" i="7" s="1"/>
  <c r="D461" i="7" s="1"/>
  <c r="D462" i="7" s="1"/>
  <c r="D463" i="7" s="1"/>
  <c r="D464" i="7" s="1"/>
  <c r="D465" i="7" s="1"/>
  <c r="D466" i="7" s="1"/>
  <c r="D467" i="7" s="1"/>
  <c r="D468" i="7" s="1"/>
  <c r="D469" i="7" s="1"/>
  <c r="D470" i="7" s="1"/>
  <c r="D471" i="7" s="1"/>
  <c r="D472" i="7" s="1"/>
  <c r="D473" i="7" s="1"/>
  <c r="D474" i="7" s="1"/>
  <c r="D475" i="7" s="1"/>
  <c r="D476" i="7" s="1"/>
  <c r="D477" i="7" s="1"/>
  <c r="D478" i="7" s="1"/>
  <c r="D479" i="7" s="1"/>
  <c r="D480" i="7" s="1"/>
  <c r="D481" i="7" s="1"/>
  <c r="D482" i="7" s="1"/>
  <c r="D483" i="7" s="1"/>
  <c r="D484" i="7" s="1"/>
  <c r="D485" i="7" s="1"/>
  <c r="D486" i="7" s="1"/>
  <c r="D487" i="7" s="1"/>
  <c r="D488" i="7" s="1"/>
  <c r="D489" i="7" s="1"/>
  <c r="F42" i="18" l="1"/>
  <c r="B69" i="19" l="1"/>
  <c r="D44" i="20"/>
  <c r="E44" i="20"/>
  <c r="F44" i="20"/>
  <c r="C44" i="20"/>
  <c r="G43" i="20"/>
  <c r="G42" i="20"/>
  <c r="G41" i="20"/>
  <c r="G40" i="20"/>
  <c r="G39" i="20"/>
  <c r="G38" i="20"/>
  <c r="G37" i="20"/>
  <c r="G33" i="20"/>
  <c r="G32" i="20"/>
  <c r="G31" i="20"/>
  <c r="G30" i="20"/>
  <c r="F28" i="20"/>
  <c r="E28" i="20"/>
  <c r="D28" i="20"/>
  <c r="C28" i="20"/>
  <c r="G27" i="20"/>
  <c r="G26" i="20"/>
  <c r="G25" i="20"/>
  <c r="E156" i="20"/>
  <c r="D156" i="20"/>
  <c r="C156" i="20"/>
  <c r="G155" i="20"/>
  <c r="G154" i="20"/>
  <c r="G153" i="20"/>
  <c r="G152" i="20"/>
  <c r="G151" i="20"/>
  <c r="G150" i="20"/>
  <c r="G149" i="20"/>
  <c r="G148" i="20"/>
  <c r="G147" i="20"/>
  <c r="G146" i="20"/>
  <c r="G145" i="20"/>
  <c r="G144" i="20"/>
  <c r="G143" i="20"/>
  <c r="G141" i="20"/>
  <c r="G140" i="20"/>
  <c r="G139" i="20"/>
  <c r="G138" i="20"/>
  <c r="G137" i="20"/>
  <c r="G135" i="20"/>
  <c r="G134" i="20"/>
  <c r="G133" i="20"/>
  <c r="G132" i="20"/>
  <c r="G131" i="20"/>
  <c r="G130" i="20"/>
  <c r="G129" i="20"/>
  <c r="G128" i="20"/>
  <c r="G127" i="20"/>
  <c r="G126" i="20"/>
  <c r="G125" i="20"/>
  <c r="G124" i="20"/>
  <c r="G123" i="20"/>
  <c r="G122" i="20"/>
  <c r="G121" i="20"/>
  <c r="G119" i="20"/>
  <c r="G118" i="20"/>
  <c r="G116" i="20"/>
  <c r="G115" i="20"/>
  <c r="G114" i="20"/>
  <c r="G113" i="20"/>
  <c r="G112" i="20"/>
  <c r="G110" i="20"/>
  <c r="G109" i="20"/>
  <c r="G108" i="20"/>
  <c r="G107" i="20"/>
  <c r="G105" i="20"/>
  <c r="G104" i="20"/>
  <c r="G103" i="20"/>
  <c r="G102" i="20"/>
  <c r="G101" i="20"/>
  <c r="G100" i="20"/>
  <c r="G99" i="20"/>
  <c r="G98" i="20"/>
  <c r="G97" i="20"/>
  <c r="G95" i="20"/>
  <c r="G94" i="20"/>
  <c r="G93" i="20"/>
  <c r="G91" i="20"/>
  <c r="G89" i="20"/>
  <c r="G87" i="20"/>
  <c r="E22" i="20"/>
  <c r="C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F7" i="20"/>
  <c r="E7" i="20"/>
  <c r="D7" i="20"/>
  <c r="C7" i="20"/>
  <c r="G6" i="20"/>
  <c r="G5" i="20"/>
  <c r="G4" i="20"/>
  <c r="G3" i="20"/>
  <c r="C23" i="20" l="1"/>
  <c r="C84" i="20"/>
  <c r="D23" i="20"/>
  <c r="D84" i="20"/>
  <c r="E23" i="20"/>
  <c r="E84" i="20"/>
  <c r="C158" i="20"/>
  <c r="D158" i="20"/>
  <c r="E158" i="20"/>
  <c r="G44" i="20"/>
  <c r="G28" i="20"/>
  <c r="G7" i="20"/>
  <c r="F22" i="20"/>
  <c r="F23" i="20" s="1"/>
  <c r="F156" i="20"/>
  <c r="G22" i="20"/>
  <c r="G23" i="20" s="1"/>
  <c r="G156" i="20"/>
  <c r="G84" i="20" l="1"/>
  <c r="G158" i="20" s="1"/>
  <c r="F84" i="20"/>
  <c r="F158" i="20" s="1"/>
  <c r="C9" i="17"/>
  <c r="C12" i="17" l="1"/>
  <c r="C33" i="17" s="1"/>
  <c r="C40" i="17" s="1"/>
  <c r="B29" i="19"/>
  <c r="B28" i="19"/>
  <c r="D29" i="19" s="1"/>
  <c r="K27" i="10"/>
  <c r="L112" i="14"/>
  <c r="C46" i="18" l="1"/>
  <c r="F29" i="18"/>
  <c r="F30" i="18" s="1"/>
  <c r="C29" i="18"/>
  <c r="F23" i="16" l="1"/>
  <c r="F22" i="16"/>
  <c r="C22" i="16" l="1"/>
  <c r="B19" i="19" s="1"/>
  <c r="C23" i="16"/>
  <c r="B20" i="19" s="1"/>
  <c r="C38" i="18" s="1"/>
  <c r="F40" i="16"/>
  <c r="C40" i="16" l="1"/>
  <c r="D33" i="19" s="1"/>
  <c r="F55" i="9"/>
  <c r="C63" i="9" s="1"/>
  <c r="F85" i="16" s="1"/>
  <c r="C85" i="16" s="1"/>
  <c r="D28" i="16"/>
  <c r="D27" i="16"/>
  <c r="D26" i="16"/>
  <c r="D96" i="19" l="1"/>
  <c r="B70" i="19"/>
  <c r="L100" i="7"/>
  <c r="F33" i="10"/>
  <c r="F32" i="10"/>
  <c r="L488" i="7" l="1"/>
  <c r="D344" i="8"/>
  <c r="F52" i="16" s="1"/>
  <c r="C52" i="16" s="1"/>
  <c r="D342" i="8"/>
  <c r="L489" i="7"/>
  <c r="L487" i="7"/>
  <c r="L486" i="7"/>
  <c r="L485" i="7"/>
  <c r="L484" i="7"/>
  <c r="L483" i="7"/>
  <c r="L482" i="7"/>
  <c r="L481" i="7"/>
  <c r="L480" i="7"/>
  <c r="L479" i="7"/>
  <c r="L478" i="7"/>
  <c r="L477" i="7"/>
  <c r="L476" i="7"/>
  <c r="L475" i="7"/>
  <c r="L474" i="7"/>
  <c r="L473" i="7"/>
  <c r="L472" i="7"/>
  <c r="L471" i="7"/>
  <c r="L470" i="7"/>
  <c r="L469" i="7"/>
  <c r="L468" i="7"/>
  <c r="L467" i="7"/>
  <c r="L466" i="7"/>
  <c r="L465" i="7"/>
  <c r="L464" i="7"/>
  <c r="L463" i="7"/>
  <c r="L462" i="7"/>
  <c r="L461" i="7"/>
  <c r="L460" i="7"/>
  <c r="L459" i="7"/>
  <c r="L458" i="7"/>
  <c r="L457" i="7"/>
  <c r="L456" i="7"/>
  <c r="L455" i="7"/>
  <c r="L454" i="7"/>
  <c r="L412" i="7"/>
  <c r="L411" i="7"/>
  <c r="L410" i="7"/>
  <c r="L409" i="7"/>
  <c r="L408" i="7"/>
  <c r="L407" i="7"/>
  <c r="L406" i="7"/>
  <c r="L405" i="7"/>
  <c r="L404" i="7"/>
  <c r="L403" i="7"/>
  <c r="L402" i="7"/>
  <c r="L401" i="7"/>
  <c r="L400" i="7"/>
  <c r="L399" i="7"/>
  <c r="L398" i="7"/>
  <c r="L397" i="7"/>
  <c r="L396" i="7"/>
  <c r="L395" i="7"/>
  <c r="L394" i="7"/>
  <c r="L393" i="7"/>
  <c r="L392" i="7"/>
  <c r="L391" i="7"/>
  <c r="L390" i="7"/>
  <c r="L389" i="7"/>
  <c r="L388" i="7"/>
  <c r="L387" i="7"/>
  <c r="L386" i="7"/>
  <c r="L385" i="7"/>
  <c r="L384" i="7"/>
  <c r="L383" i="7"/>
  <c r="L382" i="7"/>
  <c r="L381" i="7"/>
  <c r="L380" i="7"/>
  <c r="L379" i="7"/>
  <c r="L378" i="7"/>
  <c r="L377" i="7"/>
  <c r="L376" i="7"/>
  <c r="L375" i="7"/>
  <c r="L374" i="7"/>
  <c r="L373" i="7"/>
  <c r="L372" i="7"/>
  <c r="L371" i="7"/>
  <c r="L370" i="7"/>
  <c r="L369" i="7"/>
  <c r="L368" i="7"/>
  <c r="L367" i="7"/>
  <c r="L366" i="7"/>
  <c r="L365" i="7"/>
  <c r="L364" i="7"/>
  <c r="L363" i="7"/>
  <c r="L362" i="7"/>
  <c r="L361" i="7"/>
  <c r="L360" i="7"/>
  <c r="L359" i="7"/>
  <c r="L358" i="7"/>
  <c r="L357" i="7"/>
  <c r="L356" i="7"/>
  <c r="L355" i="7"/>
  <c r="L354" i="7"/>
  <c r="L353" i="7"/>
  <c r="L352" i="7"/>
  <c r="L351" i="7"/>
  <c r="L350" i="7"/>
  <c r="L349" i="7"/>
  <c r="L348" i="7"/>
  <c r="L347" i="7"/>
  <c r="L346" i="7"/>
  <c r="L345" i="7"/>
  <c r="L344" i="7"/>
  <c r="L343" i="7"/>
  <c r="L342" i="7"/>
  <c r="L341" i="7"/>
  <c r="L340" i="7"/>
  <c r="L339" i="7"/>
  <c r="L338" i="7"/>
  <c r="L337" i="7"/>
  <c r="L336" i="7"/>
  <c r="L335" i="7"/>
  <c r="L334" i="7"/>
  <c r="L333" i="7"/>
  <c r="L332" i="7"/>
  <c r="L331" i="7"/>
  <c r="L330" i="7"/>
  <c r="L329" i="7"/>
  <c r="L328" i="7"/>
  <c r="L327" i="7"/>
  <c r="L326" i="7"/>
  <c r="L325" i="7"/>
  <c r="L324" i="7"/>
  <c r="L323" i="7"/>
  <c r="L322" i="7"/>
  <c r="L321" i="7"/>
  <c r="L320" i="7"/>
  <c r="L319" i="7"/>
  <c r="L318" i="7"/>
  <c r="L317" i="7"/>
  <c r="L316" i="7"/>
  <c r="L315" i="7"/>
  <c r="L314" i="7"/>
  <c r="L313" i="7"/>
  <c r="L312" i="7"/>
  <c r="L311" i="7"/>
  <c r="L310" i="7"/>
  <c r="L309" i="7"/>
  <c r="L308" i="7"/>
  <c r="L307" i="7"/>
  <c r="L306" i="7"/>
  <c r="L305" i="7"/>
  <c r="L304" i="7"/>
  <c r="L303" i="7"/>
  <c r="L302" i="7"/>
  <c r="L301" i="7"/>
  <c r="L300" i="7"/>
  <c r="L299" i="7"/>
  <c r="L298" i="7"/>
  <c r="L297" i="7"/>
  <c r="L296" i="7"/>
  <c r="L295" i="7"/>
  <c r="L294" i="7"/>
  <c r="L293" i="7"/>
  <c r="L292" i="7"/>
  <c r="L291" i="7"/>
  <c r="L290" i="7"/>
  <c r="L289" i="7"/>
  <c r="L288" i="7"/>
  <c r="L287" i="7"/>
  <c r="L286" i="7"/>
  <c r="L285" i="7"/>
  <c r="L284" i="7"/>
  <c r="L283" i="7"/>
  <c r="L282" i="7"/>
  <c r="L281" i="7"/>
  <c r="L280" i="7"/>
  <c r="L279" i="7"/>
  <c r="L278" i="7"/>
  <c r="L277" i="7"/>
  <c r="L276" i="7"/>
  <c r="L275" i="7"/>
  <c r="L274" i="7"/>
  <c r="L273" i="7"/>
  <c r="L272" i="7"/>
  <c r="L271" i="7"/>
  <c r="L270" i="7"/>
  <c r="L269" i="7"/>
  <c r="L268" i="7"/>
  <c r="L267" i="7"/>
  <c r="L266" i="7"/>
  <c r="L265" i="7"/>
  <c r="L264" i="7"/>
  <c r="L263" i="7"/>
  <c r="L262" i="7"/>
  <c r="L261" i="7"/>
  <c r="L260" i="7"/>
  <c r="L259" i="7"/>
  <c r="L258" i="7"/>
  <c r="L257" i="7"/>
  <c r="L256" i="7"/>
  <c r="L255" i="7"/>
  <c r="L254" i="7"/>
  <c r="L253" i="7"/>
  <c r="L252" i="7"/>
  <c r="L251" i="7"/>
  <c r="L250" i="7"/>
  <c r="L249" i="7"/>
  <c r="L248" i="7"/>
  <c r="L247" i="7"/>
  <c r="L246" i="7"/>
  <c r="L245" i="7"/>
  <c r="L244" i="7"/>
  <c r="L243" i="7"/>
  <c r="L242" i="7"/>
  <c r="L241" i="7"/>
  <c r="L240" i="7"/>
  <c r="L239" i="7"/>
  <c r="L238" i="7"/>
  <c r="L237" i="7"/>
  <c r="L236" i="7"/>
  <c r="L235" i="7"/>
  <c r="L234" i="7"/>
  <c r="L233" i="7"/>
  <c r="L232" i="7"/>
  <c r="L231" i="7"/>
  <c r="L230" i="7"/>
  <c r="L229" i="7"/>
  <c r="L228" i="7"/>
  <c r="L227" i="7"/>
  <c r="L226" i="7"/>
  <c r="L225" i="7"/>
  <c r="L224" i="7"/>
  <c r="L223" i="7"/>
  <c r="L222" i="7"/>
  <c r="L221" i="7"/>
  <c r="L220" i="7"/>
  <c r="L219" i="7"/>
  <c r="L218" i="7"/>
  <c r="L217" i="7"/>
  <c r="L216" i="7"/>
  <c r="L215" i="7"/>
  <c r="L214" i="7"/>
  <c r="L213" i="7"/>
  <c r="L212" i="7"/>
  <c r="L211" i="7"/>
  <c r="L210" i="7"/>
  <c r="L209" i="7"/>
  <c r="L208" i="7"/>
  <c r="L207" i="7"/>
  <c r="L206" i="7"/>
  <c r="L205" i="7"/>
  <c r="L204" i="7"/>
  <c r="L203" i="7"/>
  <c r="L202" i="7"/>
  <c r="L201" i="7"/>
  <c r="L200" i="7"/>
  <c r="L199" i="7"/>
  <c r="L198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L104" i="7"/>
  <c r="L103" i="7"/>
  <c r="L102" i="7"/>
  <c r="L101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B55" i="19" l="1"/>
  <c r="F41" i="18" s="1"/>
  <c r="I112" i="14"/>
  <c r="E119" i="14" s="1"/>
  <c r="D55" i="19"/>
  <c r="E338" i="8"/>
  <c r="F338" i="8"/>
  <c r="F74" i="16" s="1"/>
  <c r="C74" i="16" s="1"/>
  <c r="F72" i="16" l="1"/>
  <c r="C72" i="16" s="1"/>
  <c r="B54" i="19" s="1"/>
  <c r="D54" i="19" s="1"/>
  <c r="C350" i="8"/>
  <c r="C56" i="3"/>
  <c r="C55" i="3"/>
  <c r="C70" i="16"/>
  <c r="F112" i="14"/>
  <c r="E116" i="14" l="1"/>
  <c r="B53" i="19"/>
  <c r="D53" i="19" s="1"/>
  <c r="H112" i="14"/>
  <c r="K112" i="14"/>
  <c r="E121" i="14" s="1"/>
  <c r="G112" i="14"/>
  <c r="J112" i="14"/>
  <c r="E112" i="14"/>
  <c r="E29" i="17"/>
  <c r="B29" i="17" s="1"/>
  <c r="C17" i="3"/>
  <c r="J53" i="1"/>
  <c r="H56" i="1" s="1"/>
  <c r="N53" i="1"/>
  <c r="K53" i="1"/>
  <c r="F55" i="1" s="1"/>
  <c r="I53" i="1"/>
  <c r="L53" i="1"/>
  <c r="F56" i="1" s="1"/>
  <c r="M53" i="1"/>
  <c r="O53" i="1"/>
  <c r="P53" i="1"/>
  <c r="E118" i="14" l="1"/>
  <c r="L59" i="1"/>
  <c r="D50" i="19"/>
  <c r="F57" i="1"/>
  <c r="F58" i="1" s="1"/>
  <c r="K56" i="1"/>
  <c r="C44" i="19"/>
  <c r="C45" i="19"/>
  <c r="C46" i="19"/>
  <c r="C47" i="19"/>
  <c r="C48" i="19"/>
  <c r="C43" i="19"/>
  <c r="B21" i="19"/>
  <c r="C25" i="16" l="1"/>
  <c r="B22" i="19" s="1"/>
  <c r="D22" i="19" s="1"/>
  <c r="C100" i="9" l="1"/>
  <c r="C55" i="9"/>
  <c r="D56" i="9" s="1"/>
  <c r="H502" i="7"/>
  <c r="C108" i="9"/>
  <c r="F21" i="16" l="1"/>
  <c r="C21" i="16" s="1"/>
  <c r="C8" i="3"/>
  <c r="D28" i="12"/>
  <c r="D27" i="12"/>
  <c r="B18" i="19" l="1"/>
  <c r="C40" i="18" s="1"/>
  <c r="F44" i="16"/>
  <c r="C44" i="16" s="1"/>
  <c r="C491" i="7" l="1"/>
  <c r="D112" i="14" l="1"/>
  <c r="C506" i="7"/>
  <c r="D502" i="7" l="1"/>
  <c r="F80" i="16" s="1"/>
  <c r="E502" i="7"/>
  <c r="C82" i="16" s="1"/>
  <c r="C513" i="7" l="1"/>
  <c r="H27" i="10"/>
  <c r="I27" i="10"/>
  <c r="F6" i="16" s="1"/>
  <c r="C6" i="16" s="1"/>
  <c r="J27" i="10"/>
  <c r="L27" i="10"/>
  <c r="F8" i="16"/>
  <c r="C8" i="16" s="1"/>
  <c r="F10" i="16"/>
  <c r="C10" i="16" s="1"/>
  <c r="O338" i="8"/>
  <c r="U338" i="8"/>
  <c r="AK338" i="8"/>
  <c r="AL338" i="8"/>
  <c r="N55" i="9"/>
  <c r="O55" i="9"/>
  <c r="P55" i="9"/>
  <c r="Q55" i="9"/>
  <c r="C71" i="9" s="1"/>
  <c r="F71" i="16" s="1"/>
  <c r="C71" i="16" s="1"/>
  <c r="F27" i="10"/>
  <c r="W338" i="8"/>
  <c r="F53" i="16" l="1"/>
  <c r="C53" i="16" s="1"/>
  <c r="C363" i="8"/>
  <c r="F69" i="16"/>
  <c r="C69" i="16" s="1"/>
  <c r="B52" i="19" s="1"/>
  <c r="C379" i="8"/>
  <c r="F32" i="16"/>
  <c r="C32" i="16" s="1"/>
  <c r="C359" i="8"/>
  <c r="F5" i="16"/>
  <c r="H40" i="10"/>
  <c r="D51" i="19"/>
  <c r="B50" i="19"/>
  <c r="F47" i="18" s="1"/>
  <c r="B68" i="19"/>
  <c r="B57" i="19"/>
  <c r="B8" i="19"/>
  <c r="C70" i="9"/>
  <c r="F78" i="16"/>
  <c r="C78" i="16" s="1"/>
  <c r="L29" i="10"/>
  <c r="F110" i="16"/>
  <c r="C110" i="16" s="1"/>
  <c r="D52" i="19" l="1"/>
  <c r="E30" i="17"/>
  <c r="B30" i="17"/>
  <c r="D68" i="19"/>
  <c r="B96" i="19"/>
  <c r="C37" i="18" s="1"/>
  <c r="C80" i="16"/>
  <c r="B66" i="19" s="1"/>
  <c r="D66" i="19" s="1"/>
  <c r="C5" i="16"/>
  <c r="B5" i="19" s="1"/>
  <c r="F7" i="16"/>
  <c r="C7" i="16" s="1"/>
  <c r="F168" i="20"/>
  <c r="D57" i="19"/>
  <c r="D64" i="19"/>
  <c r="B6" i="19"/>
  <c r="I55" i="9" l="1"/>
  <c r="C65" i="9" s="1"/>
  <c r="R55" i="9"/>
  <c r="F18" i="16" s="1"/>
  <c r="C18" i="16" s="1"/>
  <c r="E55" i="9"/>
  <c r="S55" i="9"/>
  <c r="C72" i="9" s="1"/>
  <c r="F20" i="16" s="1"/>
  <c r="M55" i="9"/>
  <c r="C20" i="16" l="1"/>
  <c r="B17" i="19" s="1"/>
  <c r="D17" i="19" s="1"/>
  <c r="C69" i="9"/>
  <c r="F76" i="16"/>
  <c r="C76" i="16" s="1"/>
  <c r="F12" i="16"/>
  <c r="C12" i="16" s="1"/>
  <c r="D16" i="12"/>
  <c r="K55" i="9"/>
  <c r="N34" i="14" s="1"/>
  <c r="L55" i="9"/>
  <c r="C68" i="9" s="1"/>
  <c r="H55" i="9"/>
  <c r="D17" i="12" s="1"/>
  <c r="G55" i="9"/>
  <c r="C62" i="9" s="1"/>
  <c r="J55" i="9"/>
  <c r="D20" i="12"/>
  <c r="F31" i="10"/>
  <c r="F30" i="10"/>
  <c r="C66" i="9" l="1"/>
  <c r="N60" i="1"/>
  <c r="D62" i="19"/>
  <c r="D9" i="19"/>
  <c r="T55" i="9"/>
  <c r="D70" i="19"/>
  <c r="D26" i="12"/>
  <c r="E26" i="12" s="1"/>
  <c r="C67" i="9"/>
  <c r="E8" i="17"/>
  <c r="E15" i="12"/>
  <c r="F28" i="16"/>
  <c r="C28" i="16" s="1"/>
  <c r="C64" i="9"/>
  <c r="C73" i="9" s="1"/>
  <c r="F11" i="16"/>
  <c r="B8" i="17" l="1"/>
  <c r="D94" i="19"/>
  <c r="C11" i="16"/>
  <c r="D10" i="19" s="1"/>
  <c r="B9" i="19" s="1"/>
  <c r="B25" i="19"/>
  <c r="E6" i="17"/>
  <c r="M338" i="8"/>
  <c r="Z338" i="8"/>
  <c r="AJ338" i="8"/>
  <c r="F68" i="16" l="1"/>
  <c r="C378" i="8"/>
  <c r="F63" i="16"/>
  <c r="C63" i="16" s="1"/>
  <c r="C368" i="8"/>
  <c r="F37" i="16"/>
  <c r="C37" i="16" s="1"/>
  <c r="C357" i="8"/>
  <c r="B6" i="17"/>
  <c r="B94" i="19"/>
  <c r="C68" i="16"/>
  <c r="D49" i="19" s="1"/>
  <c r="B49" i="19" s="1"/>
  <c r="C36" i="18"/>
  <c r="E28" i="17"/>
  <c r="E23" i="17"/>
  <c r="N338" i="8"/>
  <c r="F36" i="16" l="1"/>
  <c r="C36" i="16" s="1"/>
  <c r="C358" i="8"/>
  <c r="B23" i="17"/>
  <c r="B28" i="17"/>
  <c r="G27" i="10"/>
  <c r="F4" i="16" l="1"/>
  <c r="G42" i="10"/>
  <c r="C4" i="16"/>
  <c r="B4" i="19" s="1"/>
  <c r="E4" i="17"/>
  <c r="AE338" i="8"/>
  <c r="Q338" i="8"/>
  <c r="P338" i="8"/>
  <c r="R338" i="8"/>
  <c r="S338" i="8"/>
  <c r="T338" i="8"/>
  <c r="V338" i="8"/>
  <c r="AA338" i="8"/>
  <c r="F64" i="16" l="1"/>
  <c r="C369" i="8"/>
  <c r="F61" i="16"/>
  <c r="C61" i="16" s="1"/>
  <c r="C367" i="8"/>
  <c r="F62" i="16"/>
  <c r="C62" i="16" s="1"/>
  <c r="C366" i="8"/>
  <c r="F60" i="16"/>
  <c r="C60" i="16" s="1"/>
  <c r="C365" i="8"/>
  <c r="F35" i="16"/>
  <c r="C35" i="16" s="1"/>
  <c r="C362" i="8"/>
  <c r="F33" i="16"/>
  <c r="C33" i="16" s="1"/>
  <c r="C360" i="8"/>
  <c r="F34" i="16"/>
  <c r="C34" i="16" s="1"/>
  <c r="C361" i="8"/>
  <c r="F105" i="16"/>
  <c r="C105" i="16" s="1"/>
  <c r="C373" i="8"/>
  <c r="B4" i="17"/>
  <c r="C64" i="16"/>
  <c r="B47" i="19" s="1"/>
  <c r="B32" i="19"/>
  <c r="E21" i="17"/>
  <c r="B21" i="17" s="1"/>
  <c r="E22" i="17"/>
  <c r="B22" i="17" s="1"/>
  <c r="B27" i="19"/>
  <c r="D4" i="19"/>
  <c r="F27" i="16"/>
  <c r="C27" i="16" s="1"/>
  <c r="E117" i="14"/>
  <c r="E11" i="17"/>
  <c r="D32" i="19"/>
  <c r="E20" i="17"/>
  <c r="E24" i="17"/>
  <c r="AC338" i="8"/>
  <c r="F67" i="16" l="1"/>
  <c r="C67" i="16" s="1"/>
  <c r="C356" i="8"/>
  <c r="B24" i="17"/>
  <c r="B20" i="17"/>
  <c r="B11" i="17"/>
  <c r="C510" i="7"/>
  <c r="D27" i="19"/>
  <c r="B46" i="19"/>
  <c r="E27" i="17"/>
  <c r="B27" i="17" s="1"/>
  <c r="B24" i="19"/>
  <c r="AH338" i="8"/>
  <c r="F109" i="16" s="1"/>
  <c r="C109" i="16" s="1"/>
  <c r="AB338" i="8"/>
  <c r="F66" i="16" l="1"/>
  <c r="C66" i="16" s="1"/>
  <c r="C370" i="8"/>
  <c r="D24" i="19"/>
  <c r="E26" i="17"/>
  <c r="B26" i="17" s="1"/>
  <c r="B75" i="19"/>
  <c r="C60" i="18" s="1"/>
  <c r="X338" i="8"/>
  <c r="F35" i="18" l="1"/>
  <c r="D89" i="19"/>
  <c r="F51" i="16"/>
  <c r="C51" i="16" s="1"/>
  <c r="C372" i="8"/>
  <c r="B65" i="19"/>
  <c r="D75" i="19"/>
  <c r="D65" i="19"/>
  <c r="C9" i="16" l="1"/>
  <c r="B7" i="19" s="1"/>
  <c r="E5" i="17"/>
  <c r="AD338" i="8"/>
  <c r="AI338" i="8"/>
  <c r="F65" i="16" l="1"/>
  <c r="C65" i="16" s="1"/>
  <c r="C371" i="8"/>
  <c r="F107" i="16"/>
  <c r="C107" i="16" s="1"/>
  <c r="C376" i="8"/>
  <c r="B5" i="17"/>
  <c r="B30" i="19"/>
  <c r="C52" i="18" s="1"/>
  <c r="E25" i="17"/>
  <c r="B25" i="17" s="1"/>
  <c r="D7" i="19"/>
  <c r="L338" i="8"/>
  <c r="Y338" i="8"/>
  <c r="F31" i="16" l="1"/>
  <c r="C364" i="8"/>
  <c r="F59" i="16"/>
  <c r="C377" i="8"/>
  <c r="C31" i="16"/>
  <c r="B31" i="19" s="1"/>
  <c r="D91" i="19" s="1"/>
  <c r="C59" i="16"/>
  <c r="B48" i="19" s="1"/>
  <c r="D30" i="19"/>
  <c r="F104" i="16"/>
  <c r="C104" i="16" s="1"/>
  <c r="E120" i="14"/>
  <c r="E122" i="14" s="1"/>
  <c r="E10" i="17"/>
  <c r="E12" i="17" s="1"/>
  <c r="I338" i="8"/>
  <c r="E19" i="17"/>
  <c r="AF338" i="8"/>
  <c r="J338" i="8"/>
  <c r="F58" i="16" l="1"/>
  <c r="C354" i="8"/>
  <c r="F75" i="16"/>
  <c r="C375" i="8"/>
  <c r="F57" i="16"/>
  <c r="C353" i="8"/>
  <c r="B19" i="17"/>
  <c r="B10" i="17"/>
  <c r="C58" i="16"/>
  <c r="B45" i="19" s="1"/>
  <c r="C57" i="16"/>
  <c r="B44" i="19" s="1"/>
  <c r="C75" i="16"/>
  <c r="D61" i="19" s="1"/>
  <c r="B61" i="19" s="1"/>
  <c r="C51" i="18" s="1"/>
  <c r="B26" i="19"/>
  <c r="D26" i="19"/>
  <c r="F36" i="18" s="1"/>
  <c r="C511" i="7"/>
  <c r="K338" i="8"/>
  <c r="F43" i="16"/>
  <c r="C43" i="16" s="1"/>
  <c r="E18" i="17"/>
  <c r="D31" i="19"/>
  <c r="H338" i="8"/>
  <c r="AG338" i="8"/>
  <c r="E17" i="17"/>
  <c r="F77" i="16" l="1"/>
  <c r="C77" i="16" s="1"/>
  <c r="C374" i="8"/>
  <c r="F56" i="16"/>
  <c r="C352" i="8"/>
  <c r="F55" i="16"/>
  <c r="C355" i="8"/>
  <c r="B17" i="17"/>
  <c r="B18" i="17"/>
  <c r="C55" i="16"/>
  <c r="D42" i="19" s="1"/>
  <c r="B41" i="19" s="1"/>
  <c r="C56" i="16"/>
  <c r="B43" i="19" s="1"/>
  <c r="D43" i="19" s="1"/>
  <c r="D63" i="19"/>
  <c r="E15" i="17"/>
  <c r="B63" i="19"/>
  <c r="C53" i="18" s="1"/>
  <c r="E16" i="17"/>
  <c r="M112" i="14"/>
  <c r="H5" i="12"/>
  <c r="H6" i="12"/>
  <c r="C34" i="3"/>
  <c r="H8" i="12"/>
  <c r="H9" i="12"/>
  <c r="H10" i="12"/>
  <c r="H23" i="12"/>
  <c r="H24" i="12"/>
  <c r="B16" i="17" l="1"/>
  <c r="B15" i="17"/>
  <c r="C36" i="3"/>
  <c r="C32" i="3"/>
  <c r="H7" i="12"/>
  <c r="C43" i="3"/>
  <c r="C33" i="3"/>
  <c r="C35" i="3"/>
  <c r="C37" i="3"/>
  <c r="C44" i="3"/>
  <c r="C47" i="3" l="1"/>
  <c r="H32" i="12"/>
  <c r="C50" i="3" l="1"/>
  <c r="H28" i="12"/>
  <c r="K490" i="7" l="1"/>
  <c r="C515" i="7" l="1"/>
  <c r="C338" i="8"/>
  <c r="C38" i="3" l="1"/>
  <c r="D8" i="12" l="1"/>
  <c r="D14" i="12"/>
  <c r="F36" i="10" l="1"/>
  <c r="I349" i="8" l="1"/>
  <c r="C14" i="3" l="1"/>
  <c r="E36" i="10" l="1"/>
  <c r="C13" i="3" l="1"/>
  <c r="J490" i="7" l="1"/>
  <c r="G502" i="7"/>
  <c r="C6" i="3" s="1"/>
  <c r="H22" i="5" l="1"/>
  <c r="H29" i="5" s="1"/>
  <c r="F16" i="16" s="1"/>
  <c r="C16" i="16" s="1"/>
  <c r="G490" i="7"/>
  <c r="H58" i="1" s="1"/>
  <c r="I490" i="7"/>
  <c r="H490" i="7"/>
  <c r="C512" i="7" s="1"/>
  <c r="B14" i="19" l="1"/>
  <c r="C507" i="7"/>
  <c r="L490" i="7"/>
  <c r="N490" i="7" s="1"/>
  <c r="C508" i="7"/>
  <c r="D23" i="12"/>
  <c r="C21" i="3"/>
  <c r="C516" i="7" l="1"/>
  <c r="D519" i="7" s="1"/>
  <c r="D10" i="12"/>
  <c r="H26" i="12" l="1"/>
  <c r="C54" i="3" l="1"/>
  <c r="H25" i="12"/>
  <c r="H31" i="12" l="1"/>
  <c r="H29" i="12"/>
  <c r="H30" i="12"/>
  <c r="C52" i="3" l="1"/>
  <c r="G338" i="8"/>
  <c r="C351" i="8" s="1"/>
  <c r="C380" i="8" s="1"/>
  <c r="H27" i="12"/>
  <c r="D343" i="8" l="1"/>
  <c r="F42" i="16" s="1"/>
  <c r="C42" i="16" s="1"/>
  <c r="C340" i="8"/>
  <c r="C48" i="3"/>
  <c r="M22" i="5"/>
  <c r="D34" i="19" l="1"/>
  <c r="D95" i="19" s="1"/>
  <c r="E14" i="17"/>
  <c r="E31" i="17" s="1"/>
  <c r="E33" i="17" s="1"/>
  <c r="D347" i="8"/>
  <c r="H11" i="12"/>
  <c r="H26" i="5"/>
  <c r="F15" i="16" s="1"/>
  <c r="C15" i="16" s="1"/>
  <c r="B14" i="17" l="1"/>
  <c r="B31" i="17"/>
  <c r="B33" i="19"/>
  <c r="B13" i="19"/>
  <c r="D22" i="12"/>
  <c r="C22" i="3"/>
  <c r="D92" i="19" l="1"/>
  <c r="B89" i="19"/>
  <c r="M11" i="5"/>
  <c r="H28" i="5" s="1"/>
  <c r="F14" i="16" s="1"/>
  <c r="C14" i="16" s="1"/>
  <c r="B12" i="19" l="1"/>
  <c r="D19" i="12"/>
  <c r="C20" i="3"/>
  <c r="C3" i="3" l="1"/>
  <c r="F14" i="3" s="1"/>
  <c r="D11" i="12" l="1"/>
  <c r="D12" i="12"/>
  <c r="D13" i="12"/>
  <c r="E10" i="12" l="1"/>
  <c r="C16" i="3"/>
  <c r="C18" i="3"/>
  <c r="C15" i="3" l="1"/>
  <c r="H33" i="10"/>
  <c r="H30" i="10"/>
  <c r="D6" i="12"/>
  <c r="H13" i="12"/>
  <c r="H19" i="12"/>
  <c r="H20" i="12"/>
  <c r="H21" i="12"/>
  <c r="H4" i="12"/>
  <c r="H17" i="12"/>
  <c r="H18" i="12"/>
  <c r="H22" i="12" l="1"/>
  <c r="H14" i="12"/>
  <c r="H16" i="12"/>
  <c r="H12" i="12"/>
  <c r="H15" i="12"/>
  <c r="H37" i="12" l="1"/>
  <c r="C42" i="3"/>
  <c r="C39" i="3"/>
  <c r="C46" i="3"/>
  <c r="C57" i="3"/>
  <c r="C28" i="3"/>
  <c r="C29" i="3"/>
  <c r="C27" i="3"/>
  <c r="C51" i="3" l="1"/>
  <c r="C49" i="3"/>
  <c r="C40" i="3"/>
  <c r="C45" i="3"/>
  <c r="C31" i="3"/>
  <c r="C41" i="3"/>
  <c r="C53" i="3"/>
  <c r="C30" i="3"/>
  <c r="C26" i="3"/>
  <c r="E33" i="3" l="1"/>
  <c r="D26" i="3"/>
  <c r="F502" i="7" l="1"/>
  <c r="C9" i="3" s="1"/>
  <c r="D5" i="12" l="1"/>
  <c r="C502" i="7" l="1"/>
  <c r="C504" i="7" s="1"/>
  <c r="D4" i="3" s="1"/>
  <c r="C5" i="3" l="1"/>
  <c r="C7" i="3"/>
  <c r="D7" i="12" l="1"/>
  <c r="E5" i="12" s="1"/>
  <c r="H11" i="5" l="1"/>
  <c r="H25" i="5"/>
  <c r="F13" i="16" s="1"/>
  <c r="H27" i="5" l="1"/>
  <c r="F17" i="16"/>
  <c r="E7" i="17" s="1"/>
  <c r="C13" i="16"/>
  <c r="B11" i="19" s="1"/>
  <c r="C23" i="3"/>
  <c r="C17" i="16"/>
  <c r="D24" i="12"/>
  <c r="D21" i="12"/>
  <c r="C19" i="3"/>
  <c r="F26" i="16" l="1"/>
  <c r="C26" i="16" s="1"/>
  <c r="E19" i="12"/>
  <c r="D30" i="12"/>
  <c r="D45" i="12" s="1"/>
  <c r="H41" i="12" s="1"/>
  <c r="H30" i="5"/>
  <c r="B7" i="17" l="1"/>
  <c r="B15" i="19"/>
  <c r="B9" i="17"/>
  <c r="D13" i="3"/>
  <c r="C58" i="3" s="1"/>
  <c r="C62" i="3" s="1"/>
  <c r="B95" i="19" l="1"/>
  <c r="C35" i="18" s="1"/>
  <c r="C62" i="18" s="1"/>
  <c r="B12" i="17"/>
  <c r="D11" i="19"/>
  <c r="E40" i="17" l="1"/>
  <c r="D90" i="19"/>
  <c r="B33" i="17" l="1"/>
  <c r="B40" i="17" s="1"/>
  <c r="F52" i="18"/>
  <c r="F62" i="18" l="1"/>
  <c r="F63" i="18" s="1"/>
</calcChain>
</file>

<file path=xl/sharedStrings.xml><?xml version="1.0" encoding="utf-8"?>
<sst xmlns="http://schemas.openxmlformats.org/spreadsheetml/2006/main" count="3482" uniqueCount="1339">
  <si>
    <t xml:space="preserve"> BILL </t>
  </si>
  <si>
    <t>OOD</t>
  </si>
  <si>
    <t>Kuitansi</t>
  </si>
  <si>
    <t>KK Biaya</t>
  </si>
  <si>
    <t>No</t>
  </si>
  <si>
    <t>Uraian</t>
  </si>
  <si>
    <t>Rp</t>
  </si>
  <si>
    <t>Total</t>
  </si>
  <si>
    <t>1</t>
  </si>
  <si>
    <t>2</t>
  </si>
  <si>
    <t>Mutasi</t>
  </si>
  <si>
    <t>BCA</t>
  </si>
  <si>
    <t>Bu Wati</t>
  </si>
  <si>
    <t>Lain-lain</t>
  </si>
  <si>
    <t>3</t>
  </si>
  <si>
    <t>Pendapatan</t>
  </si>
  <si>
    <t>Pendapatan Invoice via FO</t>
  </si>
  <si>
    <t>Pendapatan Bill FO</t>
  </si>
  <si>
    <t>Pendapatan Renang</t>
  </si>
  <si>
    <t>Pendapatan Toko</t>
  </si>
  <si>
    <t>Pendapatan Resto</t>
  </si>
  <si>
    <t>Pendapatan Laundry</t>
  </si>
  <si>
    <t>Pendapatan Lain-lain</t>
  </si>
  <si>
    <t>4</t>
  </si>
  <si>
    <t>Pengeluaran</t>
  </si>
  <si>
    <t>SDM</t>
  </si>
  <si>
    <t>FnB</t>
  </si>
  <si>
    <t>HK</t>
  </si>
  <si>
    <t>Engineering</t>
  </si>
  <si>
    <t>Operasional</t>
  </si>
  <si>
    <t>Berlangganan</t>
  </si>
  <si>
    <t>Komisi &amp; Bi. Langsung</t>
  </si>
  <si>
    <t>ATK</t>
  </si>
  <si>
    <t>Mobil</t>
  </si>
  <si>
    <t>Marketing</t>
  </si>
  <si>
    <t>Toko</t>
  </si>
  <si>
    <t>Resto</t>
  </si>
  <si>
    <t>Saldo Akhir di FO</t>
  </si>
  <si>
    <t>Tanggal</t>
  </si>
  <si>
    <t>Keterangan</t>
  </si>
  <si>
    <t xml:space="preserve"> Lain-lain</t>
  </si>
  <si>
    <t>Renang</t>
  </si>
  <si>
    <t>Laundry</t>
  </si>
  <si>
    <t>Saldo</t>
  </si>
  <si>
    <t>SALDO AWAL</t>
  </si>
  <si>
    <t>No.</t>
  </si>
  <si>
    <t>Check-in</t>
  </si>
  <si>
    <t>Check-out</t>
  </si>
  <si>
    <t>Rate</t>
  </si>
  <si>
    <t>Tagihan</t>
  </si>
  <si>
    <t>FO</t>
  </si>
  <si>
    <t>TRAVELOKA</t>
  </si>
  <si>
    <t>tiket.com</t>
  </si>
  <si>
    <t>DP</t>
  </si>
  <si>
    <t>NO</t>
  </si>
  <si>
    <t>No. Reservasi</t>
  </si>
  <si>
    <t>Tipe</t>
  </si>
  <si>
    <t xml:space="preserve">Invoice </t>
  </si>
  <si>
    <t>MASUK</t>
  </si>
  <si>
    <t>BILL</t>
  </si>
  <si>
    <t>INV</t>
  </si>
  <si>
    <t>KUITANSI</t>
  </si>
  <si>
    <t xml:space="preserve">No. </t>
  </si>
  <si>
    <t>Kas Masuk</t>
  </si>
  <si>
    <t>Kas Keluar</t>
  </si>
  <si>
    <t>KET.</t>
  </si>
  <si>
    <t>Pendapatan Tamu Grup</t>
  </si>
  <si>
    <t>DP Tamu</t>
  </si>
  <si>
    <t>Pendapatan Tamu WIG</t>
  </si>
  <si>
    <t>Pendapatan WIG</t>
  </si>
  <si>
    <t>Pendapatan OTA</t>
  </si>
  <si>
    <t>Pendapatan OOD</t>
  </si>
  <si>
    <t xml:space="preserve"> Nama tamu </t>
  </si>
  <si>
    <t xml:space="preserve"> Tagihan </t>
  </si>
  <si>
    <t xml:space="preserve"> Pembayaran </t>
  </si>
  <si>
    <t xml:space="preserve"> SP </t>
  </si>
  <si>
    <t xml:space="preserve"> Keterangan </t>
  </si>
  <si>
    <t xml:space="preserve"> FO </t>
  </si>
  <si>
    <t xml:space="preserve"> BCA </t>
  </si>
  <si>
    <t>Nama Tamu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</si>
  <si>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</si>
  <si>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</si>
  <si>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</si>
  <si>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</si>
  <si>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</si>
  <si>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</si>
  <si>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</si>
  <si>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</si>
  <si>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</si>
  <si>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</si>
  <si>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</si>
  <si>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</si>
  <si>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</si>
  <si>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</si>
  <si>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</si>
  <si>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</si>
  <si>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TOTAL</t>
  </si>
  <si>
    <t>21</t>
  </si>
  <si>
    <t>22</t>
  </si>
  <si>
    <t>23</t>
  </si>
  <si>
    <t>24</t>
  </si>
  <si>
    <t>Traveloka</t>
  </si>
  <si>
    <t>Tiket.com</t>
  </si>
  <si>
    <t>TOTAL PENDAPATAN</t>
  </si>
  <si>
    <t>TOTAL BIAYA</t>
  </si>
  <si>
    <t>Komisi &amp; Bi Langsung</t>
  </si>
  <si>
    <t>25</t>
  </si>
  <si>
    <t>26</t>
  </si>
  <si>
    <t>27</t>
  </si>
  <si>
    <t>28</t>
  </si>
  <si>
    <t>DP (BILL)</t>
  </si>
  <si>
    <t>NOTE</t>
  </si>
  <si>
    <t>Pemb BCA</t>
  </si>
  <si>
    <t>Pelunasan</t>
  </si>
  <si>
    <t>WIG</t>
  </si>
  <si>
    <t>TIKET.COM</t>
  </si>
  <si>
    <t>Fee</t>
  </si>
  <si>
    <t>SALES</t>
  </si>
  <si>
    <t>BPRS</t>
  </si>
  <si>
    <t>Pos-Pos</t>
  </si>
  <si>
    <t>Nominal</t>
  </si>
  <si>
    <t>Listrik</t>
  </si>
  <si>
    <t>Wifi</t>
  </si>
  <si>
    <t>TV</t>
  </si>
  <si>
    <t>DP via FO</t>
  </si>
  <si>
    <t>DP via BCA</t>
  </si>
  <si>
    <t>Storan Asri Graha</t>
  </si>
  <si>
    <t>LISTRIK</t>
  </si>
  <si>
    <t>WIFI</t>
  </si>
  <si>
    <t>TELPON</t>
  </si>
  <si>
    <t>KOMISI &amp; LANGSUNG</t>
  </si>
  <si>
    <t>MOBIL</t>
  </si>
  <si>
    <t>Telpon</t>
  </si>
  <si>
    <t>Storan Asri</t>
  </si>
  <si>
    <t>MUTASI FO + MUTASI TOKO</t>
  </si>
  <si>
    <t>DP Tamu 2</t>
  </si>
  <si>
    <t>LABA PER TANGGAL</t>
  </si>
  <si>
    <t>Biaya Biaya Pengeluaran</t>
  </si>
  <si>
    <t>Qty</t>
  </si>
  <si>
    <t>LABA RUGI BULANAN</t>
  </si>
  <si>
    <t>LAUNDRY</t>
  </si>
  <si>
    <t>TOKO</t>
  </si>
  <si>
    <t>RESTO</t>
  </si>
  <si>
    <t>DP Tamu 1</t>
  </si>
  <si>
    <t xml:space="preserve"> DP Tamu 3</t>
  </si>
  <si>
    <t>FO + BCA + DP1 + DP2 + DP3</t>
  </si>
  <si>
    <t>DP 1 + DP 2 + DP 3</t>
  </si>
  <si>
    <t>Invoice FO</t>
  </si>
  <si>
    <t>29</t>
  </si>
  <si>
    <t>Tanggal Masuk Invoice</t>
  </si>
  <si>
    <t>Kasbon Karyawan SGH</t>
  </si>
  <si>
    <t>Renovasi SGH</t>
  </si>
  <si>
    <t>Kasbon ASRI</t>
  </si>
  <si>
    <t>Renovasi ASRI</t>
  </si>
  <si>
    <t>FO + DP + BCA</t>
  </si>
  <si>
    <t>TGL</t>
  </si>
  <si>
    <t>LABA RUGI - RENOVASI SGH- KASBON ASRI - RENOVASI ASRI</t>
  </si>
  <si>
    <t>Dp group an. Bpk winaryo ( 03459) CI 7-10 SEPTEMBER 2023 (ROMBONGAN EDI/WINDARTO)</t>
  </si>
  <si>
    <t>RENANG</t>
  </si>
  <si>
    <t>LAIN - LAIN</t>
  </si>
  <si>
    <t>Kuitansi Setoran Asri Graha</t>
  </si>
  <si>
    <t>Kuitansi DP Via FO</t>
  </si>
  <si>
    <t>Kuitansi Keu Masuk</t>
  </si>
  <si>
    <t>Patroli</t>
  </si>
  <si>
    <t>KASBON ASRI GRAHA</t>
  </si>
  <si>
    <t>Type</t>
  </si>
  <si>
    <t>DP Group a/n SMK Walisongo Jakarta/Kemuning Tour (03689)BCA CI 10-12 DESEMBER 2023 / TF LITA SUPRIDA</t>
  </si>
  <si>
    <t xml:space="preserve">DP Kamar Group Pak Aris (03706) CI 19-21 JANUARI 2023 </t>
  </si>
  <si>
    <t>DP Group a/n Elang Tour Cirebon (03735)BCA CI 15-16 DESEMBER 2023 / TF MAULANA HELMI</t>
  </si>
  <si>
    <t>Invoice</t>
  </si>
  <si>
    <t xml:space="preserve"> MUTASI</t>
  </si>
  <si>
    <t>BNI EDC</t>
  </si>
  <si>
    <t>Pemb BNI</t>
  </si>
  <si>
    <t>BNI</t>
  </si>
  <si>
    <t>Dp an. b&amp;b tnt ( 03747) bca CI 5-6 MARET 2024 / TF MUHAMMAD BAGUS</t>
  </si>
  <si>
    <t>DP Kamar Group a/n Gwynfor TNT Jombang (03760) BCA CI 23-24 DESEMBER 2023 / TF PITOYO YOGA</t>
  </si>
  <si>
    <t>PELUNASAN</t>
  </si>
  <si>
    <t>Dp group an. Duta ismaya tnt ( 03777) bca CI 12-13 DESEMBER 2023 / TF IIS ISMAYATI</t>
  </si>
  <si>
    <t>Dp Group an. Oke Tnt Cirebon ( 03784) bca CI 25-26 DESEMBER 2023 / TF KHOMSYAH</t>
  </si>
  <si>
    <t>DP Kamar Group a/n Bp. Reno (03795) BCA CI 29-30 SEPTEMBER 2023 / TF RENO SETIADI</t>
  </si>
  <si>
    <t>DP Group a/n Four Bee Tour (03820)BCA CI 22-23 DESEMBER 2023 / TF INDRA FEBRIANTO</t>
  </si>
  <si>
    <t>NO. KUITANSI</t>
  </si>
  <si>
    <t>Dp Group an. Jas Kurnia Tnt ( 03842) bca CI 23-24 DESEMBER 2023 / TF LIA KAMILIAWATI AM</t>
  </si>
  <si>
    <t>Dp Group an. Asia Holiday ( 03843) bca CI 7-8 DESEMBER 2023 / TF RATNA AYUNINGRUM</t>
  </si>
  <si>
    <t>Belanja Sayur</t>
  </si>
  <si>
    <t>Belanja ENG</t>
  </si>
  <si>
    <t xml:space="preserve">DP Kamar Group a/n Ibu Iim/ MTS 1 Tasikmalaya (03891) CI 14-15 DESEMBER 2023 </t>
  </si>
  <si>
    <t xml:space="preserve">DP Kedua Group a/n GWYNFOR TnT (03896) CI 13-14 DESEMBER 2023 </t>
  </si>
  <si>
    <t>DP group an.Smk arif rahman hakim/Bp udin (03913) CI 3-5 DESEMBER 2023</t>
  </si>
  <si>
    <t>Dp group an.  Al mukhlisin/Bapak yusuf (03914) via bca CI 27-29 DESEMBER 2023 / TF LILIS RATNA DIANA</t>
  </si>
  <si>
    <t>Belanja Mineral</t>
  </si>
  <si>
    <t>Dp Group an. Cakrawala Holiday ( 03967) bca CI 31 DES - 1 JANUARI 2024 / TF FIRMAN CHISNAGARA</t>
  </si>
  <si>
    <t>Dp Group an. Djoko Kendil ( 03968) CI 9-10 DESEMBER 2023</t>
  </si>
  <si>
    <t>Dp Group an. Ibu Layang ( 03969)bca CI 23-25 DESEMBER 2023 / TF LAYUNG</t>
  </si>
  <si>
    <t>Dp Group an. Sukaemi ( 03974) bca 2-3 DESEMBER 2023 / TF SUKAEMI</t>
  </si>
  <si>
    <t>DP group an.SMP N 2 Belik/slamet ruslani (03980) BCA CI 9-10 DESEMBER 2023 / TF SLAMET RUSLANI</t>
  </si>
  <si>
    <t>BCA GIRO</t>
  </si>
  <si>
    <t>DP group an.Times Travel Banten (03994) BCA CI 16-18 DESEMBER 2023 / TF MIFTAHUN NAJIH</t>
  </si>
  <si>
    <t>Dp group an. zea tnt ( 04002) bca CI 18-19 DESEMBER 2023 / TF FIRMANSTAH</t>
  </si>
  <si>
    <t>Dp Group an. Mts. Hidayatul (04015) bca CI 6-7 DESEMBER 2023 / TF MOH. SYAIFUL</t>
  </si>
  <si>
    <t>Dp Group an. Mts Annur (04020) bca CI 2-3 DESEMBER 2023 / TF NENI ROTIANI</t>
  </si>
  <si>
    <t>DP GO an.Wijaya kusuma via BCA (04025) CI 24-25 DESEMBER 2023 / TF KUSUMAH</t>
  </si>
  <si>
    <t>Dp Group an. Yopi tnt ( 04029) bca CI 24-25 DESEMBER 2023 / TF YOPI SLAMET</t>
  </si>
  <si>
    <t>DP group an. AL mubarok TNT (04037) CI 20-21 DESEMBER 2023</t>
  </si>
  <si>
    <t>DP Group a/n Dinasty Jawi Tour (04046)BCA CI 31-1 JANUARI 2023 / TF FERY SANDRA</t>
  </si>
  <si>
    <t>Dp group an. Mts walisongo (04060) bca CI 14-15 DESEMBER 2023 / TF TRANUMI SUMBULANTIN</t>
  </si>
  <si>
    <t>CSR</t>
  </si>
  <si>
    <t>DP Group a/n Gemilang Tour Travel (04075)BCA CI 19-21 DESEMBER 2023 / TF SUNAR WIBOWO</t>
  </si>
  <si>
    <t>Dp Group an. Ponpes Al-Rifai Malang ( 04087) bca CI 19-20 DESEMBER 2023 / TF TITI ISWARTI</t>
  </si>
  <si>
    <t>Dp Group an. Jogja Trans Holiday ( 04091) bca CI 4-5 MEI 2024 / TF IKA NOVIANTI</t>
  </si>
  <si>
    <t>DP Group a/n Agra Tour (04095)BCA CI 29-30 DESEMBER 2023 / TF ADITIA DESSY</t>
  </si>
  <si>
    <t>DP group an.Bapak Teguh Blue Star ( 04045) via BCA CI 1-2 DESEMBER 2023 / TF IDA NURMAIDAH</t>
  </si>
  <si>
    <t>TOMY</t>
  </si>
  <si>
    <t>SDM (Casual+ Gaji)</t>
  </si>
  <si>
    <t>INVOICE</t>
  </si>
  <si>
    <t>STD</t>
  </si>
  <si>
    <t>MASUK OOD</t>
  </si>
  <si>
    <t>MUTASI</t>
  </si>
  <si>
    <t>Dp MEETING an. IWAPI ( 04109) BCA CI 1 DESEMBER 2023 / TF IDHA TRI ASTUTI</t>
  </si>
  <si>
    <t>DP Room a/n Hadi Tour Travel (04114) CI 23-25 DESEMBER 2023</t>
  </si>
  <si>
    <t>Belanja Asri graha</t>
  </si>
  <si>
    <t>DLX</t>
  </si>
  <si>
    <t>Dp Group an. pt .colombus ( 04120) CI 6 DESEMBER 2023</t>
  </si>
  <si>
    <t>DP Group a/n Araka Trans (04132) CI 21-23 DESEMBER 2023</t>
  </si>
  <si>
    <t xml:space="preserve">DP Group a/n Asia Holiday (04135)BCA 01/12/2023 (04135) CI 7-8 DESEMBER 2023 / TF RATNA </t>
  </si>
  <si>
    <t>Dp group a.n Jaya Wiyata Tour (04141)via BCA CI 20-21 APRIL 2023 / TF ROSYID ALRIZAL</t>
  </si>
  <si>
    <t>DP GO Four Bee Tour (04140)via BCA CI 22-23 DESEMBER 2023 / TF INDRA FEBRIANTO</t>
  </si>
  <si>
    <t>Belanja renov mushola</t>
  </si>
  <si>
    <t>Dp Meeting an. PRA Pandeyan ( 04145) CI 9 DESEMBER 2023</t>
  </si>
  <si>
    <t>PROJEK KANDANG</t>
  </si>
  <si>
    <t>Projek Kandang</t>
  </si>
  <si>
    <t>Renovasi MUSHOLAH</t>
  </si>
  <si>
    <t>Renovasi Musholah</t>
  </si>
  <si>
    <t>Project Kandang</t>
  </si>
  <si>
    <t>Dp Group an. Ponpes Al-Hidayah (04163) BCA CI 7-8 MEI 2024 / TF MUHAMMAD FAHMI</t>
  </si>
  <si>
    <t>Dp Group an. ZIA TnT ( 04165) BCA CI 26-27 DESEMBER 2023 / TF IYAN ROBAYANI</t>
  </si>
  <si>
    <t>Dp Group an. Aulia jaya Kusuma ( 04167) BCA CI 7-9 MEI 2024 / TF AULIA JAYA KUSUMA</t>
  </si>
  <si>
    <t>DP Group a/n Agra Tour Travel (04176)BCA CI 29-30 DESEMBER 2023 / TF ADITYA DESSY</t>
  </si>
  <si>
    <t>DP 2 Group a.n Elang Tour Travel (04180) BCA CI 15-16 DESEMBER 2023 / TF MAULANA HELMI</t>
  </si>
  <si>
    <t>DP group a.n Bapak Cecep (04181) BCA CI 27-29 MEI 2024 / TF MUHAMMAD ZULKIFLI</t>
  </si>
  <si>
    <t>Belanja Renov mushola</t>
  </si>
  <si>
    <t>DP Meeting Room a/n Ibu Heriyanti (04189)BCA CI 23 DESEMBER 2023 / TF HERIYANTI</t>
  </si>
  <si>
    <t>DP Group a/n SMP Al Ijtihad (04207) CI 5-7 MEI 2024</t>
  </si>
  <si>
    <t>Dp Lunch Transit ( 04222) bca CI 16 DESEMBER 2023 / TF ICHYA ULUMUDDIN</t>
  </si>
  <si>
    <t>Dp Group an. Sobat Wisata ( 04230) bca CI 26-27 DESEMBER 2023 / TF CAHYA GUMILAR</t>
  </si>
  <si>
    <t xml:space="preserve">DP Group a/n HDK Tour Travel (04252) CI 26-27 DESEMBER 2023 </t>
  </si>
  <si>
    <t>REKAP MUTASI FO KE BANK JANUARI 2023</t>
  </si>
  <si>
    <t>TAB WAJIB</t>
  </si>
  <si>
    <t>Gaji JANUARI</t>
  </si>
  <si>
    <t>DP JANUARI 2024 via FO</t>
  </si>
  <si>
    <t>DP JANUARI 2024 via BCA</t>
  </si>
  <si>
    <t>Pendapatan renang</t>
  </si>
  <si>
    <t>BPJS Kesehatan</t>
  </si>
  <si>
    <t>BPJS Ketenagakerjaan</t>
  </si>
  <si>
    <t>Retribusi Sampah</t>
  </si>
  <si>
    <t>Retribusi Limbah</t>
  </si>
  <si>
    <t>PAJAK Tunggakan</t>
  </si>
  <si>
    <t>PAJAK Pusat DJP</t>
  </si>
  <si>
    <t>PAJAK Daerah Zeepos</t>
  </si>
  <si>
    <t>PAJAK Air &amp; Tanah</t>
  </si>
  <si>
    <t>FML</t>
  </si>
  <si>
    <t>DP room DLX R.206 a.n Reni diyah safitri (04265) CI 30-31 DESEMBER 2023 / TF DWI NUR KHAFIFAH</t>
  </si>
  <si>
    <t>Belanja sayur</t>
  </si>
  <si>
    <t>Belanja HK</t>
  </si>
  <si>
    <t>Belanja Dapur</t>
  </si>
  <si>
    <t>Belanja Engineering</t>
  </si>
  <si>
    <t>Belanja Engineering Renov Musholla</t>
  </si>
  <si>
    <t>Belanja Renov Mushola</t>
  </si>
  <si>
    <t>BPR M</t>
  </si>
  <si>
    <t>SPR</t>
  </si>
  <si>
    <t>Dp 2 Group an. Cakrawala ( 04296) bca CI 31-1 JANUARI 2024 / TF NURUL HUDA</t>
  </si>
  <si>
    <t>Belanja ayam</t>
  </si>
  <si>
    <t>Dp Group an. Ziyah ( 04313) bca CI 13-14 APRIL 2024 / TF NURUL FAUZIAH</t>
  </si>
  <si>
    <t xml:space="preserve"> </t>
  </si>
  <si>
    <t>Belanja Laundry</t>
  </si>
  <si>
    <t>Refill Gas dan Galon</t>
  </si>
  <si>
    <t>Belanja Renovasi Mushola</t>
  </si>
  <si>
    <t>BERLANGGANAN</t>
  </si>
  <si>
    <t>RENOVASI SGH</t>
  </si>
  <si>
    <t>Belanja Dapur renov mushola</t>
  </si>
  <si>
    <t>Bayar Pajak Air tanah</t>
  </si>
  <si>
    <t>Tabungan Umroh</t>
  </si>
  <si>
    <t>Tabungan BAT</t>
  </si>
  <si>
    <t>Tabungan THR</t>
  </si>
  <si>
    <t>Tabungan PBB</t>
  </si>
  <si>
    <t>NIKE</t>
  </si>
  <si>
    <t>HERY</t>
  </si>
  <si>
    <t>DP Group a/n Arthadia Tour Travel (04360)BCA CI 21-22 MEI 2024 / TF REYHAN PRIYANDAKU</t>
  </si>
  <si>
    <t>DP Group a/n Duta Wisata (04366)BCA CI 11-13 MEI 2024/ TF ARNALDO HENDRIX</t>
  </si>
  <si>
    <t>DP Group a/n SMP N Pabuaran (04365) BCA CI 15-16 MEI 2024 / TF SUMARNI</t>
  </si>
  <si>
    <t>Dp Groupan. bpk. wegisnto ( 04376) bca CI 13-14 APRIL 2024 / TF WEGIANTO</t>
  </si>
  <si>
    <t>ANGGER</t>
  </si>
  <si>
    <t>DP group a.n Ardiansyah TNT (04385) via BCA CI 01-02 JUNI 2024 / TF INTAN PERMATASARI</t>
  </si>
  <si>
    <t>Dp Group an. Ponpes nurul furqon ( 04389) bca CI 21-2223 APRIL 2024 / TF YAYASAN NURUL FURQ</t>
  </si>
  <si>
    <t>Belanja Material Renov Musholla</t>
  </si>
  <si>
    <t>DP Group a/n Bapak Iyos (04392)CI 16-17 MEI 2024</t>
  </si>
  <si>
    <t xml:space="preserve">DP Group a/n Bp Hadi (04403) CI 08-09 MARET 2024 </t>
  </si>
  <si>
    <t>Refill Galon &amp; Gas</t>
  </si>
  <si>
    <t xml:space="preserve">DP Group a/n Bp Rofiq Surabaya (04417) CI 03-04 MARET 2024 </t>
  </si>
  <si>
    <t>DP Group a/n Al Fatih Holiday (04422) CI 14-15 APRIL 2024</t>
  </si>
  <si>
    <t>DP Group a/n SD N 3 Bungu (04423)BCA CI 10-11 MEI 2024 / TF YUSWANDANI</t>
  </si>
  <si>
    <t>DP group a.n Bapak yudi musafir tour travel (04424) BCA CI 16-17 FEBRUARI 2024 / TF AN YUDI PRAYITNO</t>
  </si>
  <si>
    <t>DP Group a/n Enha Travel Sidoarjo (04421)BCA CI 19-20 MEI 2024 / TF ABDUL RAHMAN</t>
  </si>
  <si>
    <t>Biaya-Biaya Pendapatan</t>
  </si>
  <si>
    <t>Belanja Asri</t>
  </si>
  <si>
    <t>Dp group a.n Muls tour travel (04431) via BCA CI 23-25 MEI 2024/TF ADI MULYADI P</t>
  </si>
  <si>
    <t>ADMIN</t>
  </si>
  <si>
    <t>BUTIK</t>
  </si>
  <si>
    <t>Toko via BCA</t>
  </si>
  <si>
    <t>Potongan Bunga Bank</t>
  </si>
  <si>
    <t>MUTASI KE FO</t>
  </si>
  <si>
    <t>Mutasi ke FO</t>
  </si>
  <si>
    <t>DP Awal Buku 2024</t>
  </si>
  <si>
    <t>DP Juni 2023 via FO</t>
  </si>
  <si>
    <t>DP Juni 2023 via BCA</t>
  </si>
  <si>
    <t>SITI NUR ZAMANIAH</t>
  </si>
  <si>
    <t>DP Agustus 2023 via FO</t>
  </si>
  <si>
    <t>DP Agustus 2023 via BCA</t>
  </si>
  <si>
    <t>DP September 2023 via BCA</t>
  </si>
  <si>
    <t>Dp Group an. Dodi duta prima wiata ( 03768) bca CI 18-20 DESEMBER 2023 / TF DODI DUTA PRIMA</t>
  </si>
  <si>
    <t>Dp Group an. Bpk Edi Putra Tnt ( 03863) bca CI 5-6 DESEMBER 2023 / TF EDI WINARTO</t>
  </si>
  <si>
    <t>DP Oktober 2023 via FO</t>
  </si>
  <si>
    <t>DP Oktober 2023 via BCA</t>
  </si>
  <si>
    <t>DP November 2023 via FO</t>
  </si>
  <si>
    <t>DP November 2023 via BCA</t>
  </si>
  <si>
    <t>DP Desember 2023 via FO</t>
  </si>
  <si>
    <t>DP Desember 2023 via BCA</t>
  </si>
  <si>
    <t>DP Yang Masih Tercatat di Dalam Buku / NERACA 31 Desember 2023</t>
  </si>
  <si>
    <t>DP 2024</t>
  </si>
  <si>
    <t>KET</t>
  </si>
  <si>
    <t>SALDO</t>
  </si>
  <si>
    <t>DP Group a/n Bp Anom (04438)BCA CI 07-08 JUNI 2024/ TF ANOM SUKAMTO</t>
  </si>
  <si>
    <t>Dp group an. AORTA TOUR TRAVEL ( 04451) bca CI 26-27 APRIL 2024 / TF MUH ARIF RIFA</t>
  </si>
  <si>
    <t>SUB TOTAL</t>
  </si>
  <si>
    <t>Kas Keu</t>
  </si>
  <si>
    <t>Kas Keu BILL</t>
  </si>
  <si>
    <t>Kas Keu KW</t>
  </si>
  <si>
    <t>Pendapatan OTA Payment BCA</t>
  </si>
  <si>
    <t>Tiket.Com</t>
  </si>
  <si>
    <t>OOD Renang</t>
  </si>
  <si>
    <t>OOD Toko</t>
  </si>
  <si>
    <t>OOD Laundry</t>
  </si>
  <si>
    <t>OOD Resto</t>
  </si>
  <si>
    <t>OOD Lainnya</t>
  </si>
  <si>
    <t>BPRS DH</t>
  </si>
  <si>
    <t>BANK JOGJA</t>
  </si>
  <si>
    <t>TOTAL Pendapatan</t>
  </si>
  <si>
    <t>Deposit Tamu</t>
  </si>
  <si>
    <t>Biaya Pajak Bumi Bangunan</t>
  </si>
  <si>
    <t>Bank Jogja</t>
  </si>
  <si>
    <t>Biaya Komisi &amp; Langsung</t>
  </si>
  <si>
    <t>Biaya Tunggakan Pajak</t>
  </si>
  <si>
    <t>Biaya Pajak Pusat DJP Hotel</t>
  </si>
  <si>
    <t>Biaya Pajak Daerah Zeepos</t>
  </si>
  <si>
    <t>Biaya Pajak Air &amp; Tanah</t>
  </si>
  <si>
    <t>Biaya Retribusi Air Limbah</t>
  </si>
  <si>
    <t>Biaya Retribusi Sampah</t>
  </si>
  <si>
    <t>Biaya Gaji via BCA</t>
  </si>
  <si>
    <t>Biaya Gaji BCA Payroll</t>
  </si>
  <si>
    <t>Biaya Gaji Pot Kasbon via BCA Payroll</t>
  </si>
  <si>
    <t>Kasbon karyawan</t>
  </si>
  <si>
    <t>Biaya Gaji Casual Cash</t>
  </si>
  <si>
    <t>SDM Gaji Bulan InI</t>
  </si>
  <si>
    <t>Kasbon Karyawan via FO</t>
  </si>
  <si>
    <t>Payment Tab Wajib Karyawan Resign</t>
  </si>
  <si>
    <t>Payment CSR / Dana Cad Khusus</t>
  </si>
  <si>
    <t>Biaya Operasional</t>
  </si>
  <si>
    <t>Biaya FnB</t>
  </si>
  <si>
    <t>Biaya HK</t>
  </si>
  <si>
    <t>Biaya Engineering</t>
  </si>
  <si>
    <t>Biaya Marketing</t>
  </si>
  <si>
    <t>Biaya Listrik</t>
  </si>
  <si>
    <t>Biaya Telepon</t>
  </si>
  <si>
    <t>Biaya WIFI</t>
  </si>
  <si>
    <t>Biaya BPJS Kesehatan</t>
  </si>
  <si>
    <t>Biaya BPJS Ketenagakerjaan</t>
  </si>
  <si>
    <t>Biaya Mobil</t>
  </si>
  <si>
    <t>Biaya ATK</t>
  </si>
  <si>
    <t>Biaya OX Parabola</t>
  </si>
  <si>
    <t>Biaya Toko GSK</t>
  </si>
  <si>
    <t>Piutang Renovasi Satya Graha</t>
  </si>
  <si>
    <t>Piutang Renovasi Musholla</t>
  </si>
  <si>
    <t xml:space="preserve">Mutasi Dari Kas Keuangan Ke </t>
  </si>
  <si>
    <t>Biaya Gaji Asri Graha BCA Payroll</t>
  </si>
  <si>
    <t>Mutasi BCA ke GIRO</t>
  </si>
  <si>
    <t>Mutasi BCA ke BNI</t>
  </si>
  <si>
    <t>Mutasi BCA ke BPR JOGJA</t>
  </si>
  <si>
    <t>Mutasi BCA ke BPR MADINAH</t>
  </si>
  <si>
    <t>Mutasi BCA ke BRI Kandang</t>
  </si>
  <si>
    <t>BRI Kandang</t>
  </si>
  <si>
    <t>Mutasi BCA ke Investasi Kandang</t>
  </si>
  <si>
    <t>Piut P Maryoto</t>
  </si>
  <si>
    <t>Biaya OPR via BCA</t>
  </si>
  <si>
    <t>BPRS ke Bank Jogja</t>
  </si>
  <si>
    <t>Payment Piutang P Maryoto</t>
  </si>
  <si>
    <t>Deposito BPRS M</t>
  </si>
  <si>
    <t>Deposito BPRS DH</t>
  </si>
  <si>
    <t>ASRI GRAHA Hotel</t>
  </si>
  <si>
    <t>Setoran Asri Graha</t>
  </si>
  <si>
    <t>Kasbon Asri Graha</t>
  </si>
  <si>
    <t>Piutang Renovasi Asri Graha</t>
  </si>
  <si>
    <t xml:space="preserve">BCA </t>
  </si>
  <si>
    <t>Modal Kandang Samas</t>
  </si>
  <si>
    <t xml:space="preserve">Deposito </t>
  </si>
  <si>
    <t>JAN</t>
  </si>
  <si>
    <t>Saldo Awal</t>
  </si>
  <si>
    <t>Invoice via Kas Keu</t>
  </si>
  <si>
    <t>BILL via Kas Keu</t>
  </si>
  <si>
    <t xml:space="preserve">OOD </t>
  </si>
  <si>
    <t>Mutasi BCA ke FO</t>
  </si>
  <si>
    <t>Renovasi Satya Graha</t>
  </si>
  <si>
    <t>Saldo Akhir</t>
  </si>
  <si>
    <t>Bunga Potong Pajak Dan Admin</t>
  </si>
  <si>
    <t>Biaya Gaji Bulan Lalu</t>
  </si>
  <si>
    <t>Biaya Resto</t>
  </si>
  <si>
    <t>Pendapatan OOD via BCA</t>
  </si>
  <si>
    <t>OOD Toko BCA</t>
  </si>
  <si>
    <t>Laba Rugi 2024</t>
  </si>
  <si>
    <t>Pendapatan bunga pot admin</t>
  </si>
  <si>
    <t>GROSS REVENUE</t>
  </si>
  <si>
    <t>Komisi dan Biaya Langsung</t>
  </si>
  <si>
    <t>Biaya Pajak dan Retribusi</t>
  </si>
  <si>
    <t>NETT REVENUE</t>
  </si>
  <si>
    <t>Biaya Gaji Karyawan</t>
  </si>
  <si>
    <t>Biaya Gaji Dana THR</t>
  </si>
  <si>
    <t>Biaya Gaji Tab Wajib</t>
  </si>
  <si>
    <t>Biaya Gaji Tab Umroh</t>
  </si>
  <si>
    <t>Biaya Gaji Bonus Akhir Tahun</t>
  </si>
  <si>
    <t>LABA RUGI</t>
  </si>
  <si>
    <t>AKTIVA</t>
  </si>
  <si>
    <t>Kas dan Bank</t>
  </si>
  <si>
    <t>Kas Keuangan</t>
  </si>
  <si>
    <t>Deposit Tamu Grup</t>
  </si>
  <si>
    <t>Titipan Kas ASRI Graha &amp; JBS</t>
  </si>
  <si>
    <t>BCA Giro</t>
  </si>
  <si>
    <t>Hutang ke P Maryoto Kandang S</t>
  </si>
  <si>
    <t>Tab PBB Bank Jogja</t>
  </si>
  <si>
    <t>Dana Cadangan Umum</t>
  </si>
  <si>
    <t>Dana Cadangan PBB</t>
  </si>
  <si>
    <t>BPD</t>
  </si>
  <si>
    <t>Dana BAT Kary &amp; Sales</t>
  </si>
  <si>
    <t>BNI Baru</t>
  </si>
  <si>
    <t>Dana Tabungan Wajib</t>
  </si>
  <si>
    <t>EDC BNI</t>
  </si>
  <si>
    <t>Dana THR</t>
  </si>
  <si>
    <t>EDC Mandiri</t>
  </si>
  <si>
    <t>Dana ZIS HSG</t>
  </si>
  <si>
    <t>EDC BRI</t>
  </si>
  <si>
    <t>Dana Sosial</t>
  </si>
  <si>
    <t>BCA Baru</t>
  </si>
  <si>
    <t>Dana Loss &amp; Break</t>
  </si>
  <si>
    <t>Kas Bu Wati</t>
  </si>
  <si>
    <t>Dana Tabungan Umroh</t>
  </si>
  <si>
    <t>Kasbon Karyawan</t>
  </si>
  <si>
    <t>Modal Properti Awal Bu Umar</t>
  </si>
  <si>
    <t>Deposito</t>
  </si>
  <si>
    <t>Modal Dana Proyek Bu Herlina</t>
  </si>
  <si>
    <t>Piutang Renovasi SGH 2023</t>
  </si>
  <si>
    <t>Modal Reinvestasi 2015</t>
  </si>
  <si>
    <t>Piutang Renovasi ASRI Graha</t>
  </si>
  <si>
    <t>Piutang Dapen &amp; Tab Wajib</t>
  </si>
  <si>
    <t>Modal Toko</t>
  </si>
  <si>
    <t>Stok Gudang</t>
  </si>
  <si>
    <t>Tanah, Bangunan &amp; Investasi</t>
  </si>
  <si>
    <t>Laba Ditahan</t>
  </si>
  <si>
    <t>Laba 2023</t>
  </si>
  <si>
    <t>Investasi Kandang Samas</t>
  </si>
  <si>
    <t>TOTAL AKTIVA</t>
  </si>
  <si>
    <t>TOTAL PASIVA</t>
  </si>
  <si>
    <t>NERACA 31 Desember 2023</t>
  </si>
  <si>
    <t>Laba Berjalan 2024</t>
  </si>
  <si>
    <t>BCA GIRO 2</t>
  </si>
  <si>
    <t>BCA GIRO 2 (CV)</t>
  </si>
  <si>
    <t>BCA CV SGH</t>
  </si>
  <si>
    <t>JURNAL 2024</t>
  </si>
  <si>
    <t>Rek Debet</t>
  </si>
  <si>
    <t>Rp Debet</t>
  </si>
  <si>
    <t>Rp Kredit</t>
  </si>
  <si>
    <t>Rek Kredit</t>
  </si>
  <si>
    <t>Pendapatan Bunga Bank Pot Admin</t>
  </si>
  <si>
    <t>Pendapatan Bunga Bank</t>
  </si>
  <si>
    <t>Guest Deposit Payment</t>
  </si>
  <si>
    <t>Setoran ASRI Graha</t>
  </si>
  <si>
    <t>Kasbon ASRI Graha</t>
  </si>
  <si>
    <t>Titipan ASRI Graha</t>
  </si>
  <si>
    <t>Piutang Renov ASRI Graha</t>
  </si>
  <si>
    <t>Piut Ren ASRI</t>
  </si>
  <si>
    <t>Komisi &amp; Biaya Langsung</t>
  </si>
  <si>
    <t>Biaya Pajak &amp; Retribusi</t>
  </si>
  <si>
    <t>Bi Komisi</t>
  </si>
  <si>
    <t xml:space="preserve">Bi Pajak </t>
  </si>
  <si>
    <t>Kasbon kary</t>
  </si>
  <si>
    <t>Dana Tab Wajib</t>
  </si>
  <si>
    <t>Dana BAT</t>
  </si>
  <si>
    <t>Dana Tab Umroh</t>
  </si>
  <si>
    <t>Biaya Gaji</t>
  </si>
  <si>
    <t>Biaya OPR</t>
  </si>
  <si>
    <t xml:space="preserve">Biaya HK </t>
  </si>
  <si>
    <t>Biaya Listrik Telpon &amp; Wifi</t>
  </si>
  <si>
    <t>Biaya BPJS</t>
  </si>
  <si>
    <t>Biaya Toko</t>
  </si>
  <si>
    <t>Payment Tab Wajib</t>
  </si>
  <si>
    <t>Payment Dana Sosial</t>
  </si>
  <si>
    <t>Payment Dana Cad Khusus (CSR)</t>
  </si>
  <si>
    <t>Pengembalian Piutang Dapen</t>
  </si>
  <si>
    <t>Biaya Hapus Buku Rek EDC BCA</t>
  </si>
  <si>
    <t>Biaya PBB 2023</t>
  </si>
  <si>
    <t>Mutasi Kas</t>
  </si>
  <si>
    <t>Dana CSR</t>
  </si>
  <si>
    <t>Piut Renov SGH</t>
  </si>
  <si>
    <t>INV Kandng Samas</t>
  </si>
  <si>
    <t>Piut Renov Musholla</t>
  </si>
  <si>
    <t>Modal Reinvestasi 2015-2022</t>
  </si>
  <si>
    <t>Nilai Renovasi 2015-2022</t>
  </si>
  <si>
    <t>Dana Cadangan Khusus / CSR</t>
  </si>
  <si>
    <t>Komisi &amp; BI Lang</t>
  </si>
  <si>
    <t>TOTAL Biaya</t>
  </si>
  <si>
    <t>WIG via Kuitansi</t>
  </si>
  <si>
    <t>Mutasi dari  BCA</t>
  </si>
  <si>
    <t>PASSIVA</t>
  </si>
  <si>
    <t>OOD VIA BNI</t>
  </si>
  <si>
    <t>Saldo Awal FEBRUARI 2024</t>
  </si>
  <si>
    <t>Casual FEBRUARI</t>
  </si>
  <si>
    <t>Gaji FEBRUARI</t>
  </si>
  <si>
    <t>Belanja dapur</t>
  </si>
  <si>
    <t>Belanja Tissue Maxisave</t>
  </si>
  <si>
    <t>Belanja P3K</t>
  </si>
  <si>
    <t>Service AC</t>
  </si>
  <si>
    <t>Service Ac</t>
  </si>
  <si>
    <t>Belanja Snack Tukang Renov Mushola</t>
  </si>
  <si>
    <t>KK BIAYA</t>
  </si>
  <si>
    <t>PIKNIK</t>
  </si>
  <si>
    <t>OPERASIONAL</t>
  </si>
  <si>
    <t>FNB</t>
  </si>
  <si>
    <t>ENGINEERING</t>
  </si>
  <si>
    <t>RENOVASI MUSHOLAH</t>
  </si>
  <si>
    <t>KASBON ASRI</t>
  </si>
  <si>
    <t>DP FEBRUARI 2024 via FO</t>
  </si>
  <si>
    <t>DP GO a.n Smk Islam Perti Jakarta (04472) CI 08-10 MEI 2024</t>
  </si>
  <si>
    <t>DP Group a/n Hadi Tour Subang (04526) CI 03-04 JUNI 2024</t>
  </si>
  <si>
    <t>DP Meeting Room a/n Ibu Zaidah (04543) TGL 04 MARET 2024</t>
  </si>
  <si>
    <t>DP FEBRUARI 2024 via BCA</t>
  </si>
  <si>
    <t>Dp group an. Kaswari tnt ( 04479) bca CI 29-30 APRIL 2024 / TF 110 JL JENDRAL</t>
  </si>
  <si>
    <t>Dp Group an. SMP N2 UJUNGJAYA ( 04481) BCA CI 23-24 JUNI 2024 / TF HERMAWAN</t>
  </si>
  <si>
    <t>DP GO a.n Al amin wisata Tangerang (04489) CI 24-26 JUNI 2024 / TF AN MUHAMAD AMINUL</t>
  </si>
  <si>
    <t>DP Group a.n SMP Fatachilah (04506) CI 25-26 MEI 2024 / TF AN DWI CAHYANTO</t>
  </si>
  <si>
    <t>Dp Group an. Sahabat Tnt (04520) bca CI 20-21 FEBRUARI 2024 / TF AN FAJAR HIBATUL WAFI</t>
  </si>
  <si>
    <t>Dp Group an Farida Nurjanah(04531) Via BCA CI 4-5 MEI 2024 / TF GILANG HADIANSYAH</t>
  </si>
  <si>
    <t>DP Group a/n Rickho Jambi (04545)BCA CI 04-05 MARET 2023 / TF AN RICO JAMBI</t>
  </si>
  <si>
    <t>Dp group an. smp n 3klipucang (04548) bca CI 04-05 MARET 2023 TF AN HENDRA SAEFUL</t>
  </si>
  <si>
    <t>Dp Group an. Bpk wawan (04549) bca CI 10-11 MEI 2024 / TF AN PRIMANANG KOSIM</t>
  </si>
  <si>
    <t>Dp Group an. Kak nad (04552) via bca CI 21-23 MARET 2024 / TF AN VICTORIA CLARISSA</t>
  </si>
  <si>
    <t>Dp Group an. Ardi Bastian (04558) BCA CI 04-06 JUNI 2024 / TF AN ARDI BASTIAN</t>
  </si>
  <si>
    <t>DP Group a/n Triyadi Tour (04567)BCA CI 15-16 APRIL 2024 / TF PIPIT FITRIANI</t>
  </si>
  <si>
    <t>Biaya Umroh</t>
  </si>
  <si>
    <t>04520</t>
  </si>
  <si>
    <t>04543</t>
  </si>
  <si>
    <t>04545</t>
  </si>
  <si>
    <t>04548</t>
  </si>
  <si>
    <t>04552</t>
  </si>
  <si>
    <t>Kuitansi pendapatan kandang</t>
  </si>
  <si>
    <t>Umroh</t>
  </si>
  <si>
    <t>Piknik</t>
  </si>
  <si>
    <t>Pendapatan Kandang</t>
  </si>
  <si>
    <t>FEB</t>
  </si>
  <si>
    <t>Mutasi Ke BCA Giro Payroll</t>
  </si>
  <si>
    <t>Belanja Eng</t>
  </si>
  <si>
    <t>Service AC Satya graha hotel</t>
  </si>
  <si>
    <t>Dp Group an. Universitas merdeka malang ( 04580) bca CI 2-3 MARET 2024 / TF NURKHAN FAIZ</t>
  </si>
  <si>
    <t>Mutasi BCA ke Payroll</t>
  </si>
  <si>
    <t>Payment Kasbon Ibu</t>
  </si>
  <si>
    <t>Biaya Piknik</t>
  </si>
  <si>
    <t>Feb</t>
  </si>
  <si>
    <t>LABA RUGI FEBRUARII 2024</t>
  </si>
  <si>
    <t>BCA Hotel</t>
  </si>
  <si>
    <t>Biaya Rekreasi</t>
  </si>
  <si>
    <t>Biaya Rekreasi 2024</t>
  </si>
  <si>
    <t>dana tab wajib</t>
  </si>
  <si>
    <t>kas keu</t>
  </si>
  <si>
    <t>DP Group BnB Tour Travel tgl 05 Maret 2024/ TF an Muhammad Bagus</t>
  </si>
  <si>
    <t>Mutasi dari FO</t>
  </si>
  <si>
    <t>Jan</t>
  </si>
  <si>
    <t>DP FEBUARI 2024 via FO</t>
  </si>
  <si>
    <t>DP FABUARI 2024 via BCA</t>
  </si>
  <si>
    <t>SUM TOTAL</t>
  </si>
  <si>
    <t>Total Jan 2024</t>
  </si>
  <si>
    <t>TOTAL 2023 &amp; 2024</t>
  </si>
  <si>
    <t>OOD TOKO</t>
  </si>
  <si>
    <t>BRI kandang</t>
  </si>
  <si>
    <t xml:space="preserve">Dana Umroh </t>
  </si>
  <si>
    <t>LABA BERSIH</t>
  </si>
  <si>
    <t>Tabungan Wajib</t>
  </si>
  <si>
    <t xml:space="preserve"> Saldo Awal MARET 2024</t>
  </si>
  <si>
    <t>Casual Service an. Wawan ( 04582)</t>
  </si>
  <si>
    <t>Belanja Lundry</t>
  </si>
  <si>
    <t>Bayar XL Prioritas</t>
  </si>
  <si>
    <t>Refil gas dan galon</t>
  </si>
  <si>
    <t>Belanja Asri Graha</t>
  </si>
  <si>
    <t>Casual HK an. Pak Agus ( 04583)</t>
  </si>
  <si>
    <t>R. 200 an. SIGIT ZULIANTO (07074)</t>
  </si>
  <si>
    <t>DP Group a/n Ardiansyah Tour Travel (04584)</t>
  </si>
  <si>
    <t>Casual Service an. Wawan ( 04585)</t>
  </si>
  <si>
    <t>Storan Asri graha ( 04586)</t>
  </si>
  <si>
    <t>Belanja Daour</t>
  </si>
  <si>
    <t>Belanja Mineral botol dan gelas</t>
  </si>
  <si>
    <t>Rekap Gaji Feb an. surya ( 04587)</t>
  </si>
  <si>
    <t>Dp Group an. Yayan maulana ( 04588) bca</t>
  </si>
  <si>
    <t>Dp Group an. 2d tnt (04589) bca</t>
  </si>
  <si>
    <t>Fee Renovasi Kamar mandi Umum Sgh ( 04590)</t>
  </si>
  <si>
    <t>Casual HK an. Pak Agus (04591)</t>
  </si>
  <si>
    <t>Pelunasan GO a/n Universitas Merdeka Malang (0993)</t>
  </si>
  <si>
    <t>Pelunasan GO a/n Bapak Aris (0991)</t>
  </si>
  <si>
    <t>Parkir Bus (04592)</t>
  </si>
  <si>
    <t>Beli Pasir Renov Musholla</t>
  </si>
  <si>
    <t>Casual Servis BF a/n Setiawan (04594)</t>
  </si>
  <si>
    <t>Casual Servis Dinner 02/03/2024 a/n Setiawan (04593)</t>
  </si>
  <si>
    <t>Refill Galon</t>
  </si>
  <si>
    <t>Beli Minyak Goreng</t>
  </si>
  <si>
    <t>R.310 a/n Giena Sitha (07075)Tiket.com</t>
  </si>
  <si>
    <t>Casual HK a/n Tian (04595)</t>
  </si>
  <si>
    <t>Casual Laundry a/n Agus (04596)</t>
  </si>
  <si>
    <t>Bayar Sewa Kursi</t>
  </si>
  <si>
    <t>Pelunasan GO a/n Rofiq Tour Travel (0994)</t>
  </si>
  <si>
    <t>Pelunasan GO a.n Mts Al Imaroh (0995)</t>
  </si>
  <si>
    <t>Fee dinner casual fbs a.n Wawan (04597)</t>
  </si>
  <si>
    <t>Beli Ballpoint Pen / Bolpen</t>
  </si>
  <si>
    <t>Beli minyak goreng</t>
  </si>
  <si>
    <t>Beli Snack</t>
  </si>
  <si>
    <t>DP Group a/n Jawiyata/SMPN 1 Rajapolah (04598)BCA</t>
  </si>
  <si>
    <t>Belanja Dapur 2</t>
  </si>
  <si>
    <t>DP Group a/n Maheswari Tour Travel (04599)</t>
  </si>
  <si>
    <t>Casual Servis a/n Setiawan (04600)</t>
  </si>
  <si>
    <t>Belanja Engineering 2</t>
  </si>
  <si>
    <t>Belanja Engineering 3</t>
  </si>
  <si>
    <t>Belanja Engineering Asri Graha</t>
  </si>
  <si>
    <t>Bayar Langganan OX Parabola</t>
  </si>
  <si>
    <t>Casual HK a/n Agus (04601)</t>
  </si>
  <si>
    <t>Belanja Engineering 4</t>
  </si>
  <si>
    <t>Belanja Dapur3</t>
  </si>
  <si>
    <t>Kasbon Tukang Renov Musholla (04602)</t>
  </si>
  <si>
    <t>Servis AC</t>
  </si>
  <si>
    <t>Pelunasan GO a/n Ibu Zaidah (0996)</t>
  </si>
  <si>
    <t>Pembayaran Sisa Tagihan Group a/n Universitas Merdeka Malang (04603)BCA</t>
  </si>
  <si>
    <t>Bayar sewa Proyektor</t>
  </si>
  <si>
    <t>Fee dinner casual a.n Wawan (04604)</t>
  </si>
  <si>
    <t>R.219 a.n Indrawati (07076)</t>
  </si>
  <si>
    <t>Pelunasan Group an. Yudi 2D tnt (0998) via bca</t>
  </si>
  <si>
    <t>Bayar Sewa Bad</t>
  </si>
  <si>
    <t>Storan Asri graha ( 04605)</t>
  </si>
  <si>
    <t>Casual Service an. Wawan ( 04606)</t>
  </si>
  <si>
    <t>Pelunasan Group an. Ibu Asri ( 0992)</t>
  </si>
  <si>
    <t>Pelunasan Group an. Rickho ( 0997)</t>
  </si>
  <si>
    <t>Bayar Tunggakan Pajak ANG-3 THN 2015</t>
  </si>
  <si>
    <t>Belaja Dapur</t>
  </si>
  <si>
    <t>Belanja Resto</t>
  </si>
  <si>
    <t>Casual HK an. Hafidz ( 04607)</t>
  </si>
  <si>
    <t>Casual HK an. Pak Agus ( 04608)</t>
  </si>
  <si>
    <t>Pelunasan Group an. B&amp;B tnt ( 0998) via bca</t>
  </si>
  <si>
    <t>Handle parkir Bus 14 , 3 Hari ( 04609)</t>
  </si>
  <si>
    <t>Handle Parkir Meeting ibu zaidah ( 04610)</t>
  </si>
  <si>
    <t>Casual Service an. Wawan ( 04611)</t>
  </si>
  <si>
    <t>Belanja Toko Butik</t>
  </si>
  <si>
    <t>belanja Resto ( Gula)</t>
  </si>
  <si>
    <t>Pelunasan Group an. Ardiyansyah tnt ( 1001)</t>
  </si>
  <si>
    <t>Refil Gas Dan Galon</t>
  </si>
  <si>
    <t>Dp Group an. Alesta Bogor Tnt ( 04612)</t>
  </si>
  <si>
    <t>Belanja Dekor Rmadhan</t>
  </si>
  <si>
    <t>Belanja Proyek</t>
  </si>
  <si>
    <t>Casual Laundry an. pak agus ( 04613)</t>
  </si>
  <si>
    <t>Uang sampah</t>
  </si>
  <si>
    <t>DP group a.n Bp Rijal/Smk Alam Mekar Bekasi (04614) BCA</t>
  </si>
  <si>
    <t>Storan Asri graha ( 04615)</t>
  </si>
  <si>
    <t>Belanja Materai</t>
  </si>
  <si>
    <t>Belanja Bensin APV</t>
  </si>
  <si>
    <t>Belanja Renov Km. Umum SGH</t>
  </si>
  <si>
    <t>Dp Group an. Mamat tnt bndg (04616) bca</t>
  </si>
  <si>
    <t>Berlanja Renov Mushola</t>
  </si>
  <si>
    <t>Casual Laundry an. pak agus ( 04617)</t>
  </si>
  <si>
    <t>Pelunasan Group an. Smk insan nasional ( 1000)</t>
  </si>
  <si>
    <t>R.203 a/n Choirul Hidayat (07077)</t>
  </si>
  <si>
    <t>belanja sayur</t>
  </si>
  <si>
    <t>Setoran Asri Graha Hotel (04618)</t>
  </si>
  <si>
    <t>Pendapatan Berenang kelas TK besar (04619)</t>
  </si>
  <si>
    <t>Pendapatan Berenang Kelas Pra SD (04620)</t>
  </si>
  <si>
    <t>Refill Gas dan galon</t>
  </si>
  <si>
    <t>Fee casual HK a.n Agus (04621)</t>
  </si>
  <si>
    <t>Beli Kuota Marketing</t>
  </si>
  <si>
    <t>Pelunasan GO a/n Hadi/HR Tour Subang (1002)</t>
  </si>
  <si>
    <t>Beli Garam (04622)</t>
  </si>
  <si>
    <t>Cetak laporan dan Jilid</t>
  </si>
  <si>
    <t>Beli es batu untuk Resto</t>
  </si>
  <si>
    <t>Belanja Snack dan Buah untuk Meeting RUPS RSI Hidayatullah</t>
  </si>
  <si>
    <t>Handle parkir Bus 3 hari (04623)</t>
  </si>
  <si>
    <t>Beli Juz avocado untuk Bu ita</t>
  </si>
  <si>
    <t>Parkir mobil Bank BCA</t>
  </si>
  <si>
    <t>Belanja Renovasi mushola (semen)</t>
  </si>
  <si>
    <t>Beli Kantong Plastik</t>
  </si>
  <si>
    <t>DP Group a.n Kurnia Tour (04624) via BCA</t>
  </si>
  <si>
    <t>Fee casual fbs a.n Wawan (04625)</t>
  </si>
  <si>
    <t>R.120 a.n Nur Peni (07078) Lunas Trav</t>
  </si>
  <si>
    <t>Refund kelebihan pembayaran BNB Tour Travel CI 05/03/2024 (MUTASI)</t>
  </si>
  <si>
    <t>R.301 a.n M.Fatkhur rozi (07079)</t>
  </si>
  <si>
    <t>Bayar Sewa Proyektor</t>
  </si>
  <si>
    <t>Kasbon Karyawan a.n Rubingun</t>
  </si>
  <si>
    <t>R.133 a/n Erwin Kidingallo (07080)Tiket.com</t>
  </si>
  <si>
    <t>Belanja Snack + parkir + transport RUPS SHG</t>
  </si>
  <si>
    <t>Belanja Bolpoin RUPS SGH</t>
  </si>
  <si>
    <t>Belanja Sosis RUPS SGH</t>
  </si>
  <si>
    <t>Belanja Dapur RUPS SGH</t>
  </si>
  <si>
    <t>Belanja Roti RUPS SGH</t>
  </si>
  <si>
    <t>Belanja Buah RUPS SGH</t>
  </si>
  <si>
    <t>Belanja Tisu RUPS SGH</t>
  </si>
  <si>
    <t>R. 303 an. Andy Setiawan ( 07081)</t>
  </si>
  <si>
    <t>Belanja Butik + parkir</t>
  </si>
  <si>
    <t>R. 301 an. M. Fatkhurrozi ( 07082)</t>
  </si>
  <si>
    <t>R. 200 an. Cipto ( 07083)</t>
  </si>
  <si>
    <t>R. 302,304 an. Erwin K ( 07084) TIKET</t>
  </si>
  <si>
    <t>Tambahan Room an. Erwin u/ tgl 11/03/24 (04626)</t>
  </si>
  <si>
    <t>Pendapatan Renang (04627)</t>
  </si>
  <si>
    <t>R. 105,309 an. Aas Rolani ( 07085) bca</t>
  </si>
  <si>
    <t>R.207 a/n M Yahya Al Ikhsan (07086)</t>
  </si>
  <si>
    <t>R.208 a/n Rina Prihatin (07087)TRAV</t>
  </si>
  <si>
    <t>R.204 a/n Ardi Kurniawan (07088)BCA</t>
  </si>
  <si>
    <t>Belanja Dapur Renov Mushola</t>
  </si>
  <si>
    <t>Storan Asri graha ( 04628)</t>
  </si>
  <si>
    <t>Extend R. 200 an. Cipta T (07089) BCA</t>
  </si>
  <si>
    <t>Belanja Butik SGH</t>
  </si>
  <si>
    <t>R. 202 an. Nur ,M ( 07090) TRAV</t>
  </si>
  <si>
    <t>Dp Bukber 22 maret 2024 a.n Skaven (04629)</t>
  </si>
  <si>
    <t>R.204 extend a.n Ardi kurniawan (07091) BCA</t>
  </si>
  <si>
    <t>Storan Asri graaha 04630)</t>
  </si>
  <si>
    <t>Belanja u/ Mkan Tukang renov Mushola 2 hari</t>
  </si>
  <si>
    <t>Ext R. 200 an. Cipta (07092) bca</t>
  </si>
  <si>
    <t>Belanja Parcel</t>
  </si>
  <si>
    <t>Dp Bukber an. UMI SJ (04631) BCA</t>
  </si>
  <si>
    <t>Belanja Cat</t>
  </si>
  <si>
    <t>Belajna Renov Mushola</t>
  </si>
  <si>
    <t>Belanja Renov Hotel</t>
  </si>
  <si>
    <t>R. 207 an. Siti Aisyah ( 07093)</t>
  </si>
  <si>
    <t>Belanja ES Resto</t>
  </si>
  <si>
    <t>R.208 a.n Maria dwi Ikawanti (07094) Lunas Trav</t>
  </si>
  <si>
    <t>Storan Asri graha (04632)</t>
  </si>
  <si>
    <t>Kasbon Asri graha u/ bayar Bulanan ( 04633)</t>
  </si>
  <si>
    <t>Bayar Listrik 8 token</t>
  </si>
  <si>
    <t>Bayar Wifi</t>
  </si>
  <si>
    <t>Bayar Telfon 2 nomor</t>
  </si>
  <si>
    <t>Bayar pajak Zeepos</t>
  </si>
  <si>
    <t>Bayar Pajak Hotel</t>
  </si>
  <si>
    <t>Bpjs Kesehatan</t>
  </si>
  <si>
    <t>Bpjs Ketenagakerjaan</t>
  </si>
  <si>
    <t>Bayar Parkir</t>
  </si>
  <si>
    <t>R. 105 an. Widia P ( 07095) TRAV + CASH</t>
  </si>
  <si>
    <t>Kasbo asri bayar pajak</t>
  </si>
  <si>
    <t>Refil Galon</t>
  </si>
  <si>
    <t>Fee Ren. Km Umum ( 04634)</t>
  </si>
  <si>
    <t>R. 207 an. Siti A ( 07096)</t>
  </si>
  <si>
    <t>Pembayaran R. 301 an. Ely Yuliawati ( 07097) bca</t>
  </si>
  <si>
    <t>Pelunasan GO a/n UMISI (1003)</t>
  </si>
  <si>
    <t>Storan Asri graha ( 04635)</t>
  </si>
  <si>
    <t>Jasa Ukir 2 Pintu Mushola</t>
  </si>
  <si>
    <t>Dp Group an. Bapak Priyo (04636)</t>
  </si>
  <si>
    <t>R. 200 an. Siti Aisyah (07098)</t>
  </si>
  <si>
    <t>Belnaja Renov Hotel</t>
  </si>
  <si>
    <t>Pembayaran Renov Mushola Termin thp 7.8.9</t>
  </si>
  <si>
    <t>Kasbon Pak supri</t>
  </si>
  <si>
    <t>Pengembalian Kasbon Tukang Mushola Thp -1 (04638)</t>
  </si>
  <si>
    <t>Kasbon Pak Adrian</t>
  </si>
  <si>
    <t>Bayar Retribusi Limbah</t>
  </si>
  <si>
    <t>DP Kalender Meja Sales Kit</t>
  </si>
  <si>
    <t>DP Group a/n Pasa Tour Jogja (04639)BCA</t>
  </si>
  <si>
    <t>Bayar Tukang Servis Pompa Air Asri Graha (04640)</t>
  </si>
  <si>
    <t>Kasbon Karyawan a/n bu Sudariah</t>
  </si>
  <si>
    <t>Kasbon Karyawan a/n Rista</t>
  </si>
  <si>
    <t>Kasbon Karyawan a/n Zulfiqri</t>
  </si>
  <si>
    <t>R.218 a.n Rendi (07099) via BCA</t>
  </si>
  <si>
    <t>Refil galon</t>
  </si>
  <si>
    <t>Belnja Renov Hotel ( via bca )</t>
  </si>
  <si>
    <t>DP Bukber a.n Syauqy 23 maret 2024 (04641) via BCA</t>
  </si>
  <si>
    <t>R.218 a.n Ayu ninna (07100)</t>
  </si>
  <si>
    <t>Belanja Dapur Renov muashola</t>
  </si>
  <si>
    <t>Belanja Dapur Renov Mushola untuk 3 Hari</t>
  </si>
  <si>
    <t>Storan Asri Graha ( 04642)</t>
  </si>
  <si>
    <t>Belanja Cat renov hotel</t>
  </si>
  <si>
    <t>Service TV</t>
  </si>
  <si>
    <t>Dp Room an. Andreas ( 04644)</t>
  </si>
  <si>
    <t>Dp Group an. Deva Tnt ( 04645) bca</t>
  </si>
  <si>
    <t>Belanja Es resto</t>
  </si>
  <si>
    <t>Setoran Asri graha (04647)</t>
  </si>
  <si>
    <t>Beli Bensin APV</t>
  </si>
  <si>
    <t>Mutasi BPRS DH ke FO</t>
  </si>
  <si>
    <t>Bayar Pajak Tahunan 2023</t>
  </si>
  <si>
    <t>Bayar Pajak Pusat DJP Bulan Maret 2024</t>
  </si>
  <si>
    <t>Belanja Eng Asri graha</t>
  </si>
  <si>
    <t>R.301-302 a.n Agung Kurniawan (07101)</t>
  </si>
  <si>
    <t>R.304 a.n Aldi Febriansyah (07102)</t>
  </si>
  <si>
    <t>refill Galon</t>
  </si>
  <si>
    <t>R.219 a.n Andoko (07103)</t>
  </si>
  <si>
    <t>Belanja Renov hotel</t>
  </si>
  <si>
    <t>Service AC Satya graha</t>
  </si>
  <si>
    <t>DP Ballroom a/n SMP 16 (04648)</t>
  </si>
  <si>
    <t>R.217,105 a/n Andreas (07104)</t>
  </si>
  <si>
    <t>DP Group a/n Lens Travel Project (04649)BCA</t>
  </si>
  <si>
    <t>Ext.R.304 a/n Aldi Febriansyah (07105)</t>
  </si>
  <si>
    <t>Void 04646</t>
  </si>
  <si>
    <t>Belanja LAUNDRY</t>
  </si>
  <si>
    <t>Beli Sterofom BO</t>
  </si>
  <si>
    <t>R. 218 an. Calaudia Delpin ( 07106)</t>
  </si>
  <si>
    <t>R. 301.302 an. Agung K ( 07107)</t>
  </si>
  <si>
    <t>Bayar Cat Renov Hotel</t>
  </si>
  <si>
    <t>Setoran Asri Graha Hotel (04650)</t>
  </si>
  <si>
    <t>Belanja Dapur Event Sahur</t>
  </si>
  <si>
    <t>Dp Group a.n Bapak Reza/ Mts Darussallam (04651) BCA</t>
  </si>
  <si>
    <t>R.107 a.n Claudia Delpin (07108)</t>
  </si>
  <si>
    <t>Bayar pembuatan menu Resto</t>
  </si>
  <si>
    <t>Belanja Renovasi Satya graha</t>
  </si>
  <si>
    <t>R.301,302,304 a.n Agung Kurniawan (07109) via BCA dan Cash</t>
  </si>
  <si>
    <t>DP Bukber a.n Smp 15 Yogyakarta 30/03/2024 (04652) BCA</t>
  </si>
  <si>
    <t>Belanja dapur Karyawan 4 hari</t>
  </si>
  <si>
    <t>Belanja dapur Event</t>
  </si>
  <si>
    <t>DP Bukber a.n SMK N 1 BANTUL 28 Maret 2024 (04653) BCA</t>
  </si>
  <si>
    <t>R.301,302,304 a.n Agung kurniawan (07110)</t>
  </si>
  <si>
    <t>Sample Parcel</t>
  </si>
  <si>
    <t>Beli sabun cuci piring/mama lemon</t>
  </si>
  <si>
    <t>Belanja Renovasi Mushola (kusen)</t>
  </si>
  <si>
    <t>Kasbon Karyawan a.n Pak adrian</t>
  </si>
  <si>
    <t>Kasbon Tukang Mushola a.n Arif (04654)</t>
  </si>
  <si>
    <t>Beli es batu untuk bukber</t>
  </si>
  <si>
    <t>DP Bukber a/n SMK Muh 4 Jogja/Dapin (04655)</t>
  </si>
  <si>
    <t>Pelunasan GO Bukber a/n SMK 7 Yogyakarta (1005)</t>
  </si>
  <si>
    <t>Pelunasan GO a/n Kak Nad (1004)BCA+Cash</t>
  </si>
  <si>
    <t>Bayar Tukang Pompa Air Asri Graha (04656)</t>
  </si>
  <si>
    <t>Ext.R.301,302,304 a/n Agung Kurniawan (07111)</t>
  </si>
  <si>
    <t>Pelunasan Kalender Meja Hotel</t>
  </si>
  <si>
    <t>Storan Asri graha ( 04657)</t>
  </si>
  <si>
    <t>Dp Group an. Bapk Subroto .DS ( 04658) BCA</t>
  </si>
  <si>
    <t>Dp Bukber an. Aula Nur M ( 04659) BCA</t>
  </si>
  <si>
    <t>R. 307 an. Novi K ( 07112)</t>
  </si>
  <si>
    <t>Dana Sosial Masjid Nurul Huda CSR (04660)</t>
  </si>
  <si>
    <t>Bayar Pac dan kaporit</t>
  </si>
  <si>
    <t>Fee Renov K.M umumsgh ( 04661)</t>
  </si>
  <si>
    <t>Pengambilan Pintu Ukir 2 pcs ( 04662)</t>
  </si>
  <si>
    <t>Pendapatan Renang ( 04663)</t>
  </si>
  <si>
    <t>Dp Bukber an. Dimas Industri ( 04664)</t>
  </si>
  <si>
    <t>Pembayaran Termin 10 Renov Mushola ( 04665)</t>
  </si>
  <si>
    <t>Pembayaran Kasbon Tukang Mushola tgl22/03/24 ( 04666)</t>
  </si>
  <si>
    <t>Pelunasan Booking Kamar 306 a.n Rizqi ariffanto (04667)</t>
  </si>
  <si>
    <t>R.305 a.n Annisaa Nurrohim (07113) Lunas Trav</t>
  </si>
  <si>
    <t>R.301,302,304 a.n Nisa Rana Dini (07114)</t>
  </si>
  <si>
    <t>Patroli ( 04468)</t>
  </si>
  <si>
    <t>R. 307 an. Novi Kusuma Sari ( 07115) bca</t>
  </si>
  <si>
    <t>Belanja Dapur Event bukber</t>
  </si>
  <si>
    <t>Belanja Dapur Event bukber tgl 22 maret 24</t>
  </si>
  <si>
    <t>Dp Group an. Fitroh De java Tour ( 04669) bca</t>
  </si>
  <si>
    <t>R. 105 Agnes Inten ( 07116) bca</t>
  </si>
  <si>
    <t>Belanja ES</t>
  </si>
  <si>
    <t>Pendapatan Renang (04670)</t>
  </si>
  <si>
    <t>Beli Baygon</t>
  </si>
  <si>
    <t>Pelunasan GO Bukber a.n Formagonta (1006) cash dan Transfer BCA</t>
  </si>
  <si>
    <t>Pelunasan GO Bukber a.n Group Komunikasi 22Kelas D (1005)</t>
  </si>
  <si>
    <t>Handle parkir bus 2 hari (04671)</t>
  </si>
  <si>
    <t>R.219 a.n Rendi Alvah (07117)</t>
  </si>
  <si>
    <t>Patroli (04672)</t>
  </si>
  <si>
    <t>Storan Asri graha (04673)</t>
  </si>
  <si>
    <t>Isi tinta BO</t>
  </si>
  <si>
    <t>Dana Sosial u/ Masjid Baitul Naim ( 04674)</t>
  </si>
  <si>
    <t>Fee CAT pintu kmr 5 Asri graha ( 04675)</t>
  </si>
  <si>
    <t>Belnaja Renov Mushola</t>
  </si>
  <si>
    <t>DP Group a/n Ufi Tour Travel (04676)BCA</t>
  </si>
  <si>
    <t>Patroli (04677)</t>
  </si>
  <si>
    <t>Bayar Retribusi Sampah</t>
  </si>
  <si>
    <t>Bayar Iuran Bulanan Kampung kebrokan</t>
  </si>
  <si>
    <t>Mutasi Dari BCA ( BU WATI )</t>
  </si>
  <si>
    <t>Belanja Mineral Gelas dan Botol + sabun</t>
  </si>
  <si>
    <t>R.301,302 a/n Masrochin Huda (07118)</t>
  </si>
  <si>
    <t>R.304 a/n Sukardi (07119)</t>
  </si>
  <si>
    <t>patroli (04680)</t>
  </si>
  <si>
    <t>DP group a.n PT sembilan sembilan Batang (04678) via BCA</t>
  </si>
  <si>
    <t>Setoran Asri Graha (04679)</t>
  </si>
  <si>
    <t>Pembayaran sewa Scaffolding Renovasi Mushola</t>
  </si>
  <si>
    <t>Belanja HK sabun mandi</t>
  </si>
  <si>
    <t>Kasbon Karyawan a.n Pak Rahman</t>
  </si>
  <si>
    <t>Parcel</t>
  </si>
  <si>
    <t>DP Group a/n Bp Iyan Garut (04681)BCA</t>
  </si>
  <si>
    <t>Belanja ATK</t>
  </si>
  <si>
    <t>Pelunasan GO Bukber a/n SMK Muh 4 Yogyakarta (1010)</t>
  </si>
  <si>
    <t>Setoran Asri Graha (04682)</t>
  </si>
  <si>
    <t>Beli Photo paper</t>
  </si>
  <si>
    <t>Beli baterai Alkaline</t>
  </si>
  <si>
    <t>Belanja Renov Mushola (Engsel solid)</t>
  </si>
  <si>
    <t>Belanja ATK + Parkir</t>
  </si>
  <si>
    <t>Pelunasan Fee Tukang KM Umum SGH (04683)</t>
  </si>
  <si>
    <t>DP Bukber a.n Wisnu 31 maret 2024 (04684)</t>
  </si>
  <si>
    <t>Pelunasan Bukber a.n Smk N 1 Bantul (1009)</t>
  </si>
  <si>
    <t>Beli es batu</t>
  </si>
  <si>
    <t>DP Bubkber a/n Ibu Retno (04685)BCA</t>
  </si>
  <si>
    <t>Bayar Guest Billk Asri Graha</t>
  </si>
  <si>
    <t>Bayar Logo Yayasan Siti Romlah</t>
  </si>
  <si>
    <t>Parkir Bukber 3 Kali 22,24,28 Maret 2024 (04686)</t>
  </si>
  <si>
    <t>Casual Servis a/n Silvi (04687)</t>
  </si>
  <si>
    <t>Pelunasan GO Bukber a/n SMP 16 (1008)</t>
  </si>
  <si>
    <t>Storan Asri graha ( 04688)</t>
  </si>
  <si>
    <t>Belanja Dapur event</t>
  </si>
  <si>
    <t>R. 301 an. Sih Trimani ( 07120) + early</t>
  </si>
  <si>
    <t>Belanja Kecap</t>
  </si>
  <si>
    <t>Bayar Sewa Sendok dan cangkir</t>
  </si>
  <si>
    <t>Belanja Es batu</t>
  </si>
  <si>
    <t>R. 303 an. Faizal Arifin (07121) tiket</t>
  </si>
  <si>
    <t>Pelunasan GO Bukber a.n Ibu retno (1011)</t>
  </si>
  <si>
    <t>Pelunasan GO Bukber a.n UNY TEKDUS 23 (1012)</t>
  </si>
  <si>
    <t>Storan Asri graha ( 04689)</t>
  </si>
  <si>
    <t>Belanja HK + PARKIR</t>
  </si>
  <si>
    <t>R. 301 an. Sih Trimani (07122) bca</t>
  </si>
  <si>
    <t>Belanja Parcel + PARKIR</t>
  </si>
  <si>
    <t>R. 202 an. Rizki N ( 07123)</t>
  </si>
  <si>
    <t>Dp Room an. Indra ( 04690) bca</t>
  </si>
  <si>
    <t>Pelunasan GO a.n ALUMNI 15 (1013)</t>
  </si>
  <si>
    <t>Fee Dinner casual fbs a.n Uus (04691)</t>
  </si>
  <si>
    <t>Belanja Dapur Event</t>
  </si>
  <si>
    <t>Pelunasan Bukber an. NORTHSECTOR ( 1014)</t>
  </si>
  <si>
    <t>Parkir Bukber (04692)</t>
  </si>
  <si>
    <t>R.302 a/n Bambang Irawan (07124)</t>
  </si>
  <si>
    <t>Mutasi BPRS MADINA ke BCA GIRO</t>
  </si>
  <si>
    <t>Mutasi rek EDC BCA ke BCA GIRO</t>
  </si>
  <si>
    <t>Mutasi Rek EDC BCA ke BCA GIRO</t>
  </si>
  <si>
    <t>Mutasi Deposito ke rek BPRS DH</t>
  </si>
  <si>
    <t>REK EDC</t>
  </si>
  <si>
    <t>MUTASI DARI BCA KE FO</t>
  </si>
  <si>
    <t>MARKETING</t>
  </si>
  <si>
    <t>RENOVASI ASRI</t>
  </si>
  <si>
    <t>PAJAK TUNGGAKAN</t>
  </si>
  <si>
    <t>mobil</t>
  </si>
  <si>
    <t>Belanja Eng (lakban utk marketing)</t>
  </si>
  <si>
    <t>KASBON KARYAWAN SGH</t>
  </si>
  <si>
    <t>TELEPON</t>
  </si>
  <si>
    <t>PAJAK AIR &amp; TANAH</t>
  </si>
  <si>
    <t>PAJAK DAERAH ZEEPOS</t>
  </si>
  <si>
    <t>PAJAK DJP</t>
  </si>
  <si>
    <t>BPJS KESEHATAN</t>
  </si>
  <si>
    <t>BPJS KETENAGAKERJAAN</t>
  </si>
  <si>
    <t>RETRIBUSI LIMBAH</t>
  </si>
  <si>
    <t>Belanja Dapur Renov mushola</t>
  </si>
  <si>
    <t xml:space="preserve">PAJAK PUSAT DJP </t>
  </si>
  <si>
    <t>RETRIBUSI SAMPAH</t>
  </si>
  <si>
    <t>KASBON KARYAWAN</t>
  </si>
  <si>
    <t>THR</t>
  </si>
  <si>
    <t>30</t>
  </si>
  <si>
    <t>31</t>
  </si>
  <si>
    <t>REKAP OOD MARET 2024</t>
  </si>
  <si>
    <t>07074</t>
  </si>
  <si>
    <t>07075</t>
  </si>
  <si>
    <t>07076</t>
  </si>
  <si>
    <t>07077</t>
  </si>
  <si>
    <t>07078</t>
  </si>
  <si>
    <t>07079</t>
  </si>
  <si>
    <t>07080</t>
  </si>
  <si>
    <t>07081</t>
  </si>
  <si>
    <t>07082</t>
  </si>
  <si>
    <t>07083</t>
  </si>
  <si>
    <t>07084</t>
  </si>
  <si>
    <t>07085</t>
  </si>
  <si>
    <t>07086</t>
  </si>
  <si>
    <t>07087</t>
  </si>
  <si>
    <t>07088</t>
  </si>
  <si>
    <t>07089</t>
  </si>
  <si>
    <t>07090</t>
  </si>
  <si>
    <t>07091</t>
  </si>
  <si>
    <t>07092</t>
  </si>
  <si>
    <t>07093</t>
  </si>
  <si>
    <t>07094</t>
  </si>
  <si>
    <t>07095</t>
  </si>
  <si>
    <t>07096</t>
  </si>
  <si>
    <t>07097</t>
  </si>
  <si>
    <t>07098</t>
  </si>
  <si>
    <t>07099</t>
  </si>
  <si>
    <t>07100</t>
  </si>
  <si>
    <t>07101</t>
  </si>
  <si>
    <t>07102</t>
  </si>
  <si>
    <t>07103</t>
  </si>
  <si>
    <t>07104</t>
  </si>
  <si>
    <t>07105</t>
  </si>
  <si>
    <t>07106</t>
  </si>
  <si>
    <t>07107</t>
  </si>
  <si>
    <t>07108</t>
  </si>
  <si>
    <t>07109</t>
  </si>
  <si>
    <t>07110</t>
  </si>
  <si>
    <t>07111</t>
  </si>
  <si>
    <t>07112</t>
  </si>
  <si>
    <t>07113</t>
  </si>
  <si>
    <t>07114</t>
  </si>
  <si>
    <t>07115</t>
  </si>
  <si>
    <t>07116</t>
  </si>
  <si>
    <t>07117</t>
  </si>
  <si>
    <t>07118</t>
  </si>
  <si>
    <t>07119</t>
  </si>
  <si>
    <t>07120</t>
  </si>
  <si>
    <t>07121</t>
  </si>
  <si>
    <t>07122</t>
  </si>
  <si>
    <t>07123</t>
  </si>
  <si>
    <t>07124</t>
  </si>
  <si>
    <t>SPR,DLX</t>
  </si>
  <si>
    <t>STD &amp; DLX</t>
  </si>
  <si>
    <t>PEMBAYARAN TGL 18/03/24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</si>
  <si>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</si>
  <si>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</si>
  <si>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</si>
  <si>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</si>
  <si>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</si>
  <si>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</si>
  <si>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</si>
  <si>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</si>
  <si>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</si>
  <si>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</si>
  <si>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</si>
  <si>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</si>
  <si>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</si>
  <si>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</si>
  <si>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</si>
  <si>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</si>
  <si>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</si>
  <si>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</si>
  <si>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</si>
  <si>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</si>
  <si>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</si>
  <si>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</si>
  <si>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</si>
  <si>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</si>
  <si>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Pak BADRI</t>
  </si>
  <si>
    <t>DP 1 CASH 16/08/2023</t>
  </si>
  <si>
    <t>03706</t>
  </si>
  <si>
    <t>DP 1 BCA 23/02/2024</t>
  </si>
  <si>
    <t>DP 1 BCA 29/02/2024 &amp; tambahan pelunasan 04/03/24</t>
  </si>
  <si>
    <t>04580 - 04603</t>
  </si>
  <si>
    <t>DP 1 CASH 22/01/2024</t>
  </si>
  <si>
    <t>04417</t>
  </si>
  <si>
    <t>DP 1 BCA 12/01/2024</t>
  </si>
  <si>
    <t>04360</t>
  </si>
  <si>
    <t>DP CASH 22/02/2024</t>
  </si>
  <si>
    <t>DP 1 BCA 22/02/2024</t>
  </si>
  <si>
    <t>DP 1 BCA 02/03/2024</t>
  </si>
  <si>
    <t>04589</t>
  </si>
  <si>
    <t>DP 1 BCA 28/08/2023 &amp; DP 2 BCA 29/02/24</t>
  </si>
  <si>
    <t>03747</t>
  </si>
  <si>
    <t>DP 1 BCA 13/02/2024</t>
  </si>
  <si>
    <t>DP 1 CASH 29/02/2024</t>
  </si>
  <si>
    <t>04584</t>
  </si>
  <si>
    <t>DP 1 CASH 19/01/2024</t>
  </si>
  <si>
    <t>04403</t>
  </si>
  <si>
    <t>Pelunasan GO a/n UMISI (1003)-bukber</t>
  </si>
  <si>
    <t>HERI</t>
  </si>
  <si>
    <t>DP 1 BCA 12/03/2024</t>
  </si>
  <si>
    <t>04631</t>
  </si>
  <si>
    <t>DP 1 BCA 24/02/2024</t>
  </si>
  <si>
    <t>DP 1 BCA 11/03/2024</t>
  </si>
  <si>
    <t>04629</t>
  </si>
  <si>
    <t>Pelunasan GO Bukber a.n Group Komunikasi 22Kelas D (1006)</t>
  </si>
  <si>
    <t>DP 1 BCA 23/03,/2024</t>
  </si>
  <si>
    <t>04659</t>
  </si>
  <si>
    <t>Pelunasan GO Bukber a.n Formagonta (1007) cash dan Transfer BCA</t>
  </si>
  <si>
    <t>DP 1 BCA 23/03/2024</t>
  </si>
  <si>
    <t>04641</t>
  </si>
  <si>
    <t>DP 1 CASH 22/03/24</t>
  </si>
  <si>
    <t>04655</t>
  </si>
  <si>
    <t>DP1 BCA 19/03/2024</t>
  </si>
  <si>
    <t>04648</t>
  </si>
  <si>
    <t>DP 1 BCA 28/03/24</t>
  </si>
  <si>
    <t>04653</t>
  </si>
  <si>
    <t>DP BCA 28/03/2024</t>
  </si>
  <si>
    <t>04685</t>
  </si>
  <si>
    <t>DP BCA 23/03/2024</t>
  </si>
  <si>
    <t>04664</t>
  </si>
  <si>
    <t>DP BCA 22/03/2024</t>
  </si>
  <si>
    <t>04652</t>
  </si>
  <si>
    <t>DP CASH 28/03/2024</t>
  </si>
  <si>
    <t>04684</t>
  </si>
  <si>
    <t>Dp Group an. Yayan maulana ( 04588) bca CI 23-24 APRIL 2024 / TF FAOZAN MUSIM</t>
  </si>
  <si>
    <t>Dp Group an. 2d tnt (04589) bca CI 04-05 MARET 2024/ TF YUDI SURYADI</t>
  </si>
  <si>
    <t>DP Group a/n Jawiyata/SMPN 1 Rajapolah (04598)BCA CI 25-26 APRIL 2024 / TF AN ROSYID ALRIZAL</t>
  </si>
  <si>
    <t>DP group a.n Bp Rijal/Smk Alam Mekar Bekasi (04614) BCA CI 29-30 MEI 2024 / TF SARIJAL</t>
  </si>
  <si>
    <t>Dp Group an. Mamat tnt bndg (04616) bca CI 22-23 MEI 2024 / TF MAMAT MTOUR BANDUNG</t>
  </si>
  <si>
    <t>DP Group a.n Kurnia Tour (04624) via BCA CI 25-26 MEI 2024/ TF INDRA KURNIAWAN</t>
  </si>
  <si>
    <t>Dp Bukber an. UMI SJ (04631) BCA TGL 13 MARET 2024</t>
  </si>
  <si>
    <t>DP Group a/n Pasa Tour Jogja (04639)BCA CI 28-29 APRIL 2024 / TF AN HATTA N</t>
  </si>
  <si>
    <t>traveloka</t>
  </si>
  <si>
    <t>DP Bukber a.n Syauqy 23 maret 2024 (04641) via BCA BUKBER 23 MARET 2024/ TF FIOROTINNISA</t>
  </si>
  <si>
    <t>Dp Group an. Deva Tnt ( 046456) bca CI 25-26 MEI 2024 / TF AN FAJAR WAHYUDI</t>
  </si>
  <si>
    <t>DP Group a/n Lens Travel Project (04649)BCA CI 22-23 JUNI 2024 / TF M NUR FAHRIZAL</t>
  </si>
  <si>
    <t>Dp Group a.n Bapak Reza/ Mts Darussallam (04651) BCA CI 01-02 MEI 2024 / TF ABDUR RAHMAN HAMZA</t>
  </si>
  <si>
    <t>DP Bukber a.n Smp 15 Yogyakarta 30/03/2024 (04652) BCA CI 30 MARET 2024</t>
  </si>
  <si>
    <t>DP Bukber a.n SMK N 1 BANTUL 28 Maret 2024 (04653) BCA CI 28 MARET 2024</t>
  </si>
  <si>
    <t>Dp Group an. Bapk Subroto .DS ( 04658) BCA CI 5-6 JULI 2024/ TF AN SUBROTO</t>
  </si>
  <si>
    <t>Dp Bukber an. Aula Nur M ( 04659) BCA BUKBER 24/03/24</t>
  </si>
  <si>
    <t>Dp Group an. Fitroh De java Tour ( 04669) bca CI 20-21 APRIL 2024/ TF AN adib pratama</t>
  </si>
  <si>
    <t>DP BELUM DIKETAHUI</t>
  </si>
  <si>
    <t>DP Group a/n Ufi Tour Travel (04676)BCA CI 29-30 JUNI 2024 / TF AN MAHMUDIN</t>
  </si>
  <si>
    <t>04582</t>
  </si>
  <si>
    <t>04583</t>
  </si>
  <si>
    <t>DP Group a/n Ardiansyah Tour Travel (04584)CI 06-07 MARET 2024</t>
  </si>
  <si>
    <t>04585</t>
  </si>
  <si>
    <t>04586</t>
  </si>
  <si>
    <t>04587</t>
  </si>
  <si>
    <t>04588</t>
  </si>
  <si>
    <t>04590</t>
  </si>
  <si>
    <t>04591</t>
  </si>
  <si>
    <t>04592</t>
  </si>
  <si>
    <t>04593</t>
  </si>
  <si>
    <t>04594</t>
  </si>
  <si>
    <t>04595</t>
  </si>
  <si>
    <t>04596</t>
  </si>
  <si>
    <t>04597</t>
  </si>
  <si>
    <t>04598</t>
  </si>
  <si>
    <t>04599</t>
  </si>
  <si>
    <t>DP Group a/n Maheswari Tour Travel (04599) CI 14-15 MEI 2024</t>
  </si>
  <si>
    <t>04600</t>
  </si>
  <si>
    <t>04601</t>
  </si>
  <si>
    <t>04602</t>
  </si>
  <si>
    <t>04603</t>
  </si>
  <si>
    <t>04604</t>
  </si>
  <si>
    <t>04605</t>
  </si>
  <si>
    <t>04606</t>
  </si>
  <si>
    <t>04607</t>
  </si>
  <si>
    <t>04608</t>
  </si>
  <si>
    <t>04609</t>
  </si>
  <si>
    <t>04610</t>
  </si>
  <si>
    <t>04611</t>
  </si>
  <si>
    <t>04612</t>
  </si>
  <si>
    <t>Dp Group an. Alesta Bogor Tnt ( 04612) CI 02-04 MEI 2024</t>
  </si>
  <si>
    <t>04613</t>
  </si>
  <si>
    <t>04614</t>
  </si>
  <si>
    <t>04615</t>
  </si>
  <si>
    <t>04616</t>
  </si>
  <si>
    <t>04617</t>
  </si>
  <si>
    <t>04618</t>
  </si>
  <si>
    <t>04619</t>
  </si>
  <si>
    <t>masuk ood</t>
  </si>
  <si>
    <t>04620</t>
  </si>
  <si>
    <t>04621</t>
  </si>
  <si>
    <t>04622</t>
  </si>
  <si>
    <t>04623</t>
  </si>
  <si>
    <t>04624</t>
  </si>
  <si>
    <t>04625</t>
  </si>
  <si>
    <t>04626</t>
  </si>
  <si>
    <t>Tambahan Room an. Erwin u/ tgl 11/03/24 (04626)-BILL</t>
  </si>
  <si>
    <t>04627</t>
  </si>
  <si>
    <t>04628</t>
  </si>
  <si>
    <t>04630</t>
  </si>
  <si>
    <t>04632</t>
  </si>
  <si>
    <t>04633</t>
  </si>
  <si>
    <t>04634</t>
  </si>
  <si>
    <t>04635</t>
  </si>
  <si>
    <t>04636</t>
  </si>
  <si>
    <t>Dp Group an. Bapak Priyo (04636) Via FO CI 16-17 JUNI 2024</t>
  </si>
  <si>
    <t>04637</t>
  </si>
  <si>
    <t>04638</t>
  </si>
  <si>
    <t>04639</t>
  </si>
  <si>
    <t>04640</t>
  </si>
  <si>
    <t>04642</t>
  </si>
  <si>
    <t>04643</t>
  </si>
  <si>
    <t>VOID</t>
  </si>
  <si>
    <t>04644</t>
  </si>
  <si>
    <t>Dp Room an. Andreas ( 04644) CI 19 MARET 2024</t>
  </si>
  <si>
    <t>04645</t>
  </si>
  <si>
    <t>04646</t>
  </si>
  <si>
    <t>04647</t>
  </si>
  <si>
    <t>DP Ballroom a/n SMP 16 (04648) BUKBER 01 APRIL 2024</t>
  </si>
  <si>
    <t>04649</t>
  </si>
  <si>
    <t>04650</t>
  </si>
  <si>
    <t>04651</t>
  </si>
  <si>
    <t>04654</t>
  </si>
  <si>
    <t>DP Bukber a/n SMK Muh 4 Jogja/Dapin (04655) CI 28 MARET 2024</t>
  </si>
  <si>
    <t>04656</t>
  </si>
  <si>
    <t>04657</t>
  </si>
  <si>
    <t>04658</t>
  </si>
  <si>
    <t>04660</t>
  </si>
  <si>
    <t>04661</t>
  </si>
  <si>
    <t>04662</t>
  </si>
  <si>
    <t>04663</t>
  </si>
  <si>
    <t>Dp Bukber an. Dimas Industri ( 04664) BUKBER 29 MARET 2024</t>
  </si>
  <si>
    <t>04665</t>
  </si>
  <si>
    <t>04666</t>
  </si>
  <si>
    <t>04667</t>
  </si>
  <si>
    <t>04668</t>
  </si>
  <si>
    <t>04669</t>
  </si>
  <si>
    <t>Dp Group an. Fitroh De java Tour ( 04669) bca CI 20-21 APRIL 2024/ TF AN FITROH</t>
  </si>
  <si>
    <t>04670</t>
  </si>
  <si>
    <t>04671</t>
  </si>
  <si>
    <t>04672</t>
  </si>
  <si>
    <t>04673</t>
  </si>
  <si>
    <t>04674</t>
  </si>
  <si>
    <t>04675</t>
  </si>
  <si>
    <t>04677</t>
  </si>
  <si>
    <t>04678</t>
  </si>
  <si>
    <t>DP group a.n PT sembilan sembilan Batang (04678) via BCA CI 18-19 MEI 2024 / TF MUJI SYUKUR</t>
  </si>
  <si>
    <t>04679</t>
  </si>
  <si>
    <t>04680</t>
  </si>
  <si>
    <t>04681</t>
  </si>
  <si>
    <t>DP Group a/n Bp Iyan Garut (04681)BCA CI 19-20 MEI 2024 / TF RIKA ROMANTIKA</t>
  </si>
  <si>
    <t>04682</t>
  </si>
  <si>
    <t>04683</t>
  </si>
  <si>
    <t>DP Bukber a.n Wisnu 31 maret 2024 (04684) TGL 31 MARET 2024</t>
  </si>
  <si>
    <t>DP Bubkber a/n Ibu Retno (04685)BCA CI 29 MARET 2024 AN NUR WAHYUNINGSIH</t>
  </si>
  <si>
    <t>04686</t>
  </si>
  <si>
    <t>04687</t>
  </si>
  <si>
    <t>04688</t>
  </si>
  <si>
    <t>04689</t>
  </si>
  <si>
    <t>04690</t>
  </si>
  <si>
    <t>Dp Room an. Indra ( 04690) bca CI 11-12 APRIL 2024/ TF AN INDRA</t>
  </si>
  <si>
    <t>04691</t>
  </si>
  <si>
    <t>04692</t>
  </si>
  <si>
    <t>MAR</t>
  </si>
  <si>
    <t>JURNAL KOMPARATIF SATYA GRAHA 2024</t>
  </si>
  <si>
    <t>DP Bubkber a/n Ibu Retno (04685)BCA CI 29 MARET 2024 AN NUR WAHYUNINGRUM</t>
  </si>
  <si>
    <t>DP MARET 2024 via FO</t>
  </si>
  <si>
    <t>DP MARET 2024 via BCA</t>
  </si>
  <si>
    <t>INV 1001</t>
  </si>
  <si>
    <t>INV 1005</t>
  </si>
  <si>
    <t>INV 1014</t>
  </si>
  <si>
    <t>INV 998</t>
  </si>
  <si>
    <t>INV 993</t>
  </si>
  <si>
    <t>INV 1003</t>
  </si>
  <si>
    <t>Dp Group an. Bapak Priyo (04636) CI 16-17 JUNI 2024</t>
  </si>
  <si>
    <t>INV 1007</t>
  </si>
  <si>
    <t>INV 1006</t>
  </si>
  <si>
    <t>INV 1011</t>
  </si>
  <si>
    <t>INV 0991</t>
  </si>
  <si>
    <t>INV 992</t>
  </si>
  <si>
    <t>INV 994</t>
  </si>
  <si>
    <t>INV 995</t>
  </si>
  <si>
    <t>INV 996</t>
  </si>
  <si>
    <t>INV 997</t>
  </si>
  <si>
    <t>INV 999</t>
  </si>
  <si>
    <t>INV 1002</t>
  </si>
  <si>
    <t>INV 1004</t>
  </si>
  <si>
    <t>INV 1008</t>
  </si>
  <si>
    <t>INV 1009</t>
  </si>
  <si>
    <t>INV 1010</t>
  </si>
  <si>
    <t>INV 1012</t>
  </si>
  <si>
    <t>INV 1013</t>
  </si>
  <si>
    <t>INV 1000</t>
  </si>
  <si>
    <t>PAK BADRI</t>
  </si>
  <si>
    <t>MUTASI DARI BPRSDH</t>
  </si>
  <si>
    <t>Rekening BCA HOTEL MARET 2024</t>
  </si>
  <si>
    <t>Rekening BPRS Hidayatullah MARET 2024</t>
  </si>
  <si>
    <t>Rekening BCA GIRO MARET 2024</t>
  </si>
  <si>
    <t>Rekening BCA CV MARET 2024</t>
  </si>
  <si>
    <t>Mutasi BPRS (Deposito)</t>
  </si>
  <si>
    <t>Mutasi RUPS ( Muh Yusuf Anwar)</t>
  </si>
  <si>
    <t>Mutasi RUPS ( Ita Yulistiani )</t>
  </si>
  <si>
    <t>Tarik tunai</t>
  </si>
  <si>
    <t>Gaji Februari 2024-Satya Graha</t>
  </si>
  <si>
    <t>Gaji Februari 2024-Asri Graha</t>
  </si>
  <si>
    <t>Mutasi dari BPRS Madina</t>
  </si>
  <si>
    <t>Mutasi dari Rek EDC</t>
  </si>
  <si>
    <t>Mutasi RUPS ( M Nurul Iman S)</t>
  </si>
  <si>
    <t>Mutasi RUPS ( Herlina Tari S)</t>
  </si>
  <si>
    <t>Mutasi RUPS (Agustina Rahmawati)</t>
  </si>
  <si>
    <t>TOTAL 2024</t>
  </si>
  <si>
    <t>Rekap Aliran Kas Keu MARET 2024</t>
  </si>
  <si>
    <t>PARCEL</t>
  </si>
  <si>
    <t>THR/PARCEL</t>
  </si>
  <si>
    <t>ENGGINERING</t>
  </si>
  <si>
    <t>PAJAK PUSAT DJP</t>
  </si>
  <si>
    <t>KOMISI &amp; BY LANGSUNG</t>
  </si>
  <si>
    <t>TELP</t>
  </si>
  <si>
    <t>KAS MASUK BILL</t>
  </si>
  <si>
    <t>Maret</t>
  </si>
  <si>
    <t>BPRS Madina ke BCA Giro</t>
  </si>
  <si>
    <t>Rek EDC ke BCA Giro</t>
  </si>
  <si>
    <t>Mutasi Deposito ke BPRS DH</t>
  </si>
  <si>
    <t>Admin Januari 2022</t>
  </si>
  <si>
    <t>Admin Februari 2022</t>
  </si>
  <si>
    <t>Setoran Over Booking Maret 2022</t>
  </si>
  <si>
    <t>Admin Maret 2022</t>
  </si>
  <si>
    <t>TARIK TUNAI 25/04/2022</t>
  </si>
  <si>
    <t>Admin dari April 2022 - Februari 2023</t>
  </si>
  <si>
    <t>Setoran Over Booking Maret 2023</t>
  </si>
  <si>
    <t>Admin Maret 2023 - Feb 2024</t>
  </si>
  <si>
    <t>Setoran Over Booking Maret 2024</t>
  </si>
  <si>
    <t>Rekening BPRS DH NOREK 1020100507 a/n Agustina Rahmawati</t>
  </si>
  <si>
    <t>Rekening BPRS DH NOREK 1020100897 a/n Agustina Rahmawati Binti Umar S</t>
  </si>
  <si>
    <t>TARIK TUNAI 26/03/2022</t>
  </si>
  <si>
    <t>Setoran Over Booking 05 Sept 2022</t>
  </si>
  <si>
    <t>Pengambilan OB</t>
  </si>
  <si>
    <t>Setoran Tunai 13 Sept 2022</t>
  </si>
  <si>
    <t>Setoran OB 16 Sept 2022</t>
  </si>
  <si>
    <t>Tarik Tunai 14 Desember 2022</t>
  </si>
  <si>
    <t>Tarik tunai 20 Desember 2022</t>
  </si>
  <si>
    <t>Setoran Over Booking 10 Maret 2023</t>
  </si>
  <si>
    <t>Tarik tunai 13 Maret 2023</t>
  </si>
  <si>
    <t>Rekening BPRS DH NOREK 1020100269 a/n Agustina Rahmawati QQ Satya Graha</t>
  </si>
  <si>
    <t>Admin Februari 2022 - Juli 2022</t>
  </si>
  <si>
    <t>Pengambilan OB 12 Juli 2022</t>
  </si>
  <si>
    <t>Setoran OB 12 Juli 2022</t>
  </si>
  <si>
    <t>Admin dari Agustus 2022 - Oktober 2022</t>
  </si>
  <si>
    <t>Setoran Tunai 23 November 2022</t>
  </si>
  <si>
    <t>Tarik Tunai 01 Desember 2022</t>
  </si>
  <si>
    <t>Setoran Tunai Desember 2022</t>
  </si>
  <si>
    <t>Admin Nov 22- Des 22</t>
  </si>
  <si>
    <t>Admin Januari 2023</t>
  </si>
  <si>
    <t>Setoran Tunai Januari 2023</t>
  </si>
  <si>
    <t>Admin Februari 2023</t>
  </si>
  <si>
    <t>Setoran Tunai Feb 2023</t>
  </si>
  <si>
    <t>Admin Maret 2023</t>
  </si>
  <si>
    <t>Tarik Tunai 28 Feb 2023</t>
  </si>
  <si>
    <t>Setoran Tunai Maret 2023</t>
  </si>
  <si>
    <t>Pengambilan OB Maret 2023</t>
  </si>
  <si>
    <t>Rekening BPRS DH NOREK 1020100637 a/n Agustina Rahmawati DAPEN</t>
  </si>
  <si>
    <t>Admin Januari 2022 - Februari 2023</t>
  </si>
  <si>
    <t>Biaya Parcel</t>
  </si>
  <si>
    <t>Biaya Parcell</t>
  </si>
  <si>
    <t>Mutasi Bank</t>
  </si>
  <si>
    <t>BPR Madina</t>
  </si>
  <si>
    <t>Rek EDC</t>
  </si>
  <si>
    <t>DEPOSITO</t>
  </si>
  <si>
    <t>bca giro</t>
  </si>
  <si>
    <t>Komparatif per 31 maret 2024</t>
  </si>
  <si>
    <t>NERACA 31 MARET 2024</t>
  </si>
  <si>
    <t>Parcel Beras</t>
  </si>
  <si>
    <t>Payment Deviden 2023</t>
  </si>
  <si>
    <t>Pendapatan lainnya</t>
  </si>
  <si>
    <t>Pendapatan Lainnya</t>
  </si>
  <si>
    <t>Transfer ke Ibu Tari (parcel beras)</t>
  </si>
  <si>
    <t>DANA BAT</t>
  </si>
  <si>
    <t>Biaya Bonus Akhir Tahun</t>
  </si>
  <si>
    <t>Biaya Gaji BAT</t>
  </si>
  <si>
    <t>M. Yusuf Anwar</t>
  </si>
  <si>
    <t>Ita Yulistiani</t>
  </si>
  <si>
    <t>PEMBAGIAN LABA</t>
  </si>
  <si>
    <t>LABA 2023</t>
  </si>
  <si>
    <t>LABA 2024</t>
  </si>
  <si>
    <t>M Nurul Iman S</t>
  </si>
  <si>
    <t>Herlina Tari S</t>
  </si>
  <si>
    <t>Agustina Rahmawati</t>
  </si>
  <si>
    <t>Dana cadangan Umum</t>
  </si>
  <si>
    <t>Dana Cad Khusus / CSR</t>
  </si>
  <si>
    <t>Dana Cad Khusus/CSR</t>
  </si>
  <si>
    <t>Piutang Parcel 2024</t>
  </si>
  <si>
    <t>Piutang Parcel</t>
  </si>
  <si>
    <t xml:space="preserve">Piutang Parcel </t>
  </si>
  <si>
    <t>Saldo Awal MARET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</si>
</sst>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_-&quot;Rp&quot;* #,##0_-;\-&quot;Rp&quot;* #,##0_-;_-&quot;Rp&quot;* &quot;-&quot;_-;_-@_-"/>
    <numFmt numFmtId="165" formatCode="_-* #,##0_-;\-* #,##0_-;_-* &quot;-&quot;_-;_-@_-"/>
    <numFmt numFmtId="166" formatCode="_(&quot;$&quot;* #,##0.00_);_(&quot;$&quot;* \(#,##0.00\);_(&quot;$&quot;* &quot;-&quot;??_);_(@_)"/>
    <numFmt numFmtId="167" formatCode="[$-F800]dddd\,\ mmmm\ dd\,\ yyyy"/>
    <numFmt numFmtId="168" formatCode="_(* #,##0_);_(* \(#,##0\);_(* &quot;-&quot;??_);_(@_)"/>
    <numFmt numFmtId="169" formatCode="[$-421]dd\ mmmm\ yyyy;@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  <font>
      <b/>
      <sz val="15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b/>
      <sz val="18"/>
      <color theme="1"/>
      <name val="Calibri"/>
      <family val="2"/>
    </font>
    <font>
      <b/>
      <sz val="13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9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6">
    <xf numFmtId="0" fontId="0" fillId="0" borderId="0"/>
    <xf numFmtId="165" fontId="8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11" fillId="0" borderId="0"/>
    <xf numFmtId="0" fontId="17" fillId="0" borderId="0"/>
    <xf numFmtId="0" fontId="7" fillId="0" borderId="0"/>
    <xf numFmtId="0" fontId="6" fillId="0" borderId="0"/>
    <xf numFmtId="0" fontId="5" fillId="0" borderId="0"/>
    <xf numFmtId="0" fontId="4" fillId="0" borderId="0"/>
    <xf numFmtId="166" fontId="8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9" fontId="8" fillId="0" borderId="0" applyFont="0" applyFill="0" applyBorder="0" applyAlignment="0" applyProtection="0"/>
  </cellStyleXfs>
  <cellXfs count="515">
    <xf numFmtId="0" fontId="0" fillId="0" borderId="0" xfId="0"/>
    <xf numFmtId="165" fontId="9" fillId="0" borderId="1" xfId="1" applyFont="1" applyFill="1" applyBorder="1" applyAlignment="1">
      <alignment vertical="center"/>
    </xf>
    <xf numFmtId="165" fontId="9" fillId="0" borderId="0" xfId="1" applyFont="1" applyFill="1" applyBorder="1" applyAlignment="1">
      <alignment vertical="center"/>
    </xf>
    <xf numFmtId="165" fontId="9" fillId="0" borderId="0" xfId="1" applyFont="1" applyFill="1" applyBorder="1" applyAlignment="1">
      <alignment vertical="center" wrapText="1"/>
    </xf>
    <xf numFmtId="165" fontId="9" fillId="0" borderId="0" xfId="1" applyFont="1" applyFill="1" applyBorder="1"/>
    <xf numFmtId="165" fontId="9" fillId="0" borderId="0" xfId="1" applyFont="1" applyFill="1"/>
    <xf numFmtId="165" fontId="9" fillId="0" borderId="1" xfId="1" applyFont="1" applyFill="1" applyBorder="1"/>
    <xf numFmtId="0" fontId="9" fillId="0" borderId="1" xfId="0" quotePrefix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indent="1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7" xfId="0" applyFont="1" applyBorder="1"/>
    <xf numFmtId="0" fontId="9" fillId="0" borderId="8" xfId="0" applyFont="1" applyBorder="1"/>
    <xf numFmtId="0" fontId="9" fillId="0" borderId="9" xfId="0" quotePrefix="1" applyFont="1" applyBorder="1" applyAlignment="1">
      <alignment horizontal="center" vertical="center"/>
    </xf>
    <xf numFmtId="0" fontId="0" fillId="0" borderId="1" xfId="0" applyBorder="1"/>
    <xf numFmtId="165" fontId="0" fillId="0" borderId="1" xfId="1" applyFont="1" applyBorder="1"/>
    <xf numFmtId="0" fontId="0" fillId="0" borderId="9" xfId="0" applyBorder="1"/>
    <xf numFmtId="0" fontId="9" fillId="0" borderId="11" xfId="0" quotePrefix="1" applyFont="1" applyBorder="1" applyAlignment="1">
      <alignment horizontal="center"/>
    </xf>
    <xf numFmtId="165" fontId="0" fillId="0" borderId="0" xfId="0" applyNumberFormat="1"/>
    <xf numFmtId="41" fontId="9" fillId="0" borderId="0" xfId="0" applyNumberFormat="1" applyFont="1"/>
    <xf numFmtId="0" fontId="9" fillId="0" borderId="0" xfId="0" applyFont="1"/>
    <xf numFmtId="41" fontId="0" fillId="0" borderId="0" xfId="0" applyNumberFormat="1"/>
    <xf numFmtId="16" fontId="9" fillId="0" borderId="1" xfId="1" applyNumberFormat="1" applyFont="1" applyFill="1" applyBorder="1" applyAlignment="1">
      <alignment horizontal="center" vertical="center"/>
    </xf>
    <xf numFmtId="165" fontId="9" fillId="0" borderId="1" xfId="1" applyFont="1" applyFill="1" applyBorder="1" applyAlignment="1">
      <alignment horizontal="center" vertical="center" wrapText="1"/>
    </xf>
    <xf numFmtId="165" fontId="0" fillId="0" borderId="0" xfId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1" xfId="0" applyFont="1" applyBorder="1"/>
    <xf numFmtId="165" fontId="9" fillId="0" borderId="1" xfId="1" applyFont="1" applyBorder="1"/>
    <xf numFmtId="0" fontId="14" fillId="0" borderId="0" xfId="0" applyFont="1" applyAlignment="1">
      <alignment vertical="top"/>
    </xf>
    <xf numFmtId="49" fontId="0" fillId="0" borderId="0" xfId="0" applyNumberFormat="1"/>
    <xf numFmtId="165" fontId="0" fillId="0" borderId="0" xfId="1" applyFont="1" applyFill="1" applyBorder="1"/>
    <xf numFmtId="165" fontId="0" fillId="0" borderId="0" xfId="1" applyFont="1"/>
    <xf numFmtId="165" fontId="0" fillId="0" borderId="0" xfId="1" applyFont="1" applyFill="1"/>
    <xf numFmtId="0" fontId="0" fillId="0" borderId="0" xfId="0" applyAlignment="1">
      <alignment horizontal="center" vertical="center"/>
    </xf>
    <xf numFmtId="165" fontId="0" fillId="0" borderId="1" xfId="1" applyFont="1" applyBorder="1" applyAlignment="1">
      <alignment horizontal="center"/>
    </xf>
    <xf numFmtId="165" fontId="0" fillId="0" borderId="1" xfId="1" applyFont="1" applyFill="1" applyBorder="1" applyAlignment="1">
      <alignment vertical="center"/>
    </xf>
    <xf numFmtId="165" fontId="9" fillId="0" borderId="1" xfId="1" applyFont="1" applyBorder="1" applyAlignment="1">
      <alignment horizontal="center"/>
    </xf>
    <xf numFmtId="42" fontId="0" fillId="0" borderId="0" xfId="0" applyNumberFormat="1"/>
    <xf numFmtId="0" fontId="14" fillId="0" borderId="1" xfId="0" applyFont="1" applyBorder="1" applyAlignment="1">
      <alignment horizontal="center" vertical="top"/>
    </xf>
    <xf numFmtId="167" fontId="14" fillId="0" borderId="1" xfId="0" applyNumberFormat="1" applyFont="1" applyBorder="1" applyAlignment="1">
      <alignment horizontal="center" vertical="top"/>
    </xf>
    <xf numFmtId="165" fontId="9" fillId="0" borderId="1" xfId="1" applyFont="1" applyFill="1" applyBorder="1" applyAlignment="1">
      <alignment horizontal="center" vertical="center"/>
    </xf>
    <xf numFmtId="165" fontId="0" fillId="0" borderId="1" xfId="1" applyFont="1" applyFill="1" applyBorder="1"/>
    <xf numFmtId="165" fontId="9" fillId="0" borderId="11" xfId="1" applyFont="1" applyFill="1" applyBorder="1" applyAlignment="1">
      <alignment horizontal="center" vertical="center"/>
    </xf>
    <xf numFmtId="165" fontId="9" fillId="0" borderId="8" xfId="1" applyFont="1" applyFill="1" applyBorder="1" applyAlignment="1">
      <alignment horizontal="center" vertical="center"/>
    </xf>
    <xf numFmtId="42" fontId="0" fillId="0" borderId="0" xfId="0" applyNumberFormat="1" applyAlignment="1">
      <alignment horizontal="center"/>
    </xf>
    <xf numFmtId="49" fontId="0" fillId="0" borderId="1" xfId="0" applyNumberFormat="1" applyBorder="1"/>
    <xf numFmtId="15" fontId="0" fillId="0" borderId="1" xfId="0" applyNumberFormat="1" applyBorder="1"/>
    <xf numFmtId="42" fontId="0" fillId="0" borderId="1" xfId="0" applyNumberFormat="1" applyBorder="1"/>
    <xf numFmtId="165" fontId="0" fillId="0" borderId="1" xfId="0" applyNumberFormat="1" applyBorder="1"/>
    <xf numFmtId="0" fontId="0" fillId="0" borderId="1" xfId="0" applyBorder="1" applyAlignment="1">
      <alignment wrapText="1"/>
    </xf>
    <xf numFmtId="42" fontId="0" fillId="0" borderId="1" xfId="0" applyNumberFormat="1" applyBorder="1" applyAlignment="1">
      <alignment horizontal="center"/>
    </xf>
    <xf numFmtId="0" fontId="9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4" xfId="0" applyBorder="1"/>
    <xf numFmtId="165" fontId="8" fillId="0" borderId="1" xfId="1" applyFont="1" applyFill="1" applyBorder="1"/>
    <xf numFmtId="0" fontId="0" fillId="0" borderId="0" xfId="0" applyAlignment="1">
      <alignment horizontal="center"/>
    </xf>
    <xf numFmtId="165" fontId="9" fillId="4" borderId="1" xfId="1" applyFont="1" applyFill="1" applyBorder="1"/>
    <xf numFmtId="0" fontId="9" fillId="0" borderId="0" xfId="0" applyFont="1" applyAlignment="1">
      <alignment horizontal="center"/>
    </xf>
    <xf numFmtId="165" fontId="8" fillId="0" borderId="1" xfId="1" applyFont="1" applyBorder="1"/>
    <xf numFmtId="164" fontId="0" fillId="0" borderId="0" xfId="0" applyNumberFormat="1"/>
    <xf numFmtId="15" fontId="0" fillId="0" borderId="11" xfId="0" applyNumberFormat="1" applyBorder="1"/>
    <xf numFmtId="165" fontId="14" fillId="0" borderId="1" xfId="1" applyFont="1" applyFill="1" applyBorder="1"/>
    <xf numFmtId="165" fontId="14" fillId="0" borderId="0" xfId="1" applyFont="1" applyFill="1"/>
    <xf numFmtId="165" fontId="8" fillId="0" borderId="1" xfId="1" applyFont="1" applyFill="1" applyBorder="1" applyAlignment="1">
      <alignment vertical="center"/>
    </xf>
    <xf numFmtId="165" fontId="8" fillId="0" borderId="8" xfId="1" applyFont="1" applyFill="1" applyBorder="1" applyAlignment="1">
      <alignment vertical="center"/>
    </xf>
    <xf numFmtId="165" fontId="8" fillId="0" borderId="0" xfId="1" applyFont="1" applyFill="1"/>
    <xf numFmtId="165" fontId="14" fillId="3" borderId="1" xfId="1" applyFont="1" applyFill="1" applyBorder="1" applyAlignment="1">
      <alignment vertical="center"/>
    </xf>
    <xf numFmtId="165" fontId="0" fillId="4" borderId="1" xfId="1" applyFont="1" applyFill="1" applyBorder="1"/>
    <xf numFmtId="0" fontId="14" fillId="0" borderId="1" xfId="0" applyFont="1" applyBorder="1" applyAlignment="1">
      <alignment wrapText="1"/>
    </xf>
    <xf numFmtId="0" fontId="14" fillId="0" borderId="0" xfId="0" applyFont="1"/>
    <xf numFmtId="0" fontId="0" fillId="5" borderId="1" xfId="0" applyFill="1" applyBorder="1"/>
    <xf numFmtId="0" fontId="14" fillId="0" borderId="0" xfId="0" applyFont="1" applyAlignment="1">
      <alignment horizontal="center" vertical="top"/>
    </xf>
    <xf numFmtId="167" fontId="14" fillId="0" borderId="0" xfId="0" applyNumberFormat="1" applyFont="1" applyAlignment="1">
      <alignment horizontal="center" vertical="top"/>
    </xf>
    <xf numFmtId="42" fontId="14" fillId="0" borderId="1" xfId="1" applyNumberFormat="1" applyFont="1" applyFill="1" applyBorder="1" applyAlignment="1">
      <alignment vertical="top"/>
    </xf>
    <xf numFmtId="42" fontId="8" fillId="0" borderId="0" xfId="0" applyNumberFormat="1" applyFont="1"/>
    <xf numFmtId="165" fontId="0" fillId="0" borderId="8" xfId="1" applyFont="1" applyFill="1" applyBorder="1" applyAlignment="1">
      <alignment vertical="center"/>
    </xf>
    <xf numFmtId="165" fontId="14" fillId="0" borderId="8" xfId="1" applyFont="1" applyFill="1" applyBorder="1" applyAlignment="1">
      <alignment vertical="center"/>
    </xf>
    <xf numFmtId="0" fontId="8" fillId="0" borderId="1" xfId="0" applyFont="1" applyBorder="1" applyAlignment="1">
      <alignment wrapText="1"/>
    </xf>
    <xf numFmtId="165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165" fontId="0" fillId="4" borderId="1" xfId="0" applyNumberFormat="1" applyFill="1" applyBorder="1"/>
    <xf numFmtId="0" fontId="9" fillId="0" borderId="1" xfId="0" applyFont="1" applyBorder="1" applyAlignment="1">
      <alignment horizontal="center"/>
    </xf>
    <xf numFmtId="165" fontId="18" fillId="0" borderId="1" xfId="1" applyFont="1" applyFill="1" applyBorder="1"/>
    <xf numFmtId="41" fontId="14" fillId="0" borderId="1" xfId="0" applyNumberFormat="1" applyFont="1" applyBorder="1" applyAlignment="1">
      <alignment horizontal="left" vertical="center"/>
    </xf>
    <xf numFmtId="41" fontId="14" fillId="0" borderId="1" xfId="2" applyFont="1" applyBorder="1"/>
    <xf numFmtId="0" fontId="18" fillId="0" borderId="0" xfId="0" applyFont="1" applyAlignment="1">
      <alignment horizontal="center" vertical="center"/>
    </xf>
    <xf numFmtId="41" fontId="18" fillId="0" borderId="7" xfId="0" applyNumberFormat="1" applyFont="1" applyBorder="1"/>
    <xf numFmtId="41" fontId="14" fillId="0" borderId="1" xfId="0" applyNumberFormat="1" applyFont="1" applyBorder="1"/>
    <xf numFmtId="165" fontId="14" fillId="0" borderId="1" xfId="1" applyFont="1" applyBorder="1"/>
    <xf numFmtId="41" fontId="14" fillId="0" borderId="7" xfId="0" applyNumberFormat="1" applyFont="1" applyBorder="1"/>
    <xf numFmtId="165" fontId="8" fillId="0" borderId="0" xfId="1" applyFont="1" applyFill="1" applyAlignment="1">
      <alignment horizontal="center"/>
    </xf>
    <xf numFmtId="165" fontId="8" fillId="0" borderId="1" xfId="1" applyFont="1" applyFill="1" applyBorder="1" applyAlignment="1"/>
    <xf numFmtId="165" fontId="8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1" xfId="0" applyFont="1" applyBorder="1"/>
    <xf numFmtId="16" fontId="8" fillId="0" borderId="1" xfId="1" applyNumberFormat="1" applyFont="1" applyFill="1" applyBorder="1" applyAlignment="1">
      <alignment horizontal="center" vertical="center"/>
    </xf>
    <xf numFmtId="165" fontId="8" fillId="0" borderId="1" xfId="1" applyFont="1" applyFill="1" applyBorder="1" applyAlignment="1">
      <alignment horizontal="center" vertical="center" wrapText="1"/>
    </xf>
    <xf numFmtId="165" fontId="8" fillId="0" borderId="0" xfId="1" applyFont="1" applyFill="1" applyAlignment="1">
      <alignment horizontal="center" vertical="center"/>
    </xf>
    <xf numFmtId="15" fontId="0" fillId="0" borderId="1" xfId="0" applyNumberFormat="1" applyBorder="1" applyAlignment="1">
      <alignment vertical="center"/>
    </xf>
    <xf numFmtId="165" fontId="13" fillId="0" borderId="1" xfId="1" applyFont="1" applyFill="1" applyBorder="1" applyAlignment="1">
      <alignment horizontal="center" vertical="center"/>
    </xf>
    <xf numFmtId="165" fontId="14" fillId="0" borderId="1" xfId="1" applyFont="1" applyFill="1" applyBorder="1" applyAlignment="1">
      <alignment vertical="center"/>
    </xf>
    <xf numFmtId="165" fontId="0" fillId="6" borderId="1" xfId="1" applyFont="1" applyFill="1" applyBorder="1"/>
    <xf numFmtId="165" fontId="0" fillId="6" borderId="1" xfId="0" applyNumberFormat="1" applyFill="1" applyBorder="1"/>
    <xf numFmtId="165" fontId="0" fillId="7" borderId="1" xfId="1" applyFont="1" applyFill="1" applyBorder="1"/>
    <xf numFmtId="165" fontId="0" fillId="7" borderId="0" xfId="0" applyNumberFormat="1" applyFill="1"/>
    <xf numFmtId="165" fontId="0" fillId="3" borderId="1" xfId="1" applyFont="1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4" borderId="1" xfId="0" applyFill="1" applyBorder="1" applyAlignment="1">
      <alignment horizontal="center"/>
    </xf>
    <xf numFmtId="42" fontId="14" fillId="0" borderId="0" xfId="1" applyNumberFormat="1" applyFont="1" applyFill="1" applyBorder="1" applyAlignment="1">
      <alignment vertical="top"/>
    </xf>
    <xf numFmtId="165" fontId="14" fillId="0" borderId="3" xfId="1" applyFont="1" applyFill="1" applyBorder="1" applyAlignment="1">
      <alignment horizontal="center" vertical="center"/>
    </xf>
    <xf numFmtId="165" fontId="18" fillId="3" borderId="1" xfId="1" applyFont="1" applyFill="1" applyBorder="1" applyAlignment="1">
      <alignment horizontal="center" vertical="center"/>
    </xf>
    <xf numFmtId="165" fontId="9" fillId="0" borderId="0" xfId="1" applyFont="1" applyFill="1" applyBorder="1" applyAlignment="1">
      <alignment horizontal="center" vertical="center"/>
    </xf>
    <xf numFmtId="165" fontId="9" fillId="0" borderId="0" xfId="1" applyFont="1" applyFill="1" applyBorder="1" applyAlignment="1">
      <alignment horizontal="center" vertical="center" wrapText="1"/>
    </xf>
    <xf numFmtId="165" fontId="9" fillId="0" borderId="0" xfId="1" applyFont="1" applyFill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65" fontId="0" fillId="0" borderId="8" xfId="1" applyFont="1" applyBorder="1"/>
    <xf numFmtId="165" fontId="9" fillId="0" borderId="0" xfId="0" applyNumberFormat="1" applyFont="1"/>
    <xf numFmtId="165" fontId="18" fillId="0" borderId="1" xfId="1" applyFont="1" applyFill="1" applyBorder="1" applyAlignment="1">
      <alignment horizontal="center" vertical="center"/>
    </xf>
    <xf numFmtId="0" fontId="9" fillId="0" borderId="10" xfId="0" quotePrefix="1" applyFont="1" applyBorder="1" applyAlignment="1">
      <alignment vertical="center"/>
    </xf>
    <xf numFmtId="0" fontId="9" fillId="0" borderId="4" xfId="0" quotePrefix="1" applyFont="1" applyBorder="1" applyAlignment="1">
      <alignment vertical="center"/>
    </xf>
    <xf numFmtId="41" fontId="0" fillId="0" borderId="1" xfId="0" applyNumberFormat="1" applyBorder="1"/>
    <xf numFmtId="165" fontId="8" fillId="0" borderId="0" xfId="0" applyNumberFormat="1" applyFont="1"/>
    <xf numFmtId="0" fontId="8" fillId="0" borderId="0" xfId="0" applyFont="1"/>
    <xf numFmtId="165" fontId="8" fillId="0" borderId="1" xfId="0" applyNumberFormat="1" applyFont="1" applyBorder="1"/>
    <xf numFmtId="42" fontId="14" fillId="0" borderId="1" xfId="0" applyNumberFormat="1" applyFont="1" applyBorder="1" applyAlignment="1">
      <alignment horizontal="left"/>
    </xf>
    <xf numFmtId="42" fontId="14" fillId="0" borderId="1" xfId="0" applyNumberFormat="1" applyFont="1" applyBorder="1" applyAlignment="1">
      <alignment horizontal="center"/>
    </xf>
    <xf numFmtId="42" fontId="14" fillId="3" borderId="1" xfId="0" applyNumberFormat="1" applyFont="1" applyFill="1" applyBorder="1" applyAlignment="1">
      <alignment horizontal="center"/>
    </xf>
    <xf numFmtId="42" fontId="14" fillId="5" borderId="1" xfId="0" applyNumberFormat="1" applyFont="1" applyFill="1" applyBorder="1" applyAlignment="1">
      <alignment horizontal="center"/>
    </xf>
    <xf numFmtId="42" fontId="9" fillId="6" borderId="1" xfId="0" applyNumberFormat="1" applyFont="1" applyFill="1" applyBorder="1"/>
    <xf numFmtId="0" fontId="9" fillId="6" borderId="11" xfId="0" applyFont="1" applyFill="1" applyBorder="1" applyAlignment="1">
      <alignment horizontal="center" vertical="center"/>
    </xf>
    <xf numFmtId="165" fontId="18" fillId="0" borderId="1" xfId="1" applyFont="1" applyBorder="1" applyAlignment="1">
      <alignment vertical="center"/>
    </xf>
    <xf numFmtId="165" fontId="14" fillId="0" borderId="0" xfId="1" applyFont="1"/>
    <xf numFmtId="165" fontId="18" fillId="0" borderId="0" xfId="1" applyFont="1" applyBorder="1" applyAlignment="1"/>
    <xf numFmtId="165" fontId="14" fillId="0" borderId="0" xfId="1" applyFont="1" applyBorder="1" applyAlignment="1">
      <alignment vertical="center"/>
    </xf>
    <xf numFmtId="0" fontId="14" fillId="0" borderId="0" xfId="0" applyFont="1" applyAlignment="1">
      <alignment horizontal="center"/>
    </xf>
    <xf numFmtId="165" fontId="0" fillId="8" borderId="1" xfId="1" applyFont="1" applyFill="1" applyBorder="1"/>
    <xf numFmtId="165" fontId="0" fillId="8" borderId="1" xfId="0" applyNumberFormat="1" applyFill="1" applyBorder="1"/>
    <xf numFmtId="41" fontId="0" fillId="0" borderId="0" xfId="1" applyNumberFormat="1" applyFont="1"/>
    <xf numFmtId="41" fontId="13" fillId="0" borderId="1" xfId="1" applyNumberFormat="1" applyFont="1" applyFill="1" applyBorder="1" applyAlignment="1">
      <alignment horizontal="center" vertical="center"/>
    </xf>
    <xf numFmtId="41" fontId="13" fillId="0" borderId="1" xfId="0" applyNumberFormat="1" applyFont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/>
    </xf>
    <xf numFmtId="165" fontId="14" fillId="0" borderId="1" xfId="1" applyFont="1" applyFill="1" applyBorder="1" applyAlignment="1">
      <alignment horizontal="center" vertical="center"/>
    </xf>
    <xf numFmtId="165" fontId="14" fillId="0" borderId="1" xfId="1" applyFont="1" applyFill="1" applyBorder="1" applyAlignment="1">
      <alignment horizontal="left" vertical="center"/>
    </xf>
    <xf numFmtId="0" fontId="14" fillId="0" borderId="3" xfId="1" applyNumberFormat="1" applyFont="1" applyFill="1" applyBorder="1" applyAlignment="1">
      <alignment horizontal="left" vertical="top"/>
    </xf>
    <xf numFmtId="0" fontId="14" fillId="0" borderId="1" xfId="1" applyNumberFormat="1" applyFont="1" applyFill="1" applyBorder="1" applyAlignment="1">
      <alignment horizontal="left" vertical="top"/>
    </xf>
    <xf numFmtId="0" fontId="18" fillId="0" borderId="0" xfId="0" applyFont="1"/>
    <xf numFmtId="0" fontId="14" fillId="0" borderId="1" xfId="1" applyNumberFormat="1" applyFont="1" applyFill="1" applyBorder="1" applyAlignment="1">
      <alignment horizontal="left" vertical="top" wrapText="1"/>
    </xf>
    <xf numFmtId="41" fontId="14" fillId="0" borderId="1" xfId="1" applyNumberFormat="1" applyFont="1" applyBorder="1"/>
    <xf numFmtId="41" fontId="14" fillId="0" borderId="10" xfId="1" applyNumberFormat="1" applyFont="1" applyBorder="1"/>
    <xf numFmtId="0" fontId="14" fillId="0" borderId="1" xfId="0" applyFont="1" applyBorder="1"/>
    <xf numFmtId="41" fontId="14" fillId="0" borderId="1" xfId="1" applyNumberFormat="1" applyFont="1" applyFill="1" applyBorder="1" applyAlignment="1">
      <alignment vertical="center"/>
    </xf>
    <xf numFmtId="41" fontId="14" fillId="0" borderId="10" xfId="0" applyNumberFormat="1" applyFont="1" applyBorder="1"/>
    <xf numFmtId="0" fontId="18" fillId="0" borderId="1" xfId="0" applyFont="1" applyBorder="1"/>
    <xf numFmtId="41" fontId="0" fillId="0" borderId="1" xfId="0" applyNumberFormat="1" applyBorder="1" applyAlignment="1">
      <alignment horizontal="center" vertical="center" wrapText="1"/>
    </xf>
    <xf numFmtId="165" fontId="0" fillId="0" borderId="1" xfId="1" applyFont="1" applyFill="1" applyBorder="1" applyAlignment="1">
      <alignment horizontal="center" vertical="center"/>
    </xf>
    <xf numFmtId="165" fontId="14" fillId="0" borderId="3" xfId="1" applyFont="1" applyFill="1" applyBorder="1" applyAlignment="1">
      <alignment vertical="center"/>
    </xf>
    <xf numFmtId="165" fontId="18" fillId="0" borderId="11" xfId="1" applyFont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5" fontId="0" fillId="0" borderId="0" xfId="1" applyFont="1" applyFill="1" applyAlignment="1">
      <alignment horizontal="center"/>
    </xf>
    <xf numFmtId="15" fontId="8" fillId="0" borderId="1" xfId="1" applyNumberFormat="1" applyFont="1" applyFill="1" applyBorder="1" applyAlignment="1"/>
    <xf numFmtId="16" fontId="8" fillId="0" borderId="1" xfId="1" applyNumberFormat="1" applyFont="1" applyFill="1" applyBorder="1" applyAlignment="1"/>
    <xf numFmtId="1" fontId="14" fillId="0" borderId="1" xfId="1" quotePrefix="1" applyNumberFormat="1" applyFont="1" applyFill="1" applyBorder="1" applyAlignment="1">
      <alignment horizontal="center" vertical="center"/>
    </xf>
    <xf numFmtId="165" fontId="0" fillId="0" borderId="0" xfId="1" applyFont="1" applyBorder="1" applyAlignment="1">
      <alignment vertical="center"/>
    </xf>
    <xf numFmtId="165" fontId="9" fillId="0" borderId="0" xfId="1" applyFont="1" applyAlignment="1"/>
    <xf numFmtId="165" fontId="0" fillId="0" borderId="0" xfId="1" applyFont="1" applyAlignment="1"/>
    <xf numFmtId="165" fontId="14" fillId="0" borderId="0" xfId="0" applyNumberFormat="1" applyFont="1"/>
    <xf numFmtId="49" fontId="14" fillId="0" borderId="1" xfId="0" quotePrefix="1" applyNumberFormat="1" applyFont="1" applyBorder="1" applyAlignment="1">
      <alignment horizontal="center" vertical="center"/>
    </xf>
    <xf numFmtId="0" fontId="14" fillId="0" borderId="1" xfId="0" quotePrefix="1" applyFont="1" applyBorder="1"/>
    <xf numFmtId="165" fontId="19" fillId="0" borderId="1" xfId="1" applyFont="1" applyFill="1" applyBorder="1" applyAlignment="1">
      <alignment vertical="center"/>
    </xf>
    <xf numFmtId="0" fontId="0" fillId="3" borderId="1" xfId="1" applyNumberFormat="1" applyFont="1" applyFill="1" applyBorder="1" applyAlignment="1">
      <alignment horizontal="right"/>
    </xf>
    <xf numFmtId="0" fontId="0" fillId="0" borderId="0" xfId="1" applyNumberFormat="1" applyFont="1" applyFill="1" applyAlignment="1">
      <alignment horizontal="right"/>
    </xf>
    <xf numFmtId="165" fontId="0" fillId="4" borderId="1" xfId="1" applyFont="1" applyFill="1" applyBorder="1" applyAlignment="1">
      <alignment horizontal="right"/>
    </xf>
    <xf numFmtId="0" fontId="9" fillId="0" borderId="1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41" fontId="12" fillId="0" borderId="13" xfId="0" applyNumberFormat="1" applyFont="1" applyBorder="1" applyAlignment="1">
      <alignment horizontal="left" vertical="center"/>
    </xf>
    <xf numFmtId="0" fontId="9" fillId="0" borderId="2" xfId="0" applyFont="1" applyBorder="1"/>
    <xf numFmtId="0" fontId="0" fillId="0" borderId="6" xfId="0" applyBorder="1"/>
    <xf numFmtId="0" fontId="9" fillId="0" borderId="3" xfId="0" quotePrefix="1" applyFont="1" applyBorder="1" applyAlignment="1">
      <alignment vertical="center"/>
    </xf>
    <xf numFmtId="49" fontId="12" fillId="0" borderId="1" xfId="0" applyNumberFormat="1" applyFont="1" applyBorder="1" applyAlignment="1">
      <alignment horizontal="center" vertical="center"/>
    </xf>
    <xf numFmtId="165" fontId="12" fillId="0" borderId="1" xfId="0" applyNumberFormat="1" applyFont="1" applyBorder="1" applyAlignment="1">
      <alignment horizontal="center" vertical="center"/>
    </xf>
    <xf numFmtId="16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1" applyNumberFormat="1" applyFont="1" applyFill="1" applyBorder="1" applyAlignment="1">
      <alignment horizontal="center" vertical="center"/>
    </xf>
    <xf numFmtId="165" fontId="12" fillId="0" borderId="1" xfId="1" applyFont="1" applyFill="1" applyBorder="1" applyAlignment="1">
      <alignment horizontal="center" vertical="center"/>
    </xf>
    <xf numFmtId="165" fontId="24" fillId="0" borderId="1" xfId="1" applyFont="1" applyFill="1" applyBorder="1" applyAlignment="1">
      <alignment horizontal="center" vertical="center"/>
    </xf>
    <xf numFmtId="49" fontId="22" fillId="0" borderId="1" xfId="0" quotePrefix="1" applyNumberFormat="1" applyFont="1" applyBorder="1" applyAlignment="1">
      <alignment horizontal="center" vertical="center"/>
    </xf>
    <xf numFmtId="15" fontId="22" fillId="0" borderId="1" xfId="0" applyNumberFormat="1" applyFont="1" applyBorder="1" applyAlignment="1">
      <alignment vertical="center"/>
    </xf>
    <xf numFmtId="165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1" applyNumberFormat="1" applyFont="1" applyFill="1" applyBorder="1" applyAlignment="1">
      <alignment horizontal="right" vertical="center"/>
    </xf>
    <xf numFmtId="165" fontId="22" fillId="0" borderId="1" xfId="1" applyFont="1" applyFill="1" applyBorder="1" applyAlignment="1">
      <alignment horizontal="center" vertical="center"/>
    </xf>
    <xf numFmtId="165" fontId="25" fillId="0" borderId="1" xfId="1" applyFont="1" applyFill="1" applyBorder="1" applyAlignment="1">
      <alignment horizontal="center" vertical="center"/>
    </xf>
    <xf numFmtId="0" fontId="22" fillId="0" borderId="0" xfId="0" applyFont="1"/>
    <xf numFmtId="0" fontId="9" fillId="3" borderId="1" xfId="0" applyFont="1" applyFill="1" applyBorder="1" applyAlignment="1">
      <alignment horizontal="center" vertical="center"/>
    </xf>
    <xf numFmtId="165" fontId="20" fillId="0" borderId="1" xfId="1" applyFont="1" applyBorder="1" applyAlignment="1">
      <alignment horizontal="center" vertical="center"/>
    </xf>
    <xf numFmtId="0" fontId="19" fillId="5" borderId="1" xfId="0" applyFont="1" applyFill="1" applyBorder="1"/>
    <xf numFmtId="42" fontId="19" fillId="5" borderId="1" xfId="0" applyNumberFormat="1" applyFont="1" applyFill="1" applyBorder="1" applyAlignment="1">
      <alignment horizontal="center"/>
    </xf>
    <xf numFmtId="165" fontId="26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165" fontId="8" fillId="0" borderId="1" xfId="1" applyFont="1" applyBorder="1" applyAlignment="1">
      <alignment horizontal="center" vertical="center"/>
    </xf>
    <xf numFmtId="165" fontId="9" fillId="4" borderId="1" xfId="1" applyFont="1" applyFill="1" applyBorder="1" applyAlignment="1">
      <alignment horizontal="center" vertical="center"/>
    </xf>
    <xf numFmtId="165" fontId="0" fillId="0" borderId="0" xfId="1" applyFont="1" applyAlignment="1">
      <alignment horizontal="center" vertical="center"/>
    </xf>
    <xf numFmtId="165" fontId="9" fillId="0" borderId="1" xfId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41" fontId="9" fillId="0" borderId="1" xfId="1" applyNumberFormat="1" applyFont="1" applyBorder="1" applyAlignment="1">
      <alignment horizontal="center" vertical="center"/>
    </xf>
    <xf numFmtId="41" fontId="9" fillId="0" borderId="1" xfId="0" applyNumberFormat="1" applyFont="1" applyBorder="1" applyAlignment="1">
      <alignment horizontal="center" vertical="center"/>
    </xf>
    <xf numFmtId="41" fontId="0" fillId="0" borderId="1" xfId="1" applyNumberFormat="1" applyFont="1" applyBorder="1"/>
    <xf numFmtId="0" fontId="19" fillId="0" borderId="1" xfId="0" applyFont="1" applyBorder="1" applyAlignment="1">
      <alignment wrapText="1"/>
    </xf>
    <xf numFmtId="41" fontId="13" fillId="0" borderId="1" xfId="1" applyNumberFormat="1" applyFont="1" applyFill="1" applyBorder="1" applyAlignment="1">
      <alignment horizontal="center" vertical="center" wrapText="1"/>
    </xf>
    <xf numFmtId="0" fontId="27" fillId="0" borderId="0" xfId="0" applyFont="1"/>
    <xf numFmtId="41" fontId="0" fillId="0" borderId="1" xfId="1" applyNumberFormat="1" applyFont="1" applyFill="1" applyBorder="1" applyAlignment="1">
      <alignment vertical="center"/>
    </xf>
    <xf numFmtId="15" fontId="0" fillId="0" borderId="10" xfId="0" applyNumberFormat="1" applyBorder="1" applyAlignment="1">
      <alignment vertical="center"/>
    </xf>
    <xf numFmtId="49" fontId="15" fillId="2" borderId="1" xfId="14" applyNumberFormat="1" applyFont="1" applyFill="1" applyBorder="1"/>
    <xf numFmtId="41" fontId="14" fillId="0" borderId="1" xfId="1" applyNumberFormat="1" applyFont="1" applyBorder="1" applyAlignment="1"/>
    <xf numFmtId="165" fontId="14" fillId="0" borderId="1" xfId="1" applyFont="1" applyBorder="1" applyAlignment="1"/>
    <xf numFmtId="165" fontId="0" fillId="0" borderId="1" xfId="1" applyFont="1" applyBorder="1" applyAlignment="1"/>
    <xf numFmtId="0" fontId="0" fillId="0" borderId="1" xfId="0" applyBorder="1" applyAlignment="1">
      <alignment vertical="center"/>
    </xf>
    <xf numFmtId="0" fontId="9" fillId="0" borderId="4" xfId="0" applyFont="1" applyBorder="1"/>
    <xf numFmtId="165" fontId="14" fillId="0" borderId="1" xfId="1" applyFont="1" applyFill="1" applyBorder="1" applyAlignment="1">
      <alignment horizontal="center"/>
    </xf>
    <xf numFmtId="16" fontId="14" fillId="0" borderId="1" xfId="1" applyNumberFormat="1" applyFont="1" applyFill="1" applyBorder="1" applyAlignment="1">
      <alignment vertical="center"/>
    </xf>
    <xf numFmtId="168" fontId="0" fillId="0" borderId="0" xfId="13" applyNumberFormat="1" applyFont="1"/>
    <xf numFmtId="41" fontId="14" fillId="0" borderId="1" xfId="1" applyNumberFormat="1" applyFont="1" applyBorder="1" applyAlignment="1">
      <alignment horizontal="center"/>
    </xf>
    <xf numFmtId="41" fontId="14" fillId="0" borderId="1" xfId="1" applyNumberFormat="1" applyFont="1" applyFill="1" applyBorder="1" applyAlignment="1">
      <alignment horizontal="center"/>
    </xf>
    <xf numFmtId="165" fontId="15" fillId="2" borderId="1" xfId="1" applyFont="1" applyFill="1" applyBorder="1" applyAlignment="1">
      <alignment horizontal="center"/>
    </xf>
    <xf numFmtId="41" fontId="0" fillId="0" borderId="1" xfId="1" applyNumberFormat="1" applyFont="1" applyFill="1" applyBorder="1" applyAlignment="1">
      <alignment horizontal="center"/>
    </xf>
    <xf numFmtId="165" fontId="8" fillId="0" borderId="1" xfId="1" applyFont="1" applyFill="1" applyBorder="1" applyAlignment="1">
      <alignment horizontal="center"/>
    </xf>
    <xf numFmtId="165" fontId="15" fillId="0" borderId="1" xfId="1" applyFont="1" applyFill="1" applyBorder="1" applyAlignment="1">
      <alignment horizontal="center"/>
    </xf>
    <xf numFmtId="0" fontId="28" fillId="0" borderId="0" xfId="0" applyFont="1" applyAlignment="1">
      <alignment horizontal="left"/>
    </xf>
    <xf numFmtId="0" fontId="28" fillId="0" borderId="11" xfId="0" applyFont="1" applyBorder="1" applyAlignment="1">
      <alignment horizontal="left" vertical="top"/>
    </xf>
    <xf numFmtId="0" fontId="28" fillId="0" borderId="0" xfId="0" applyFont="1"/>
    <xf numFmtId="168" fontId="9" fillId="0" borderId="1" xfId="13" applyNumberFormat="1" applyFont="1" applyBorder="1" applyAlignment="1">
      <alignment horizontal="center" vertical="center"/>
    </xf>
    <xf numFmtId="168" fontId="14" fillId="0" borderId="1" xfId="13" applyNumberFormat="1" applyFont="1" applyFill="1" applyBorder="1" applyAlignment="1">
      <alignment vertical="center"/>
    </xf>
    <xf numFmtId="168" fontId="0" fillId="0" borderId="1" xfId="13" applyNumberFormat="1" applyFont="1" applyBorder="1" applyAlignment="1"/>
    <xf numFmtId="168" fontId="9" fillId="0" borderId="1" xfId="13" applyNumberFormat="1" applyFont="1" applyBorder="1"/>
    <xf numFmtId="168" fontId="14" fillId="0" borderId="0" xfId="0" applyNumberFormat="1" applyFont="1"/>
    <xf numFmtId="165" fontId="0" fillId="0" borderId="0" xfId="1" applyFont="1" applyFill="1" applyAlignment="1">
      <alignment horizontal="right"/>
    </xf>
    <xf numFmtId="165" fontId="0" fillId="0" borderId="1" xfId="1" applyFont="1" applyBorder="1" applyAlignment="1">
      <alignment vertical="center"/>
    </xf>
    <xf numFmtId="41" fontId="9" fillId="0" borderId="1" xfId="2" applyFont="1" applyBorder="1" applyAlignment="1">
      <alignment horizontal="center" vertical="center" wrapText="1"/>
    </xf>
    <xf numFmtId="41" fontId="9" fillId="0" borderId="1" xfId="1" applyNumberFormat="1" applyFont="1" applyBorder="1" applyAlignment="1">
      <alignment horizontal="center" vertical="center" wrapText="1"/>
    </xf>
    <xf numFmtId="41" fontId="9" fillId="0" borderId="1" xfId="1" applyNumberFormat="1" applyFont="1" applyBorder="1"/>
    <xf numFmtId="0" fontId="8" fillId="0" borderId="1" xfId="2" applyNumberFormat="1" applyFont="1" applyBorder="1" applyAlignment="1">
      <alignment horizontal="center" vertical="center" wrapText="1"/>
    </xf>
    <xf numFmtId="41" fontId="8" fillId="0" borderId="1" xfId="1" applyNumberFormat="1" applyFont="1" applyBorder="1"/>
    <xf numFmtId="41" fontId="8" fillId="0" borderId="1" xfId="2" applyFont="1" applyBorder="1" applyAlignment="1">
      <alignment horizontal="left" vertical="center" wrapText="1"/>
    </xf>
    <xf numFmtId="41" fontId="0" fillId="0" borderId="1" xfId="0" applyNumberFormat="1" applyBorder="1" applyAlignment="1">
      <alignment wrapText="1"/>
    </xf>
    <xf numFmtId="41" fontId="8" fillId="0" borderId="1" xfId="1" applyNumberFormat="1" applyFont="1" applyBorder="1" applyAlignment="1">
      <alignment horizontal="center"/>
    </xf>
    <xf numFmtId="41" fontId="9" fillId="0" borderId="0" xfId="2" applyFont="1" applyBorder="1" applyAlignment="1">
      <alignment horizontal="center" vertical="center"/>
    </xf>
    <xf numFmtId="41" fontId="12" fillId="0" borderId="15" xfId="5" applyNumberFormat="1" applyFont="1" applyBorder="1" applyAlignment="1">
      <alignment horizontal="center" vertical="center"/>
    </xf>
    <xf numFmtId="41" fontId="12" fillId="0" borderId="15" xfId="1" applyNumberFormat="1" applyFont="1" applyFill="1" applyBorder="1" applyAlignment="1">
      <alignment horizontal="center" vertical="center"/>
    </xf>
    <xf numFmtId="41" fontId="1" fillId="0" borderId="1" xfId="1" applyNumberFormat="1" applyFont="1" applyBorder="1" applyAlignment="1">
      <alignment vertical="center"/>
    </xf>
    <xf numFmtId="41" fontId="9" fillId="0" borderId="1" xfId="5" applyNumberFormat="1" applyFont="1" applyBorder="1" applyAlignment="1">
      <alignment horizontal="center"/>
    </xf>
    <xf numFmtId="41" fontId="8" fillId="0" borderId="1" xfId="0" applyNumberFormat="1" applyFont="1" applyBorder="1" applyAlignment="1">
      <alignment wrapText="1"/>
    </xf>
    <xf numFmtId="41" fontId="22" fillId="0" borderId="11" xfId="0" applyNumberFormat="1" applyFont="1" applyBorder="1" applyAlignment="1">
      <alignment horizontal="left" vertical="top"/>
    </xf>
    <xf numFmtId="41" fontId="8" fillId="0" borderId="0" xfId="0" applyNumberFormat="1" applyFont="1"/>
    <xf numFmtId="0" fontId="8" fillId="0" borderId="1" xfId="0" applyFont="1" applyBorder="1"/>
    <xf numFmtId="41" fontId="12" fillId="0" borderId="13" xfId="5" applyNumberFormat="1" applyFont="1" applyBorder="1" applyAlignment="1">
      <alignment horizontal="center" vertical="center"/>
    </xf>
    <xf numFmtId="41" fontId="12" fillId="0" borderId="13" xfId="1" applyNumberFormat="1" applyFont="1" applyFill="1" applyBorder="1" applyAlignment="1">
      <alignment horizontal="center" vertical="center"/>
    </xf>
    <xf numFmtId="0" fontId="31" fillId="0" borderId="9" xfId="0" applyFont="1" applyBorder="1" applyAlignment="1">
      <alignment vertical="center"/>
    </xf>
    <xf numFmtId="0" fontId="31" fillId="0" borderId="0" xfId="0" applyFont="1" applyAlignment="1">
      <alignment vertical="center"/>
    </xf>
    <xf numFmtId="0" fontId="0" fillId="0" borderId="15" xfId="0" applyBorder="1"/>
    <xf numFmtId="168" fontId="0" fillId="0" borderId="15" xfId="13" applyNumberFormat="1" applyFont="1" applyBorder="1"/>
    <xf numFmtId="168" fontId="9" fillId="0" borderId="0" xfId="13" applyNumberFormat="1" applyFont="1"/>
    <xf numFmtId="0" fontId="32" fillId="0" borderId="0" xfId="0" applyFont="1"/>
    <xf numFmtId="41" fontId="9" fillId="0" borderId="10" xfId="0" applyNumberFormat="1" applyFont="1" applyBorder="1" applyAlignment="1">
      <alignment horizontal="center" vertical="center"/>
    </xf>
    <xf numFmtId="41" fontId="9" fillId="0" borderId="4" xfId="0" applyNumberFormat="1" applyFont="1" applyBorder="1" applyAlignment="1">
      <alignment horizontal="center" vertical="center"/>
    </xf>
    <xf numFmtId="41" fontId="9" fillId="0" borderId="3" xfId="0" applyNumberFormat="1" applyFont="1" applyBorder="1" applyAlignment="1">
      <alignment horizontal="center" vertical="center"/>
    </xf>
    <xf numFmtId="41" fontId="10" fillId="0" borderId="0" xfId="2" applyFont="1" applyBorder="1" applyAlignment="1">
      <alignment vertical="center" wrapText="1"/>
    </xf>
    <xf numFmtId="41" fontId="10" fillId="0" borderId="2" xfId="2" applyFont="1" applyBorder="1" applyAlignment="1">
      <alignment vertical="center" wrapText="1"/>
    </xf>
    <xf numFmtId="41" fontId="10" fillId="0" borderId="2" xfId="2" applyFont="1" applyBorder="1" applyAlignment="1">
      <alignment horizontal="left" vertical="center" wrapText="1"/>
    </xf>
    <xf numFmtId="0" fontId="12" fillId="0" borderId="0" xfId="0" applyFont="1" applyAlignment="1">
      <alignment horizontal="center"/>
    </xf>
    <xf numFmtId="168" fontId="12" fillId="0" borderId="0" xfId="13" applyNumberFormat="1" applyFont="1" applyAlignment="1">
      <alignment horizontal="center"/>
    </xf>
    <xf numFmtId="0" fontId="28" fillId="0" borderId="0" xfId="0" applyFont="1" applyBorder="1" applyAlignment="1">
      <alignment horizontal="center" vertical="center"/>
    </xf>
    <xf numFmtId="168" fontId="0" fillId="0" borderId="0" xfId="0" applyNumberFormat="1"/>
    <xf numFmtId="168" fontId="0" fillId="0" borderId="0" xfId="13" applyNumberFormat="1" applyFont="1" applyFill="1"/>
    <xf numFmtId="168" fontId="19" fillId="0" borderId="0" xfId="13" applyNumberFormat="1" applyFont="1" applyAlignment="1">
      <alignment vertical="center"/>
    </xf>
    <xf numFmtId="0" fontId="0" fillId="0" borderId="0" xfId="0" applyFill="1"/>
    <xf numFmtId="0" fontId="0" fillId="0" borderId="0" xfId="0" applyFill="1" applyAlignment="1">
      <alignment horizontal="center"/>
    </xf>
    <xf numFmtId="168" fontId="14" fillId="0" borderId="0" xfId="13" applyNumberFormat="1" applyFont="1" applyFill="1"/>
    <xf numFmtId="165" fontId="9" fillId="0" borderId="1" xfId="1" applyFont="1" applyBorder="1" applyAlignment="1">
      <alignment horizontal="center" vertical="center" wrapText="1"/>
    </xf>
    <xf numFmtId="0" fontId="0" fillId="0" borderId="1" xfId="0" applyBorder="1"/>
    <xf numFmtId="165" fontId="19" fillId="0" borderId="1" xfId="1" applyFont="1" applyFill="1" applyBorder="1" applyAlignment="1">
      <alignment horizontal="center" vertical="center"/>
    </xf>
    <xf numFmtId="165" fontId="25" fillId="0" borderId="1" xfId="1" applyFont="1" applyFill="1" applyBorder="1" applyAlignment="1">
      <alignment vertical="center"/>
    </xf>
    <xf numFmtId="14" fontId="22" fillId="0" borderId="1" xfId="1" applyNumberFormat="1" applyFont="1" applyFill="1" applyBorder="1" applyAlignment="1">
      <alignment horizontal="center" vertical="center"/>
    </xf>
    <xf numFmtId="49" fontId="15" fillId="2" borderId="1" xfId="14" applyNumberFormat="1" applyFont="1" applyFill="1" applyBorder="1" applyAlignment="1">
      <alignment horizontal="center"/>
    </xf>
    <xf numFmtId="49" fontId="15" fillId="0" borderId="1" xfId="14" applyNumberFormat="1" applyFont="1" applyBorder="1" applyAlignment="1">
      <alignment horizontal="center"/>
    </xf>
    <xf numFmtId="0" fontId="0" fillId="0" borderId="3" xfId="0" applyBorder="1" applyAlignment="1">
      <alignment wrapText="1"/>
    </xf>
    <xf numFmtId="15" fontId="0" fillId="0" borderId="1" xfId="0" applyNumberFormat="1" applyBorder="1" applyAlignment="1">
      <alignment vertical="center" wrapText="1"/>
    </xf>
    <xf numFmtId="165" fontId="14" fillId="0" borderId="1" xfId="1" applyFont="1" applyFill="1" applyBorder="1" applyAlignment="1">
      <alignment vertical="center" wrapText="1"/>
    </xf>
    <xf numFmtId="165" fontId="0" fillId="0" borderId="1" xfId="1" applyFont="1" applyBorder="1" applyAlignment="1">
      <alignment vertical="center" wrapText="1"/>
    </xf>
    <xf numFmtId="165" fontId="14" fillId="0" borderId="1" xfId="0" applyNumberFormat="1" applyFont="1" applyBorder="1"/>
    <xf numFmtId="165" fontId="8" fillId="0" borderId="0" xfId="0" applyNumberFormat="1" applyFont="1" applyBorder="1"/>
    <xf numFmtId="0" fontId="0" fillId="0" borderId="1" xfId="0" applyBorder="1"/>
    <xf numFmtId="165" fontId="0" fillId="0" borderId="0" xfId="0" applyNumberFormat="1" applyBorder="1"/>
    <xf numFmtId="165" fontId="0" fillId="4" borderId="0" xfId="0" applyNumberFormat="1" applyFill="1" applyBorder="1"/>
    <xf numFmtId="165" fontId="0" fillId="6" borderId="0" xfId="0" applyNumberFormat="1" applyFill="1" applyBorder="1"/>
    <xf numFmtId="41" fontId="33" fillId="0" borderId="10" xfId="1" applyNumberFormat="1" applyFont="1" applyBorder="1"/>
    <xf numFmtId="15" fontId="14" fillId="0" borderId="1" xfId="1" applyNumberFormat="1" applyFont="1" applyFill="1" applyBorder="1" applyAlignment="1">
      <alignment vertical="center"/>
    </xf>
    <xf numFmtId="165" fontId="14" fillId="0" borderId="14" xfId="1" applyFont="1" applyFill="1" applyBorder="1" applyAlignment="1">
      <alignment horizontal="center" vertical="center"/>
    </xf>
    <xf numFmtId="0" fontId="0" fillId="0" borderId="1" xfId="0" applyBorder="1" applyAlignment="1"/>
    <xf numFmtId="41" fontId="18" fillId="0" borderId="0" xfId="0" applyNumberFormat="1" applyFont="1"/>
    <xf numFmtId="41" fontId="0" fillId="0" borderId="0" xfId="0" applyNumberFormat="1" applyFont="1"/>
    <xf numFmtId="0" fontId="0" fillId="0" borderId="0" xfId="0" applyAlignment="1">
      <alignment horizontal="center" vertical="center"/>
    </xf>
    <xf numFmtId="168" fontId="14" fillId="0" borderId="0" xfId="13" applyNumberFormat="1" applyFont="1"/>
    <xf numFmtId="168" fontId="14" fillId="0" borderId="0" xfId="13" applyNumberFormat="1" applyFont="1" applyAlignment="1">
      <alignment horizontal="center" vertical="center"/>
    </xf>
    <xf numFmtId="168" fontId="14" fillId="0" borderId="0" xfId="13" applyNumberFormat="1" applyFont="1" applyAlignment="1">
      <alignment vertical="center"/>
    </xf>
    <xf numFmtId="168" fontId="14" fillId="0" borderId="0" xfId="13" applyNumberFormat="1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68" fontId="0" fillId="0" borderId="0" xfId="13" applyNumberFormat="1" applyFont="1" applyBorder="1"/>
    <xf numFmtId="168" fontId="0" fillId="0" borderId="0" xfId="13" applyNumberFormat="1" applyFont="1" applyBorder="1" applyAlignment="1">
      <alignment vertical="center"/>
    </xf>
    <xf numFmtId="41" fontId="8" fillId="0" borderId="1" xfId="1" applyNumberFormat="1" applyFont="1" applyBorder="1" applyAlignment="1">
      <alignment horizontal="right"/>
    </xf>
    <xf numFmtId="41" fontId="8" fillId="0" borderId="1" xfId="1" applyNumberFormat="1" applyFont="1" applyBorder="1" applyAlignment="1">
      <alignment horizontal="right" vertical="center" wrapText="1"/>
    </xf>
    <xf numFmtId="0" fontId="0" fillId="0" borderId="1" xfId="0" applyFont="1" applyBorder="1" applyAlignment="1">
      <alignment wrapText="1"/>
    </xf>
    <xf numFmtId="0" fontId="0" fillId="0" borderId="0" xfId="0" applyBorder="1"/>
    <xf numFmtId="0" fontId="22" fillId="0" borderId="0" xfId="0" applyFont="1" applyBorder="1" applyAlignment="1">
      <alignment horizontal="center" vertical="top"/>
    </xf>
    <xf numFmtId="168" fontId="14" fillId="0" borderId="0" xfId="13" applyNumberFormat="1" applyFont="1" applyBorder="1" applyAlignment="1">
      <alignment horizontal="center" vertical="center"/>
    </xf>
    <xf numFmtId="41" fontId="14" fillId="0" borderId="1" xfId="0" applyNumberFormat="1" applyFont="1" applyFill="1" applyBorder="1"/>
    <xf numFmtId="168" fontId="14" fillId="0" borderId="0" xfId="13" applyNumberFormat="1" applyFont="1" applyAlignment="1">
      <alignment vertical="center" wrapText="1"/>
    </xf>
    <xf numFmtId="0" fontId="0" fillId="0" borderId="4" xfId="0" applyFill="1" applyBorder="1" applyAlignment="1"/>
    <xf numFmtId="165" fontId="18" fillId="12" borderId="0" xfId="1" applyFont="1" applyFill="1" applyAlignment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31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168" fontId="9" fillId="0" borderId="0" xfId="13" applyNumberFormat="1" applyFont="1" applyBorder="1" applyAlignment="1">
      <alignment horizontal="center"/>
    </xf>
    <xf numFmtId="0" fontId="28" fillId="0" borderId="0" xfId="0" applyFont="1" applyBorder="1" applyAlignment="1">
      <alignment vertical="top"/>
    </xf>
    <xf numFmtId="0" fontId="28" fillId="0" borderId="0" xfId="0" applyFont="1" applyBorder="1" applyAlignment="1">
      <alignment horizontal="left" vertical="top"/>
    </xf>
    <xf numFmtId="165" fontId="28" fillId="0" borderId="0" xfId="1" applyFont="1" applyBorder="1" applyAlignment="1">
      <alignment horizontal="left" vertical="top"/>
    </xf>
    <xf numFmtId="0" fontId="28" fillId="0" borderId="0" xfId="0" applyFont="1" applyFill="1" applyBorder="1" applyAlignment="1">
      <alignment horizontal="left" vertical="top"/>
    </xf>
    <xf numFmtId="0" fontId="28" fillId="0" borderId="0" xfId="0" applyFont="1" applyBorder="1"/>
    <xf numFmtId="168" fontId="9" fillId="0" borderId="0" xfId="13" applyNumberFormat="1" applyFont="1" applyBorder="1"/>
    <xf numFmtId="165" fontId="28" fillId="9" borderId="0" xfId="1" applyFont="1" applyFill="1" applyBorder="1" applyAlignment="1">
      <alignment vertical="center"/>
    </xf>
    <xf numFmtId="0" fontId="28" fillId="9" borderId="0" xfId="0" applyFont="1" applyFill="1" applyBorder="1"/>
    <xf numFmtId="168" fontId="0" fillId="9" borderId="0" xfId="13" applyNumberFormat="1" applyFont="1" applyFill="1" applyBorder="1"/>
    <xf numFmtId="0" fontId="28" fillId="0" borderId="0" xfId="1" applyNumberFormat="1" applyFont="1" applyFill="1" applyBorder="1" applyAlignment="1">
      <alignment vertical="center"/>
    </xf>
    <xf numFmtId="165" fontId="28" fillId="0" borderId="0" xfId="1" applyFont="1" applyBorder="1"/>
    <xf numFmtId="0" fontId="28" fillId="0" borderId="0" xfId="1" applyNumberFormat="1" applyFont="1" applyBorder="1" applyAlignment="1">
      <alignment vertical="center"/>
    </xf>
    <xf numFmtId="0" fontId="28" fillId="0" borderId="0" xfId="0" applyFont="1" applyBorder="1" applyAlignment="1">
      <alignment horizontal="left"/>
    </xf>
    <xf numFmtId="0" fontId="28" fillId="9" borderId="0" xfId="0" applyFont="1" applyFill="1" applyBorder="1" applyAlignment="1">
      <alignment vertical="top"/>
    </xf>
    <xf numFmtId="0" fontId="28" fillId="9" borderId="0" xfId="0" applyFont="1" applyFill="1" applyBorder="1" applyAlignment="1">
      <alignment horizontal="left" vertical="top"/>
    </xf>
    <xf numFmtId="0" fontId="30" fillId="0" borderId="0" xfId="1" applyNumberFormat="1" applyFont="1" applyBorder="1" applyAlignment="1">
      <alignment vertical="center"/>
    </xf>
    <xf numFmtId="0" fontId="30" fillId="0" borderId="0" xfId="1" applyNumberFormat="1" applyFont="1" applyBorder="1" applyAlignment="1">
      <alignment horizontal="left" vertical="top"/>
    </xf>
    <xf numFmtId="0" fontId="30" fillId="10" borderId="0" xfId="1" applyNumberFormat="1" applyFont="1" applyFill="1" applyBorder="1" applyAlignment="1">
      <alignment vertical="center"/>
    </xf>
    <xf numFmtId="0" fontId="28" fillId="10" borderId="0" xfId="0" applyFont="1" applyFill="1" applyBorder="1" applyAlignment="1">
      <alignment horizontal="left" vertical="top"/>
    </xf>
    <xf numFmtId="168" fontId="0" fillId="10" borderId="0" xfId="13" applyNumberFormat="1" applyFont="1" applyFill="1" applyBorder="1"/>
    <xf numFmtId="168" fontId="14" fillId="0" borderId="0" xfId="13" applyNumberFormat="1" applyFont="1" applyFill="1" applyBorder="1"/>
    <xf numFmtId="0" fontId="28" fillId="0" borderId="0" xfId="0" applyFont="1" applyBorder="1" applyAlignment="1">
      <alignment horizontal="left" vertical="center"/>
    </xf>
    <xf numFmtId="165" fontId="28" fillId="0" borderId="0" xfId="1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165" fontId="0" fillId="0" borderId="0" xfId="1" applyFont="1" applyBorder="1" applyAlignment="1">
      <alignment horizontal="left"/>
    </xf>
    <xf numFmtId="165" fontId="28" fillId="0" borderId="0" xfId="1" applyFont="1" applyBorder="1" applyAlignment="1">
      <alignment horizontal="left"/>
    </xf>
    <xf numFmtId="0" fontId="28" fillId="0" borderId="0" xfId="0" applyFont="1" applyBorder="1" applyAlignment="1">
      <alignment horizontal="center"/>
    </xf>
    <xf numFmtId="165" fontId="28" fillId="0" borderId="0" xfId="1" applyFont="1" applyBorder="1" applyAlignment="1">
      <alignment horizontal="center"/>
    </xf>
    <xf numFmtId="165" fontId="28" fillId="0" borderId="0" xfId="1" applyFont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0" fillId="0" borderId="0" xfId="0" applyFill="1" applyBorder="1" applyAlignment="1"/>
    <xf numFmtId="0" fontId="28" fillId="11" borderId="0" xfId="0" applyFont="1" applyFill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8" fillId="0" borderId="0" xfId="0" applyFont="1" applyBorder="1" applyAlignment="1">
      <alignment horizontal="left" vertical="top" wrapText="1"/>
    </xf>
    <xf numFmtId="0" fontId="18" fillId="13" borderId="0" xfId="0" applyFont="1" applyFill="1" applyBorder="1" applyAlignment="1">
      <alignment horizontal="center"/>
    </xf>
    <xf numFmtId="165" fontId="14" fillId="13" borderId="0" xfId="0" applyNumberFormat="1" applyFont="1" applyFill="1" applyBorder="1"/>
    <xf numFmtId="0" fontId="19" fillId="0" borderId="0" xfId="0" applyFont="1"/>
    <xf numFmtId="49" fontId="8" fillId="0" borderId="1" xfId="14" applyNumberFormat="1" applyFont="1" applyBorder="1" applyAlignment="1">
      <alignment horizontal="center"/>
    </xf>
    <xf numFmtId="165" fontId="0" fillId="0" borderId="0" xfId="1" applyFont="1" applyBorder="1"/>
    <xf numFmtId="168" fontId="18" fillId="13" borderId="0" xfId="0" applyNumberFormat="1" applyFont="1" applyFill="1"/>
    <xf numFmtId="0" fontId="0" fillId="0" borderId="0" xfId="0" applyFont="1"/>
    <xf numFmtId="0" fontId="0" fillId="13" borderId="0" xfId="0" applyFont="1" applyFill="1"/>
    <xf numFmtId="165" fontId="0" fillId="13" borderId="0" xfId="0" applyNumberFormat="1" applyFont="1" applyFill="1"/>
    <xf numFmtId="0" fontId="0" fillId="0" borderId="0" xfId="0" applyFont="1" applyBorder="1"/>
    <xf numFmtId="165" fontId="0" fillId="13" borderId="0" xfId="0" applyNumberFormat="1" applyFont="1" applyFill="1" applyBorder="1"/>
    <xf numFmtId="0" fontId="0" fillId="0" borderId="0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28" fillId="0" borderId="0" xfId="0" applyFont="1" applyFill="1" applyBorder="1" applyAlignment="1">
      <alignment horizontal="left"/>
    </xf>
    <xf numFmtId="0" fontId="34" fillId="4" borderId="0" xfId="0" applyFont="1" applyFill="1" applyBorder="1" applyAlignment="1">
      <alignment horizontal="left"/>
    </xf>
    <xf numFmtId="168" fontId="18" fillId="4" borderId="0" xfId="0" applyNumberFormat="1" applyFont="1" applyFill="1"/>
    <xf numFmtId="0" fontId="0" fillId="13" borderId="0" xfId="0" applyFill="1"/>
    <xf numFmtId="168" fontId="0" fillId="13" borderId="0" xfId="0" applyNumberFormat="1" applyFill="1" applyBorder="1"/>
    <xf numFmtId="168" fontId="0" fillId="0" borderId="0" xfId="13" applyNumberFormat="1" applyFont="1" applyFill="1" applyBorder="1"/>
    <xf numFmtId="165" fontId="0" fillId="0" borderId="1" xfId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169" fontId="8" fillId="0" borderId="1" xfId="1" applyNumberFormat="1" applyFont="1" applyFill="1" applyBorder="1" applyAlignment="1"/>
    <xf numFmtId="9" fontId="8" fillId="0" borderId="1" xfId="15" applyFont="1" applyFill="1" applyBorder="1" applyAlignment="1">
      <alignment vertical="center"/>
    </xf>
    <xf numFmtId="15" fontId="0" fillId="0" borderId="1" xfId="0" applyNumberFormat="1" applyFill="1" applyBorder="1" applyAlignment="1">
      <alignment vertical="center"/>
    </xf>
    <xf numFmtId="15" fontId="0" fillId="0" borderId="1" xfId="0" applyNumberFormat="1" applyFont="1" applyFill="1" applyBorder="1" applyAlignment="1">
      <alignment vertical="center"/>
    </xf>
    <xf numFmtId="0" fontId="0" fillId="0" borderId="1" xfId="0" applyBorder="1" applyAlignment="1">
      <alignment horizontal="left" wrapText="1"/>
    </xf>
    <xf numFmtId="0" fontId="35" fillId="0" borderId="1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165" fontId="14" fillId="0" borderId="1" xfId="1" applyFont="1" applyFill="1" applyBorder="1" applyAlignment="1">
      <alignment vertical="top"/>
    </xf>
    <xf numFmtId="0" fontId="9" fillId="3" borderId="0" xfId="0" applyFont="1" applyFill="1" applyBorder="1"/>
    <xf numFmtId="165" fontId="22" fillId="0" borderId="1" xfId="0" applyNumberFormat="1" applyFont="1" applyFill="1" applyBorder="1" applyAlignment="1">
      <alignment horizontal="center" vertical="center"/>
    </xf>
    <xf numFmtId="0" fontId="22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/>
    <xf numFmtId="165" fontId="0" fillId="0" borderId="1" xfId="0" applyNumberFormat="1" applyFont="1" applyFill="1" applyBorder="1"/>
    <xf numFmtId="15" fontId="22" fillId="0" borderId="1" xfId="0" applyNumberFormat="1" applyFont="1" applyFill="1" applyBorder="1" applyAlignment="1">
      <alignment vertical="center"/>
    </xf>
    <xf numFmtId="0" fontId="0" fillId="0" borderId="0" xfId="0" applyFont="1" applyFill="1" applyBorder="1"/>
    <xf numFmtId="16" fontId="0" fillId="0" borderId="1" xfId="0" applyNumberFormat="1" applyFont="1" applyFill="1" applyBorder="1"/>
    <xf numFmtId="15" fontId="0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/>
    <xf numFmtId="0" fontId="14" fillId="0" borderId="8" xfId="0" applyFont="1" applyFill="1" applyBorder="1" applyAlignment="1">
      <alignment horizontal="center"/>
    </xf>
    <xf numFmtId="0" fontId="14" fillId="0" borderId="1" xfId="0" applyNumberFormat="1" applyFont="1" applyFill="1" applyBorder="1" applyAlignment="1">
      <alignment horizontal="left" vertical="top"/>
    </xf>
    <xf numFmtId="15" fontId="0" fillId="0" borderId="1" xfId="0" applyNumberFormat="1" applyFill="1" applyBorder="1" applyAlignment="1">
      <alignment horizontal="center" vertical="center"/>
    </xf>
    <xf numFmtId="165" fontId="14" fillId="0" borderId="1" xfId="0" applyNumberFormat="1" applyFont="1" applyFill="1" applyBorder="1"/>
    <xf numFmtId="0" fontId="14" fillId="0" borderId="1" xfId="0" applyFont="1" applyFill="1" applyBorder="1" applyAlignment="1">
      <alignment horizontal="center"/>
    </xf>
    <xf numFmtId="0" fontId="18" fillId="0" borderId="1" xfId="0" quotePrefix="1" applyFont="1" applyFill="1" applyBorder="1" applyAlignment="1">
      <alignment horizontal="center"/>
    </xf>
    <xf numFmtId="165" fontId="14" fillId="0" borderId="1" xfId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5" fontId="14" fillId="0" borderId="1" xfId="0" applyNumberFormat="1" applyFont="1" applyFill="1" applyBorder="1" applyAlignment="1">
      <alignment vertical="center"/>
    </xf>
    <xf numFmtId="0" fontId="19" fillId="0" borderId="1" xfId="0" quotePrefix="1" applyFont="1" applyBorder="1" applyAlignment="1">
      <alignment horizontal="center" wrapText="1"/>
    </xf>
    <xf numFmtId="165" fontId="18" fillId="13" borderId="0" xfId="0" applyNumberFormat="1" applyFont="1" applyFill="1" applyBorder="1"/>
    <xf numFmtId="49" fontId="15" fillId="0" borderId="1" xfId="14" applyNumberFormat="1" applyFont="1" applyFill="1" applyBorder="1"/>
    <xf numFmtId="165" fontId="0" fillId="0" borderId="0" xfId="0" applyNumberFormat="1" applyFill="1"/>
    <xf numFmtId="0" fontId="0" fillId="0" borderId="1" xfId="0" applyFont="1" applyBorder="1" applyAlignment="1"/>
    <xf numFmtId="41" fontId="0" fillId="0" borderId="1" xfId="2" applyFont="1" applyBorder="1" applyAlignment="1">
      <alignment horizontal="left" vertical="center" wrapText="1"/>
    </xf>
    <xf numFmtId="0" fontId="0" fillId="0" borderId="1" xfId="0" applyFill="1" applyBorder="1" applyAlignment="1">
      <alignment horizontal="left"/>
    </xf>
    <xf numFmtId="1" fontId="0" fillId="0" borderId="1" xfId="1" applyNumberFormat="1" applyFont="1" applyFill="1" applyBorder="1" applyAlignment="1">
      <alignment horizontal="center"/>
    </xf>
    <xf numFmtId="0" fontId="0" fillId="0" borderId="1" xfId="0" applyFill="1" applyBorder="1"/>
    <xf numFmtId="165" fontId="9" fillId="14" borderId="1" xfId="1" applyFont="1" applyFill="1" applyBorder="1"/>
    <xf numFmtId="165" fontId="0" fillId="14" borderId="1" xfId="1" applyFont="1" applyFill="1" applyBorder="1" applyAlignment="1"/>
    <xf numFmtId="165" fontId="15" fillId="0" borderId="1" xfId="14" applyNumberFormat="1" applyFont="1" applyFill="1" applyBorder="1"/>
    <xf numFmtId="0" fontId="14" fillId="0" borderId="1" xfId="0" applyFont="1" applyFill="1" applyBorder="1" applyAlignment="1"/>
    <xf numFmtId="0" fontId="0" fillId="0" borderId="1" xfId="0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1" xfId="0" applyFill="1" applyBorder="1" applyAlignment="1"/>
    <xf numFmtId="165" fontId="0" fillId="0" borderId="0" xfId="1" applyFont="1" applyFill="1" applyBorder="1" applyAlignment="1">
      <alignment vertical="center"/>
    </xf>
    <xf numFmtId="0" fontId="0" fillId="0" borderId="4" xfId="0" applyFont="1" applyFill="1" applyBorder="1" applyAlignment="1">
      <alignment wrapText="1"/>
    </xf>
    <xf numFmtId="0" fontId="0" fillId="0" borderId="16" xfId="0" applyFont="1" applyBorder="1"/>
    <xf numFmtId="165" fontId="0" fillId="13" borderId="16" xfId="0" applyNumberFormat="1" applyFont="1" applyFill="1" applyBorder="1"/>
    <xf numFmtId="168" fontId="0" fillId="0" borderId="16" xfId="13" applyNumberFormat="1" applyFont="1" applyBorder="1"/>
    <xf numFmtId="165" fontId="9" fillId="13" borderId="15" xfId="0" applyNumberFormat="1" applyFont="1" applyFill="1" applyBorder="1"/>
    <xf numFmtId="168" fontId="9" fillId="0" borderId="15" xfId="13" applyNumberFormat="1" applyFont="1" applyBorder="1"/>
    <xf numFmtId="41" fontId="1" fillId="0" borderId="17" xfId="1" applyNumberFormat="1" applyFont="1" applyBorder="1" applyAlignment="1">
      <alignment vertical="center"/>
    </xf>
    <xf numFmtId="168" fontId="9" fillId="0" borderId="0" xfId="13" applyNumberFormat="1" applyFont="1" applyAlignment="1">
      <alignment horizontal="center"/>
    </xf>
    <xf numFmtId="0" fontId="9" fillId="13" borderId="0" xfId="0" applyFont="1" applyFill="1" applyAlignment="1">
      <alignment horizontal="center"/>
    </xf>
    <xf numFmtId="0" fontId="9" fillId="0" borderId="13" xfId="0" applyFont="1" applyBorder="1"/>
    <xf numFmtId="165" fontId="9" fillId="13" borderId="13" xfId="0" applyNumberFormat="1" applyFont="1" applyFill="1" applyBorder="1"/>
    <xf numFmtId="168" fontId="9" fillId="0" borderId="13" xfId="13" applyNumberFormat="1" applyFont="1" applyBorder="1"/>
    <xf numFmtId="0" fontId="9" fillId="0" borderId="15" xfId="0" applyFont="1" applyBorder="1"/>
    <xf numFmtId="0" fontId="0" fillId="0" borderId="0" xfId="0" applyBorder="1" applyAlignment="1">
      <alignment horizontal="center" vertical="center"/>
    </xf>
    <xf numFmtId="0" fontId="9" fillId="0" borderId="11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165" fontId="0" fillId="0" borderId="1" xfId="1" applyFont="1" applyFill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41" fontId="9" fillId="0" borderId="10" xfId="2" applyFont="1" applyBorder="1" applyAlignment="1">
      <alignment horizontal="center" vertical="center" wrapText="1"/>
    </xf>
    <xf numFmtId="41" fontId="9" fillId="0" borderId="4" xfId="2" applyFont="1" applyBorder="1" applyAlignment="1">
      <alignment horizontal="center" vertical="center" wrapText="1"/>
    </xf>
    <xf numFmtId="41" fontId="9" fillId="0" borderId="3" xfId="2" applyFont="1" applyBorder="1" applyAlignment="1">
      <alignment horizontal="center" vertical="center" wrapText="1"/>
    </xf>
    <xf numFmtId="41" fontId="9" fillId="0" borderId="10" xfId="2" applyFont="1" applyBorder="1" applyAlignment="1">
      <alignment horizontal="center" vertical="center"/>
    </xf>
    <xf numFmtId="41" fontId="9" fillId="0" borderId="4" xfId="2" applyFont="1" applyBorder="1" applyAlignment="1">
      <alignment horizontal="center" vertical="center"/>
    </xf>
    <xf numFmtId="41" fontId="9" fillId="0" borderId="3" xfId="2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5" fontId="9" fillId="0" borderId="1" xfId="1" applyFont="1" applyFill="1" applyBorder="1" applyAlignment="1">
      <alignment horizontal="center" vertical="center"/>
    </xf>
    <xf numFmtId="165" fontId="9" fillId="0" borderId="1" xfId="1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5" fontId="0" fillId="4" borderId="11" xfId="1" applyFont="1" applyFill="1" applyBorder="1" applyAlignment="1">
      <alignment horizontal="center"/>
    </xf>
    <xf numFmtId="165" fontId="0" fillId="4" borderId="8" xfId="1" applyFont="1" applyFill="1" applyBorder="1" applyAlignment="1">
      <alignment horizontal="center"/>
    </xf>
    <xf numFmtId="49" fontId="0" fillId="3" borderId="11" xfId="0" applyNumberFormat="1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  <xf numFmtId="49" fontId="0" fillId="3" borderId="8" xfId="0" applyNumberFormat="1" applyFill="1" applyBorder="1" applyAlignment="1">
      <alignment horizontal="center"/>
    </xf>
    <xf numFmtId="165" fontId="14" fillId="0" borderId="11" xfId="1" applyFont="1" applyFill="1" applyBorder="1" applyAlignment="1">
      <alignment horizontal="center"/>
    </xf>
    <xf numFmtId="165" fontId="14" fillId="0" borderId="8" xfId="1" applyFont="1" applyFill="1" applyBorder="1" applyAlignment="1">
      <alignment horizontal="center"/>
    </xf>
    <xf numFmtId="165" fontId="18" fillId="4" borderId="11" xfId="1" applyFont="1" applyFill="1" applyBorder="1" applyAlignment="1">
      <alignment horizontal="center"/>
    </xf>
    <xf numFmtId="165" fontId="18" fillId="4" borderId="8" xfId="1" applyFont="1" applyFill="1" applyBorder="1" applyAlignment="1">
      <alignment horizontal="center"/>
    </xf>
    <xf numFmtId="0" fontId="9" fillId="0" borderId="5" xfId="0" applyFont="1" applyBorder="1" applyAlignment="1">
      <alignment horizontal="center" vertical="center"/>
    </xf>
    <xf numFmtId="165" fontId="18" fillId="0" borderId="1" xfId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10" xfId="0" applyNumberFormat="1" applyFont="1" applyBorder="1" applyAlignment="1">
      <alignment horizontal="center" vertical="center" wrapText="1"/>
    </xf>
    <xf numFmtId="49" fontId="9" fillId="0" borderId="3" xfId="0" applyNumberFormat="1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65" fontId="14" fillId="4" borderId="1" xfId="1" applyFont="1" applyFill="1" applyBorder="1" applyAlignment="1">
      <alignment horizontal="center"/>
    </xf>
    <xf numFmtId="165" fontId="14" fillId="4" borderId="1" xfId="1" applyFont="1" applyFill="1" applyBorder="1" applyAlignment="1">
      <alignment horizontal="center" vertical="center"/>
    </xf>
    <xf numFmtId="165" fontId="9" fillId="0" borderId="1" xfId="1" applyFont="1" applyBorder="1" applyAlignment="1">
      <alignment horizontal="center" vertical="center" wrapText="1"/>
    </xf>
    <xf numFmtId="165" fontId="9" fillId="0" borderId="10" xfId="1" applyFont="1" applyBorder="1" applyAlignment="1">
      <alignment horizontal="center" vertical="center"/>
    </xf>
    <xf numFmtId="165" fontId="9" fillId="0" borderId="3" xfId="1" applyFont="1" applyBorder="1" applyAlignment="1">
      <alignment horizontal="center" vertical="center"/>
    </xf>
    <xf numFmtId="165" fontId="18" fillId="0" borderId="11" xfId="1" applyFont="1" applyBorder="1" applyAlignment="1">
      <alignment horizontal="center" vertical="center"/>
    </xf>
    <xf numFmtId="165" fontId="18" fillId="0" borderId="8" xfId="1" applyFont="1" applyBorder="1" applyAlignment="1">
      <alignment horizontal="center" vertical="center"/>
    </xf>
    <xf numFmtId="165" fontId="18" fillId="0" borderId="7" xfId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28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168" fontId="14" fillId="0" borderId="0" xfId="13" applyNumberFormat="1" applyFont="1" applyBorder="1" applyAlignment="1">
      <alignment horizontal="center" vertical="center"/>
    </xf>
    <xf numFmtId="168" fontId="0" fillId="0" borderId="0" xfId="13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8" fontId="0" fillId="0" borderId="0" xfId="13" applyNumberFormat="1" applyFont="1" applyBorder="1" applyAlignment="1">
      <alignment horizontal="center" vertical="center" wrapText="1"/>
    </xf>
    <xf numFmtId="42" fontId="18" fillId="4" borderId="12" xfId="1" applyNumberFormat="1" applyFont="1" applyFill="1" applyBorder="1" applyAlignment="1">
      <alignment horizontal="center"/>
    </xf>
    <xf numFmtId="42" fontId="18" fillId="4" borderId="5" xfId="1" applyNumberFormat="1" applyFont="1" applyFill="1" applyBorder="1" applyAlignment="1">
      <alignment horizontal="center"/>
    </xf>
    <xf numFmtId="42" fontId="18" fillId="4" borderId="6" xfId="1" applyNumberFormat="1" applyFont="1" applyFill="1" applyBorder="1" applyAlignment="1">
      <alignment horizontal="center"/>
    </xf>
    <xf numFmtId="42" fontId="18" fillId="4" borderId="14" xfId="1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42" fontId="9" fillId="0" borderId="11" xfId="0" applyNumberFormat="1" applyFont="1" applyBorder="1" applyAlignment="1">
      <alignment horizontal="center" wrapText="1"/>
    </xf>
    <xf numFmtId="42" fontId="9" fillId="0" borderId="8" xfId="0" applyNumberFormat="1" applyFont="1" applyBorder="1" applyAlignment="1">
      <alignment horizontal="center" wrapText="1"/>
    </xf>
    <xf numFmtId="0" fontId="16" fillId="0" borderId="11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42" fontId="9" fillId="0" borderId="11" xfId="0" applyNumberFormat="1" applyFont="1" applyBorder="1" applyAlignment="1">
      <alignment horizontal="center" vertical="center"/>
    </xf>
    <xf numFmtId="42" fontId="9" fillId="0" borderId="8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8" xfId="0" applyBorder="1" applyAlignment="1">
      <alignment horizontal="left"/>
    </xf>
  </cellXfs>
  <cellStyles count="16">
    <cellStyle name="Comma" xfId="13" builtinId="3"/>
    <cellStyle name="Comma [0]" xfId="1" builtinId="6"/>
    <cellStyle name="Comma [0] 15" xfId="2"/>
    <cellStyle name="Currency 2" xfId="9"/>
    <cellStyle name="Normal" xfId="0" builtinId="0"/>
    <cellStyle name="Normal 10" xfId="12"/>
    <cellStyle name="Normal 2" xfId="4"/>
    <cellStyle name="Normal 3" xfId="5"/>
    <cellStyle name="Normal 4" xfId="6"/>
    <cellStyle name="Normal 5" xfId="7"/>
    <cellStyle name="Normal 6" xfId="8"/>
    <cellStyle name="Normal 7" xfId="10"/>
    <cellStyle name="Normal 8" xfId="3"/>
    <cellStyle name="Normal 8 2" xfId="14"/>
    <cellStyle name="Normal 9" xfId="11"/>
    <cellStyle name="Percent" xfId="15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%20Lap%20FO%20FEBRUARI%20SGH_2024%20ACCOUNT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.%20Lap%20FO%20JANUARI%20SGH_2024%20ACCOUN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flow"/>
      <sheetName val="KK"/>
      <sheetName val="Rekap"/>
      <sheetName val="OOD"/>
      <sheetName val="Bills"/>
      <sheetName val="Invoices"/>
      <sheetName val="DP"/>
      <sheetName val="Bank"/>
      <sheetName val="OTA"/>
      <sheetName val="Kuitansi"/>
      <sheetName val="Jur-kum"/>
      <sheetName val="Jur2"/>
      <sheetName val="LR"/>
      <sheetName val="Neraca"/>
      <sheetName val="Laba Rug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03">
          <cell r="C103">
            <v>85715157</v>
          </cell>
        </row>
        <row r="111">
          <cell r="C111">
            <v>1915000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flow"/>
      <sheetName val="KK"/>
      <sheetName val="Rekap"/>
      <sheetName val="OOD"/>
      <sheetName val="Bills"/>
      <sheetName val="Invoices"/>
      <sheetName val="DP2"/>
      <sheetName val="Bank"/>
      <sheetName val="OTA"/>
      <sheetName val="Kuitansi"/>
      <sheetName val="Jurnal"/>
      <sheetName val="Jur2"/>
      <sheetName val="LR"/>
      <sheetName val="Neraca"/>
      <sheetName val="Laba Rug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95">
          <cell r="J95">
            <v>60310000</v>
          </cell>
        </row>
      </sheetData>
      <sheetData sheetId="8"/>
      <sheetData sheetId="9">
        <row r="163">
          <cell r="F163">
            <v>4600000</v>
          </cell>
        </row>
      </sheetData>
      <sheetData sheetId="10"/>
      <sheetData sheetId="11">
        <row r="63">
          <cell r="B63">
            <v>10000000</v>
          </cell>
        </row>
      </sheetData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n.al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519"/>
  <sheetViews>
    <sheetView zoomScale="98" zoomScaleNormal="98" workbookViewId="0">
      <pane ySplit="1" topLeftCell="A479" activePane="bottomLeft" state="frozen"/>
      <selection activeCell="B1" sqref="B1"/>
      <selection pane="bottomLeft" activeCell="D510" sqref="D510"/>
    </sheetView>
  </sheetViews>
  <sheetFormatPr defaultRowHeight="15" x14ac:dyDescent="0.25"/>
  <cols>
    <col min="1" max="1" width="12.140625" customWidth="1"/>
    <col min="2" max="2" width="62" bestFit="1" customWidth="1"/>
    <col min="3" max="4" width="12.5703125" style="66" bestFit="1" customWidth="1"/>
    <col min="5" max="5" width="12.5703125" bestFit="1" customWidth="1"/>
    <col min="6" max="6" width="12.5703125" style="63" bestFit="1" customWidth="1"/>
    <col min="7" max="7" width="13.5703125" style="66" customWidth="1"/>
    <col min="8" max="8" width="14.7109375" style="66" customWidth="1"/>
    <col min="9" max="9" width="11.5703125" style="66" bestFit="1" customWidth="1"/>
    <col min="10" max="11" width="12.5703125" style="66" bestFit="1" customWidth="1"/>
    <col min="12" max="12" width="18.28515625" customWidth="1"/>
    <col min="14" max="14" width="12.5703125" bestFit="1" customWidth="1"/>
  </cols>
  <sheetData>
    <row r="1" spans="1:23" s="115" customFormat="1" ht="15" customHeight="1" x14ac:dyDescent="0.25">
      <c r="A1" s="96"/>
      <c r="B1" s="24" t="s">
        <v>592</v>
      </c>
      <c r="C1" s="41" t="s">
        <v>120</v>
      </c>
      <c r="D1" s="41">
        <v>31461729</v>
      </c>
      <c r="E1" s="41" t="s">
        <v>119</v>
      </c>
      <c r="F1" s="112" t="s">
        <v>169</v>
      </c>
      <c r="G1" s="41" t="s">
        <v>0</v>
      </c>
      <c r="H1" s="41" t="s">
        <v>1</v>
      </c>
      <c r="I1" s="41" t="s">
        <v>2</v>
      </c>
      <c r="J1" s="41" t="s">
        <v>170</v>
      </c>
      <c r="K1" s="41" t="s">
        <v>3</v>
      </c>
      <c r="L1" s="113"/>
      <c r="M1" s="113"/>
      <c r="N1" s="113"/>
      <c r="O1" s="113"/>
      <c r="P1" s="113"/>
      <c r="Q1" s="113"/>
      <c r="R1" s="114"/>
      <c r="S1" s="114"/>
      <c r="T1" s="113"/>
      <c r="U1" s="113"/>
      <c r="V1" s="113"/>
      <c r="W1" s="113"/>
    </row>
    <row r="2" spans="1:23" s="5" customFormat="1" ht="15" customHeight="1" x14ac:dyDescent="0.25">
      <c r="A2" s="99">
        <v>45352</v>
      </c>
      <c r="B2" s="50" t="s">
        <v>163</v>
      </c>
      <c r="C2" s="64">
        <v>-11000</v>
      </c>
      <c r="D2" s="55">
        <f t="shared" ref="D2:D65" si="0">SUM(D1,C2)</f>
        <v>31450729</v>
      </c>
      <c r="E2" s="36" t="s">
        <v>530</v>
      </c>
      <c r="F2" s="67"/>
      <c r="G2" s="64"/>
      <c r="H2" s="64"/>
      <c r="I2" s="64"/>
      <c r="J2" s="64"/>
      <c r="K2" s="64">
        <f t="shared" ref="K2:K10" si="1">C2</f>
        <v>-11000</v>
      </c>
      <c r="L2" s="2">
        <f>C2-F2-G2-H2-I2-J2-K2</f>
        <v>0</v>
      </c>
      <c r="M2" s="2"/>
      <c r="N2" s="2"/>
      <c r="O2" s="2"/>
      <c r="P2" s="2"/>
      <c r="Q2" s="2"/>
      <c r="R2" s="3"/>
      <c r="S2" s="3"/>
      <c r="T2" s="2"/>
      <c r="U2" s="2"/>
      <c r="V2" s="4"/>
      <c r="W2" s="4"/>
    </row>
    <row r="3" spans="1:23" s="5" customFormat="1" ht="15" customHeight="1" x14ac:dyDescent="0.25">
      <c r="B3" s="50" t="s">
        <v>593</v>
      </c>
      <c r="C3" s="64">
        <v>-65000</v>
      </c>
      <c r="D3" s="55">
        <f t="shared" si="0"/>
        <v>31385729</v>
      </c>
      <c r="E3" s="36" t="s">
        <v>530</v>
      </c>
      <c r="F3" s="67"/>
      <c r="G3" s="64"/>
      <c r="H3" s="64"/>
      <c r="I3" s="64"/>
      <c r="J3" s="64"/>
      <c r="K3" s="64">
        <f t="shared" si="1"/>
        <v>-65000</v>
      </c>
      <c r="L3" s="2">
        <f t="shared" ref="L3:L66" si="2">C3-F3-G3-H3-I3-J3-K3</f>
        <v>0</v>
      </c>
      <c r="M3" s="2"/>
      <c r="N3" s="2"/>
      <c r="O3" s="2"/>
      <c r="P3" s="2"/>
      <c r="Q3" s="2"/>
      <c r="R3" s="3"/>
      <c r="S3" s="3"/>
      <c r="T3" s="2"/>
      <c r="U3" s="2"/>
      <c r="V3" s="4"/>
      <c r="W3" s="4"/>
    </row>
    <row r="4" spans="1:23" s="5" customFormat="1" ht="15" customHeight="1" x14ac:dyDescent="0.25">
      <c r="A4" s="387"/>
      <c r="B4" s="50" t="s">
        <v>594</v>
      </c>
      <c r="C4" s="64">
        <v>-66300</v>
      </c>
      <c r="D4" s="55">
        <f t="shared" si="0"/>
        <v>31319429</v>
      </c>
      <c r="E4" s="36" t="s">
        <v>530</v>
      </c>
      <c r="F4" s="67"/>
      <c r="G4" s="64"/>
      <c r="H4" s="388"/>
      <c r="I4" s="64"/>
      <c r="J4" s="64"/>
      <c r="K4" s="64">
        <f t="shared" si="1"/>
        <v>-66300</v>
      </c>
      <c r="L4" s="2">
        <f t="shared" si="2"/>
        <v>0</v>
      </c>
      <c r="M4" s="2"/>
      <c r="N4" s="2"/>
      <c r="O4" s="2"/>
      <c r="P4" s="2"/>
      <c r="Q4" s="2"/>
      <c r="R4" s="3"/>
      <c r="S4" s="3"/>
      <c r="T4" s="2"/>
      <c r="U4" s="2"/>
      <c r="V4" s="4"/>
      <c r="W4" s="4"/>
    </row>
    <row r="5" spans="1:23" s="5" customFormat="1" ht="15" customHeight="1" x14ac:dyDescent="0.25">
      <c r="A5" s="389"/>
      <c r="B5" s="50" t="s">
        <v>595</v>
      </c>
      <c r="C5" s="64">
        <v>-90300</v>
      </c>
      <c r="D5" s="55">
        <f t="shared" si="0"/>
        <v>31229129</v>
      </c>
      <c r="E5" s="36" t="s">
        <v>530</v>
      </c>
      <c r="F5" s="67"/>
      <c r="G5" s="64"/>
      <c r="H5" s="64"/>
      <c r="I5" s="64"/>
      <c r="J5" s="64"/>
      <c r="K5" s="64">
        <f t="shared" si="1"/>
        <v>-90300</v>
      </c>
      <c r="L5" s="2">
        <f t="shared" si="2"/>
        <v>0</v>
      </c>
      <c r="M5" s="2"/>
      <c r="N5" s="2"/>
      <c r="O5" s="2"/>
      <c r="P5" s="2"/>
      <c r="Q5" s="2"/>
      <c r="R5" s="3"/>
      <c r="S5" s="3"/>
      <c r="T5" s="2"/>
      <c r="U5" s="2"/>
      <c r="V5" s="4"/>
      <c r="W5" s="4"/>
    </row>
    <row r="6" spans="1:23" s="5" customFormat="1" ht="15" customHeight="1" x14ac:dyDescent="0.25">
      <c r="B6" s="50" t="s">
        <v>264</v>
      </c>
      <c r="C6" s="64">
        <v>-31500</v>
      </c>
      <c r="D6" s="55">
        <f t="shared" si="0"/>
        <v>31197629</v>
      </c>
      <c r="E6" s="36" t="s">
        <v>530</v>
      </c>
      <c r="F6" s="67"/>
      <c r="G6" s="64"/>
      <c r="H6" s="64"/>
      <c r="I6" s="64"/>
      <c r="J6" s="64"/>
      <c r="K6" s="64">
        <f t="shared" si="1"/>
        <v>-31500</v>
      </c>
      <c r="L6" s="2">
        <f t="shared" si="2"/>
        <v>0</v>
      </c>
      <c r="M6" s="2"/>
      <c r="N6" s="2"/>
      <c r="O6" s="2"/>
      <c r="P6" s="2"/>
      <c r="Q6" s="2"/>
      <c r="R6" s="3"/>
      <c r="S6" s="3"/>
      <c r="T6" s="2"/>
      <c r="U6" s="2"/>
      <c r="V6" s="4"/>
      <c r="W6" s="4"/>
    </row>
    <row r="7" spans="1:23" s="5" customFormat="1" ht="15" customHeight="1" x14ac:dyDescent="0.25">
      <c r="A7" s="390"/>
      <c r="B7" s="50" t="s">
        <v>596</v>
      </c>
      <c r="C7" s="64">
        <v>-219000</v>
      </c>
      <c r="D7" s="55">
        <f t="shared" si="0"/>
        <v>30978629</v>
      </c>
      <c r="E7" s="36" t="s">
        <v>530</v>
      </c>
      <c r="F7" s="67"/>
      <c r="G7" s="64"/>
      <c r="H7" s="64"/>
      <c r="I7" s="64"/>
      <c r="J7" s="64"/>
      <c r="K7" s="64">
        <f t="shared" si="1"/>
        <v>-219000</v>
      </c>
      <c r="L7" s="2">
        <f t="shared" si="2"/>
        <v>0</v>
      </c>
      <c r="M7" s="2"/>
      <c r="N7" s="2"/>
      <c r="O7" s="2"/>
      <c r="P7" s="2"/>
      <c r="Q7" s="2"/>
      <c r="R7" s="3"/>
      <c r="S7" s="3"/>
      <c r="T7" s="2"/>
      <c r="U7" s="2"/>
      <c r="V7" s="4"/>
      <c r="W7" s="4"/>
    </row>
    <row r="8" spans="1:23" s="5" customFormat="1" ht="15" customHeight="1" x14ac:dyDescent="0.25">
      <c r="A8" s="390"/>
      <c r="B8" s="50" t="s">
        <v>264</v>
      </c>
      <c r="C8" s="64">
        <v>-4264600</v>
      </c>
      <c r="D8" s="55">
        <f t="shared" si="0"/>
        <v>26714029</v>
      </c>
      <c r="E8" s="36" t="s">
        <v>530</v>
      </c>
      <c r="F8" s="67"/>
      <c r="G8" s="64"/>
      <c r="H8" s="64"/>
      <c r="I8" s="64"/>
      <c r="J8" s="64"/>
      <c r="K8" s="64">
        <f t="shared" si="1"/>
        <v>-4264600</v>
      </c>
      <c r="L8" s="2">
        <f t="shared" si="2"/>
        <v>0</v>
      </c>
      <c r="M8" s="2"/>
      <c r="N8" s="2"/>
      <c r="O8" s="2"/>
      <c r="P8" s="2"/>
      <c r="Q8" s="2"/>
      <c r="R8" s="3"/>
      <c r="S8" s="3"/>
      <c r="T8" s="2"/>
      <c r="U8" s="2"/>
      <c r="V8" s="4"/>
      <c r="W8" s="4"/>
    </row>
    <row r="9" spans="1:23" s="5" customFormat="1" ht="15" customHeight="1" x14ac:dyDescent="0.25">
      <c r="A9" s="390"/>
      <c r="B9" s="50" t="s">
        <v>597</v>
      </c>
      <c r="C9" s="64">
        <v>-72500</v>
      </c>
      <c r="D9" s="55">
        <f t="shared" si="0"/>
        <v>26641529</v>
      </c>
      <c r="E9" s="36" t="s">
        <v>530</v>
      </c>
      <c r="F9" s="67"/>
      <c r="G9" s="64"/>
      <c r="H9" s="64"/>
      <c r="I9" s="64"/>
      <c r="J9" s="64"/>
      <c r="K9" s="64">
        <f t="shared" si="1"/>
        <v>-72500</v>
      </c>
      <c r="L9" s="2">
        <f t="shared" si="2"/>
        <v>0</v>
      </c>
      <c r="M9" s="2"/>
      <c r="N9" s="2"/>
      <c r="O9" s="2"/>
      <c r="P9" s="2"/>
      <c r="Q9" s="2"/>
      <c r="R9" s="3"/>
      <c r="S9" s="3"/>
      <c r="T9" s="2"/>
      <c r="U9" s="2"/>
      <c r="V9" s="4"/>
      <c r="W9" s="4"/>
    </row>
    <row r="10" spans="1:23" s="5" customFormat="1" ht="15" customHeight="1" x14ac:dyDescent="0.25">
      <c r="B10" s="50" t="s">
        <v>598</v>
      </c>
      <c r="C10" s="64">
        <v>-75000</v>
      </c>
      <c r="D10" s="55">
        <f t="shared" si="0"/>
        <v>26566529</v>
      </c>
      <c r="E10" s="36" t="s">
        <v>530</v>
      </c>
      <c r="F10" s="67"/>
      <c r="G10" s="64"/>
      <c r="H10" s="64"/>
      <c r="I10" s="64"/>
      <c r="J10" s="64"/>
      <c r="K10" s="64">
        <f t="shared" si="1"/>
        <v>-75000</v>
      </c>
      <c r="L10" s="2">
        <f t="shared" si="2"/>
        <v>0</v>
      </c>
      <c r="M10" s="2"/>
      <c r="N10" s="2"/>
      <c r="O10" s="2"/>
      <c r="P10" s="2"/>
      <c r="Q10" s="2"/>
      <c r="R10" s="3"/>
      <c r="S10" s="3"/>
      <c r="T10" s="2"/>
      <c r="U10" s="2"/>
      <c r="V10" s="4"/>
      <c r="W10" s="4"/>
    </row>
    <row r="11" spans="1:23" s="5" customFormat="1" ht="15" customHeight="1" x14ac:dyDescent="0.25">
      <c r="A11" s="164"/>
      <c r="B11" s="50" t="s">
        <v>18</v>
      </c>
      <c r="C11" s="64">
        <v>40000</v>
      </c>
      <c r="D11" s="55">
        <f t="shared" si="0"/>
        <v>26606529</v>
      </c>
      <c r="E11" s="36" t="s">
        <v>1</v>
      </c>
      <c r="F11" s="67"/>
      <c r="G11" s="64"/>
      <c r="H11" s="64">
        <f>C11</f>
        <v>40000</v>
      </c>
      <c r="I11" s="64"/>
      <c r="J11" s="64"/>
      <c r="K11" s="64"/>
      <c r="L11" s="2">
        <f t="shared" si="2"/>
        <v>0</v>
      </c>
      <c r="M11" s="2"/>
      <c r="N11" s="2"/>
      <c r="O11" s="2"/>
      <c r="P11" s="2"/>
      <c r="Q11" s="2"/>
      <c r="R11" s="3"/>
      <c r="S11" s="3"/>
      <c r="T11" s="2"/>
      <c r="U11" s="2"/>
      <c r="V11" s="4"/>
      <c r="W11" s="4"/>
    </row>
    <row r="12" spans="1:23" s="5" customFormat="1" ht="15" customHeight="1" x14ac:dyDescent="0.25">
      <c r="A12" s="389"/>
      <c r="B12" s="50" t="s">
        <v>267</v>
      </c>
      <c r="C12" s="64">
        <v>-1670000</v>
      </c>
      <c r="D12" s="55">
        <f t="shared" si="0"/>
        <v>24936529</v>
      </c>
      <c r="E12" s="36" t="s">
        <v>530</v>
      </c>
      <c r="F12" s="67"/>
      <c r="G12" s="64"/>
      <c r="H12" s="64"/>
      <c r="I12" s="64"/>
      <c r="J12" s="64"/>
      <c r="K12" s="64">
        <f>C12</f>
        <v>-1670000</v>
      </c>
      <c r="L12" s="2">
        <f t="shared" si="2"/>
        <v>0</v>
      </c>
      <c r="M12" s="2"/>
      <c r="N12" s="2"/>
      <c r="O12" s="2"/>
      <c r="P12" s="2"/>
      <c r="Q12" s="2"/>
      <c r="R12" s="3"/>
      <c r="S12" s="3"/>
      <c r="T12" s="2"/>
      <c r="U12" s="2"/>
      <c r="V12" s="4"/>
      <c r="W12" s="4"/>
    </row>
    <row r="13" spans="1:23" s="5" customFormat="1" ht="15" customHeight="1" x14ac:dyDescent="0.25">
      <c r="A13" s="6"/>
      <c r="B13" s="50" t="s">
        <v>599</v>
      </c>
      <c r="C13" s="64">
        <v>150000</v>
      </c>
      <c r="D13" s="55">
        <f t="shared" si="0"/>
        <v>25086529</v>
      </c>
      <c r="E13" s="36" t="s">
        <v>59</v>
      </c>
      <c r="F13" s="67"/>
      <c r="G13" s="64">
        <f>C13</f>
        <v>150000</v>
      </c>
      <c r="H13" s="64"/>
      <c r="I13" s="64"/>
      <c r="J13" s="64"/>
      <c r="K13" s="64"/>
      <c r="L13" s="2">
        <f t="shared" si="2"/>
        <v>0</v>
      </c>
      <c r="M13" s="2"/>
      <c r="N13" s="2"/>
      <c r="O13" s="2"/>
      <c r="P13" s="2"/>
      <c r="Q13" s="2"/>
      <c r="R13" s="3"/>
      <c r="S13" s="3"/>
      <c r="T13" s="2"/>
      <c r="U13" s="2"/>
      <c r="V13" s="4"/>
      <c r="W13" s="4"/>
    </row>
    <row r="14" spans="1:23" s="5" customFormat="1" ht="15" customHeight="1" x14ac:dyDescent="0.25">
      <c r="A14" s="164"/>
      <c r="B14" s="50" t="s">
        <v>264</v>
      </c>
      <c r="C14" s="64">
        <v>-2459000</v>
      </c>
      <c r="D14" s="55">
        <f t="shared" si="0"/>
        <v>22627529</v>
      </c>
      <c r="E14" s="36" t="s">
        <v>530</v>
      </c>
      <c r="F14" s="67"/>
      <c r="G14" s="64"/>
      <c r="H14" s="64"/>
      <c r="I14" s="64"/>
      <c r="J14" s="64"/>
      <c r="K14" s="64">
        <f>C14</f>
        <v>-2459000</v>
      </c>
      <c r="L14" s="2">
        <f t="shared" si="2"/>
        <v>0</v>
      </c>
      <c r="M14" s="2"/>
      <c r="N14" s="2"/>
      <c r="O14" s="2"/>
      <c r="P14" s="2"/>
      <c r="Q14" s="2"/>
      <c r="R14" s="3"/>
      <c r="S14" s="3"/>
      <c r="T14" s="2"/>
      <c r="U14" s="2"/>
      <c r="V14" s="4"/>
      <c r="W14" s="4"/>
    </row>
    <row r="15" spans="1:23" s="5" customFormat="1" ht="15" customHeight="1" x14ac:dyDescent="0.25">
      <c r="A15" s="164"/>
      <c r="B15" s="50" t="s">
        <v>600</v>
      </c>
      <c r="C15" s="64">
        <v>500000</v>
      </c>
      <c r="D15" s="55">
        <f t="shared" si="0"/>
        <v>23127529</v>
      </c>
      <c r="E15" s="36" t="s">
        <v>61</v>
      </c>
      <c r="F15" s="67"/>
      <c r="G15" s="64"/>
      <c r="H15" s="64"/>
      <c r="I15" s="64">
        <f>C15</f>
        <v>500000</v>
      </c>
      <c r="J15" s="64"/>
      <c r="K15" s="64"/>
      <c r="L15" s="2">
        <f t="shared" si="2"/>
        <v>0</v>
      </c>
      <c r="M15" s="2"/>
      <c r="N15" s="2"/>
      <c r="O15" s="2"/>
      <c r="P15" s="2"/>
      <c r="Q15" s="2"/>
      <c r="R15" s="3"/>
      <c r="S15" s="3"/>
      <c r="T15" s="2"/>
      <c r="U15" s="2"/>
      <c r="V15" s="4"/>
      <c r="W15" s="4"/>
    </row>
    <row r="16" spans="1:23" s="5" customFormat="1" ht="15" customHeight="1" x14ac:dyDescent="0.25">
      <c r="A16" s="99">
        <v>45353</v>
      </c>
      <c r="B16" s="50" t="s">
        <v>163</v>
      </c>
      <c r="C16" s="64">
        <v>-11000</v>
      </c>
      <c r="D16" s="55">
        <f t="shared" si="0"/>
        <v>23116529</v>
      </c>
      <c r="E16" s="36" t="s">
        <v>530</v>
      </c>
      <c r="F16" s="67"/>
      <c r="G16" s="64"/>
      <c r="H16" s="64"/>
      <c r="I16" s="64"/>
      <c r="J16" s="64"/>
      <c r="K16" s="64">
        <f>C16</f>
        <v>-11000</v>
      </c>
      <c r="L16" s="2">
        <f t="shared" si="2"/>
        <v>0</v>
      </c>
      <c r="M16" s="2"/>
      <c r="N16" s="2"/>
      <c r="O16" s="2"/>
      <c r="P16" s="2"/>
      <c r="Q16" s="2"/>
      <c r="R16" s="3"/>
      <c r="S16" s="3"/>
      <c r="T16" s="2"/>
      <c r="U16" s="2"/>
      <c r="V16" s="4"/>
      <c r="W16" s="4"/>
    </row>
    <row r="17" spans="1:23" s="5" customFormat="1" ht="15" customHeight="1" x14ac:dyDescent="0.25">
      <c r="B17" s="50" t="s">
        <v>601</v>
      </c>
      <c r="C17" s="64">
        <v>-65000</v>
      </c>
      <c r="D17" s="55">
        <f t="shared" si="0"/>
        <v>23051529</v>
      </c>
      <c r="E17" s="36" t="s">
        <v>530</v>
      </c>
      <c r="F17" s="67"/>
      <c r="G17" s="64"/>
      <c r="H17" s="64"/>
      <c r="I17" s="64"/>
      <c r="J17" s="64"/>
      <c r="K17" s="64">
        <f>C17</f>
        <v>-65000</v>
      </c>
      <c r="L17" s="2">
        <f t="shared" si="2"/>
        <v>0</v>
      </c>
      <c r="M17" s="2"/>
      <c r="N17" s="2"/>
      <c r="O17" s="2"/>
      <c r="P17" s="2"/>
      <c r="Q17" s="2"/>
      <c r="R17" s="3"/>
      <c r="S17" s="3"/>
      <c r="T17" s="2"/>
      <c r="U17" s="2"/>
      <c r="V17" s="4"/>
      <c r="W17" s="4"/>
    </row>
    <row r="18" spans="1:23" s="5" customFormat="1" ht="15" customHeight="1" x14ac:dyDescent="0.25">
      <c r="A18" s="390"/>
      <c r="B18" s="50" t="s">
        <v>602</v>
      </c>
      <c r="C18" s="64">
        <v>1800000</v>
      </c>
      <c r="D18" s="55">
        <f t="shared" si="0"/>
        <v>24851529</v>
      </c>
      <c r="E18" s="36" t="s">
        <v>61</v>
      </c>
      <c r="F18" s="67"/>
      <c r="G18" s="64"/>
      <c r="H18" s="64"/>
      <c r="I18" s="64">
        <f>C18</f>
        <v>1800000</v>
      </c>
      <c r="J18" s="64"/>
      <c r="K18" s="64"/>
      <c r="L18" s="2">
        <f t="shared" si="2"/>
        <v>0</v>
      </c>
      <c r="M18" s="2"/>
      <c r="N18" s="2"/>
      <c r="O18" s="2"/>
      <c r="P18" s="2"/>
      <c r="Q18" s="2"/>
      <c r="R18" s="3"/>
      <c r="S18" s="3"/>
      <c r="T18" s="2"/>
      <c r="U18" s="2"/>
      <c r="V18" s="4"/>
      <c r="W18" s="4"/>
    </row>
    <row r="19" spans="1:23" s="5" customFormat="1" ht="15" customHeight="1" x14ac:dyDescent="0.25">
      <c r="B19" s="50" t="s">
        <v>264</v>
      </c>
      <c r="C19" s="64">
        <v>-1413000</v>
      </c>
      <c r="D19" s="55">
        <f t="shared" si="0"/>
        <v>23438529</v>
      </c>
      <c r="E19" s="36" t="s">
        <v>530</v>
      </c>
      <c r="F19" s="67"/>
      <c r="G19" s="64"/>
      <c r="H19" s="64"/>
      <c r="I19" s="64"/>
      <c r="J19" s="64"/>
      <c r="K19" s="64">
        <f t="shared" ref="K19:K31" si="3">C19</f>
        <v>-1413000</v>
      </c>
      <c r="L19" s="2">
        <f t="shared" si="2"/>
        <v>0</v>
      </c>
      <c r="M19" s="2"/>
      <c r="N19" s="2"/>
      <c r="O19" s="2"/>
      <c r="P19" s="2"/>
      <c r="Q19" s="2"/>
      <c r="R19" s="3"/>
      <c r="S19" s="3"/>
      <c r="T19" s="2"/>
      <c r="U19" s="2"/>
      <c r="V19" s="4"/>
      <c r="W19" s="4"/>
    </row>
    <row r="20" spans="1:23" s="5" customFormat="1" ht="15" customHeight="1" x14ac:dyDescent="0.25">
      <c r="A20" s="164"/>
      <c r="B20" s="50" t="s">
        <v>220</v>
      </c>
      <c r="C20" s="64">
        <v>-174000</v>
      </c>
      <c r="D20" s="55">
        <f t="shared" si="0"/>
        <v>23264529</v>
      </c>
      <c r="E20" s="36" t="s">
        <v>530</v>
      </c>
      <c r="F20" s="67"/>
      <c r="G20" s="64"/>
      <c r="H20" s="64"/>
      <c r="I20" s="64"/>
      <c r="J20" s="64"/>
      <c r="K20" s="64">
        <f t="shared" si="3"/>
        <v>-174000</v>
      </c>
      <c r="L20" s="2">
        <f t="shared" si="2"/>
        <v>0</v>
      </c>
      <c r="M20" s="2"/>
      <c r="N20" s="2"/>
      <c r="O20" s="2"/>
      <c r="P20" s="2"/>
      <c r="Q20" s="2"/>
      <c r="R20" s="3"/>
      <c r="S20" s="3"/>
      <c r="T20" s="2"/>
      <c r="U20" s="2"/>
      <c r="V20" s="4"/>
      <c r="W20" s="4"/>
    </row>
    <row r="21" spans="1:23" s="5" customFormat="1" ht="15" customHeight="1" x14ac:dyDescent="0.25">
      <c r="A21" s="164"/>
      <c r="B21" s="50" t="s">
        <v>603</v>
      </c>
      <c r="C21" s="64">
        <v>-25000</v>
      </c>
      <c r="D21" s="55">
        <f t="shared" si="0"/>
        <v>23239529</v>
      </c>
      <c r="E21" s="36" t="s">
        <v>530</v>
      </c>
      <c r="F21" s="67"/>
      <c r="G21" s="64"/>
      <c r="H21" s="64"/>
      <c r="I21" s="64"/>
      <c r="J21" s="64"/>
      <c r="K21" s="64">
        <f t="shared" si="3"/>
        <v>-25000</v>
      </c>
      <c r="L21" s="2">
        <f t="shared" si="2"/>
        <v>0</v>
      </c>
      <c r="M21" s="2"/>
      <c r="N21" s="2"/>
      <c r="O21" s="2"/>
      <c r="P21" s="2"/>
      <c r="Q21" s="2"/>
      <c r="R21" s="3"/>
      <c r="S21" s="3"/>
      <c r="T21" s="2"/>
      <c r="U21" s="2"/>
      <c r="V21" s="4"/>
      <c r="W21" s="4"/>
    </row>
    <row r="22" spans="1:23" s="5" customFormat="1" ht="15" customHeight="1" x14ac:dyDescent="0.25">
      <c r="A22" s="164"/>
      <c r="B22" s="50" t="s">
        <v>240</v>
      </c>
      <c r="C22" s="64">
        <v>-142000</v>
      </c>
      <c r="D22" s="55">
        <f t="shared" si="0"/>
        <v>23097529</v>
      </c>
      <c r="E22" s="36" t="s">
        <v>530</v>
      </c>
      <c r="F22" s="67"/>
      <c r="G22" s="64"/>
      <c r="H22" s="64"/>
      <c r="I22" s="64"/>
      <c r="J22" s="64"/>
      <c r="K22" s="64">
        <f t="shared" si="3"/>
        <v>-142000</v>
      </c>
      <c r="L22" s="2">
        <f t="shared" si="2"/>
        <v>0</v>
      </c>
      <c r="M22" s="2"/>
      <c r="N22" s="2"/>
      <c r="O22" s="2"/>
      <c r="P22" s="2"/>
      <c r="Q22" s="2"/>
      <c r="R22" s="3"/>
      <c r="S22" s="3"/>
      <c r="T22" s="2"/>
      <c r="U22" s="2"/>
      <c r="V22" s="4"/>
      <c r="W22" s="4"/>
    </row>
    <row r="23" spans="1:23" s="5" customFormat="1" ht="15" customHeight="1" x14ac:dyDescent="0.25">
      <c r="A23" s="390"/>
      <c r="B23" s="50" t="s">
        <v>604</v>
      </c>
      <c r="C23" s="64">
        <v>-715000</v>
      </c>
      <c r="D23" s="55">
        <f t="shared" si="0"/>
        <v>22382529</v>
      </c>
      <c r="E23" s="36" t="s">
        <v>530</v>
      </c>
      <c r="F23" s="67"/>
      <c r="G23" s="64"/>
      <c r="H23" s="64"/>
      <c r="I23" s="64"/>
      <c r="J23" s="64"/>
      <c r="K23" s="64">
        <f t="shared" si="3"/>
        <v>-715000</v>
      </c>
      <c r="L23" s="2">
        <f t="shared" si="2"/>
        <v>0</v>
      </c>
      <c r="M23" s="2"/>
      <c r="N23" s="2"/>
      <c r="O23" s="2"/>
      <c r="P23" s="2"/>
      <c r="Q23" s="2"/>
      <c r="R23" s="3"/>
      <c r="S23" s="3"/>
      <c r="T23" s="2"/>
      <c r="U23" s="2"/>
      <c r="V23" s="4"/>
      <c r="W23" s="4"/>
    </row>
    <row r="24" spans="1:23" s="5" customFormat="1" ht="15" customHeight="1" x14ac:dyDescent="0.25">
      <c r="A24" s="55"/>
      <c r="B24" s="50" t="s">
        <v>605</v>
      </c>
      <c r="C24" s="64">
        <v>-492368</v>
      </c>
      <c r="D24" s="55">
        <f t="shared" si="0"/>
        <v>21890161</v>
      </c>
      <c r="E24" s="36" t="s">
        <v>530</v>
      </c>
      <c r="F24" s="67"/>
      <c r="G24" s="64"/>
      <c r="H24" s="64"/>
      <c r="I24" s="64"/>
      <c r="J24" s="64"/>
      <c r="K24" s="64">
        <f t="shared" si="3"/>
        <v>-492368</v>
      </c>
      <c r="L24" s="2">
        <f t="shared" si="2"/>
        <v>0</v>
      </c>
      <c r="M24" s="2"/>
      <c r="N24" s="2"/>
      <c r="O24" s="2"/>
      <c r="P24" s="2"/>
      <c r="Q24" s="2"/>
      <c r="R24" s="3"/>
      <c r="S24" s="3"/>
      <c r="T24" s="2"/>
      <c r="U24" s="2"/>
      <c r="V24" s="4"/>
      <c r="W24" s="4"/>
    </row>
    <row r="25" spans="1:23" s="5" customFormat="1" ht="15" customHeight="1" x14ac:dyDescent="0.25">
      <c r="A25" s="390"/>
      <c r="B25" s="50" t="s">
        <v>185</v>
      </c>
      <c r="C25" s="64">
        <v>-116200</v>
      </c>
      <c r="D25" s="55">
        <f t="shared" si="0"/>
        <v>21773961</v>
      </c>
      <c r="E25" s="36" t="s">
        <v>530</v>
      </c>
      <c r="F25" s="67"/>
      <c r="G25" s="64"/>
      <c r="H25" s="64"/>
      <c r="I25" s="64"/>
      <c r="J25" s="64"/>
      <c r="K25" s="64">
        <f t="shared" si="3"/>
        <v>-116200</v>
      </c>
      <c r="L25" s="2">
        <f t="shared" si="2"/>
        <v>0</v>
      </c>
      <c r="M25" s="2"/>
      <c r="N25" s="2"/>
      <c r="O25" s="2"/>
      <c r="P25" s="2"/>
      <c r="Q25" s="2"/>
      <c r="R25" s="3"/>
      <c r="S25" s="3"/>
      <c r="T25" s="2"/>
      <c r="U25" s="2"/>
      <c r="V25" s="4"/>
      <c r="W25" s="4"/>
    </row>
    <row r="26" spans="1:23" s="5" customFormat="1" ht="15" customHeight="1" x14ac:dyDescent="0.25">
      <c r="A26" s="389"/>
      <c r="B26" s="50" t="s">
        <v>185</v>
      </c>
      <c r="C26" s="64">
        <v>-135500</v>
      </c>
      <c r="D26" s="55">
        <f t="shared" si="0"/>
        <v>21638461</v>
      </c>
      <c r="E26" s="36" t="s">
        <v>530</v>
      </c>
      <c r="F26" s="67"/>
      <c r="G26" s="64"/>
      <c r="H26" s="64"/>
      <c r="I26" s="64"/>
      <c r="J26" s="64"/>
      <c r="K26" s="64">
        <f t="shared" si="3"/>
        <v>-135500</v>
      </c>
      <c r="L26" s="2">
        <f t="shared" si="2"/>
        <v>0</v>
      </c>
      <c r="M26" s="2"/>
      <c r="N26" s="2"/>
      <c r="O26" s="2"/>
      <c r="P26" s="2"/>
      <c r="Q26" s="2"/>
      <c r="R26" s="3"/>
      <c r="S26" s="3"/>
      <c r="T26" s="2"/>
      <c r="U26" s="2"/>
      <c r="V26" s="4"/>
      <c r="W26" s="4"/>
    </row>
    <row r="27" spans="1:23" s="5" customFormat="1" ht="15" customHeight="1" x14ac:dyDescent="0.25">
      <c r="B27" s="50" t="s">
        <v>240</v>
      </c>
      <c r="C27" s="64">
        <v>-70000</v>
      </c>
      <c r="D27" s="55">
        <f t="shared" si="0"/>
        <v>21568461</v>
      </c>
      <c r="E27" s="36" t="s">
        <v>530</v>
      </c>
      <c r="F27" s="67"/>
      <c r="G27" s="64"/>
      <c r="H27" s="64"/>
      <c r="I27" s="64"/>
      <c r="J27" s="64"/>
      <c r="K27" s="64">
        <f t="shared" si="3"/>
        <v>-70000</v>
      </c>
      <c r="L27" s="2">
        <f t="shared" si="2"/>
        <v>0</v>
      </c>
      <c r="M27" s="2"/>
      <c r="N27" s="2"/>
      <c r="O27" s="2"/>
      <c r="P27" s="2"/>
      <c r="Q27" s="2"/>
      <c r="R27" s="3"/>
      <c r="S27" s="3"/>
      <c r="T27" s="2"/>
      <c r="U27" s="2"/>
      <c r="V27" s="4"/>
      <c r="W27" s="4"/>
    </row>
    <row r="28" spans="1:23" s="5" customFormat="1" ht="15" customHeight="1" x14ac:dyDescent="0.25">
      <c r="A28" s="390"/>
      <c r="B28" s="50" t="s">
        <v>606</v>
      </c>
      <c r="C28" s="64"/>
      <c r="D28" s="55">
        <f t="shared" si="0"/>
        <v>21568461</v>
      </c>
      <c r="E28" s="36" t="s">
        <v>61</v>
      </c>
      <c r="F28" s="67"/>
      <c r="G28" s="64"/>
      <c r="H28" s="64"/>
      <c r="I28" s="64"/>
      <c r="J28" s="64"/>
      <c r="K28" s="64">
        <f t="shared" si="3"/>
        <v>0</v>
      </c>
      <c r="L28" s="2">
        <f t="shared" si="2"/>
        <v>0</v>
      </c>
      <c r="M28" s="2"/>
      <c r="N28" s="2"/>
      <c r="O28" s="2"/>
      <c r="P28" s="2"/>
      <c r="Q28" s="2"/>
      <c r="R28" s="3"/>
      <c r="S28" s="3"/>
      <c r="T28" s="2"/>
      <c r="U28" s="2"/>
      <c r="V28" s="4"/>
      <c r="W28" s="4"/>
    </row>
    <row r="29" spans="1:23" s="5" customFormat="1" ht="15" customHeight="1" x14ac:dyDescent="0.25">
      <c r="B29" s="50" t="s">
        <v>607</v>
      </c>
      <c r="C29" s="64"/>
      <c r="D29" s="55">
        <f t="shared" si="0"/>
        <v>21568461</v>
      </c>
      <c r="E29" s="36" t="s">
        <v>61</v>
      </c>
      <c r="F29" s="67"/>
      <c r="G29" s="64"/>
      <c r="H29" s="64"/>
      <c r="I29" s="64"/>
      <c r="J29" s="64"/>
      <c r="K29" s="64">
        <f t="shared" si="3"/>
        <v>0</v>
      </c>
      <c r="L29" s="2">
        <f t="shared" si="2"/>
        <v>0</v>
      </c>
      <c r="M29" s="2"/>
      <c r="N29" s="2"/>
      <c r="O29" s="2"/>
      <c r="P29" s="2"/>
      <c r="Q29" s="2"/>
      <c r="R29" s="3"/>
      <c r="S29" s="3"/>
      <c r="T29" s="2"/>
      <c r="U29" s="2"/>
      <c r="V29" s="4"/>
      <c r="W29" s="4"/>
    </row>
    <row r="30" spans="1:23" s="5" customFormat="1" ht="15" customHeight="1" x14ac:dyDescent="0.25">
      <c r="A30" s="390"/>
      <c r="B30" s="50" t="s">
        <v>264</v>
      </c>
      <c r="C30" s="64">
        <v>-1022000</v>
      </c>
      <c r="D30" s="55">
        <f t="shared" si="0"/>
        <v>20546461</v>
      </c>
      <c r="E30" s="36" t="s">
        <v>530</v>
      </c>
      <c r="F30" s="67"/>
      <c r="G30" s="64"/>
      <c r="H30" s="64"/>
      <c r="I30" s="64"/>
      <c r="J30" s="64"/>
      <c r="K30" s="64">
        <f t="shared" si="3"/>
        <v>-1022000</v>
      </c>
      <c r="L30" s="2">
        <f t="shared" si="2"/>
        <v>0</v>
      </c>
      <c r="M30" s="2"/>
      <c r="N30" s="2"/>
      <c r="O30" s="2"/>
      <c r="P30" s="2"/>
      <c r="Q30" s="2"/>
      <c r="R30" s="3"/>
      <c r="S30" s="3"/>
      <c r="T30" s="2"/>
      <c r="U30" s="2"/>
      <c r="V30" s="4"/>
      <c r="W30" s="4"/>
    </row>
    <row r="31" spans="1:23" s="5" customFormat="1" ht="15" customHeight="1" x14ac:dyDescent="0.25">
      <c r="A31" s="389"/>
      <c r="B31" s="50" t="s">
        <v>608</v>
      </c>
      <c r="C31" s="64">
        <v>-2500000</v>
      </c>
      <c r="D31" s="55">
        <f t="shared" si="0"/>
        <v>18046461</v>
      </c>
      <c r="E31" s="36" t="s">
        <v>530</v>
      </c>
      <c r="F31" s="67"/>
      <c r="G31" s="64"/>
      <c r="H31" s="64"/>
      <c r="I31" s="64"/>
      <c r="J31" s="64"/>
      <c r="K31" s="64">
        <f t="shared" si="3"/>
        <v>-2500000</v>
      </c>
      <c r="L31" s="2">
        <f t="shared" si="2"/>
        <v>0</v>
      </c>
      <c r="M31" s="2"/>
      <c r="N31" s="2"/>
      <c r="O31" s="2"/>
      <c r="P31" s="2"/>
      <c r="Q31" s="2"/>
      <c r="R31" s="3"/>
      <c r="S31" s="3"/>
      <c r="T31" s="2"/>
      <c r="U31" s="2"/>
      <c r="V31" s="4"/>
      <c r="W31" s="4"/>
    </row>
    <row r="32" spans="1:23" s="5" customFormat="1" ht="15" customHeight="1" x14ac:dyDescent="0.25">
      <c r="A32" s="6"/>
      <c r="B32" s="50" t="s">
        <v>18</v>
      </c>
      <c r="C32" s="64">
        <v>90000</v>
      </c>
      <c r="D32" s="55">
        <f t="shared" si="0"/>
        <v>18136461</v>
      </c>
      <c r="E32" s="36" t="s">
        <v>1</v>
      </c>
      <c r="F32" s="67"/>
      <c r="G32" s="64"/>
      <c r="H32" s="64">
        <f>C32</f>
        <v>90000</v>
      </c>
      <c r="I32" s="64"/>
      <c r="J32" s="64"/>
      <c r="K32" s="64"/>
      <c r="L32" s="2">
        <f t="shared" si="2"/>
        <v>0</v>
      </c>
      <c r="M32" s="2"/>
      <c r="N32" s="2"/>
      <c r="O32" s="2"/>
      <c r="P32" s="2"/>
      <c r="Q32" s="2"/>
      <c r="R32" s="3"/>
      <c r="S32" s="3"/>
      <c r="T32" s="2"/>
      <c r="U32" s="2"/>
      <c r="V32" s="4"/>
      <c r="W32" s="4"/>
    </row>
    <row r="33" spans="1:23" s="5" customFormat="1" ht="15" customHeight="1" x14ac:dyDescent="0.25">
      <c r="A33" s="6"/>
      <c r="B33" s="50" t="s">
        <v>609</v>
      </c>
      <c r="C33" s="64">
        <v>-75000</v>
      </c>
      <c r="D33" s="55">
        <f t="shared" si="0"/>
        <v>18061461</v>
      </c>
      <c r="E33" s="36" t="s">
        <v>530</v>
      </c>
      <c r="F33" s="67"/>
      <c r="G33" s="64"/>
      <c r="H33" s="64"/>
      <c r="I33" s="64"/>
      <c r="J33" s="64"/>
      <c r="K33" s="64">
        <f>C33</f>
        <v>-75000</v>
      </c>
      <c r="L33" s="2">
        <f t="shared" si="2"/>
        <v>0</v>
      </c>
      <c r="M33" s="2"/>
      <c r="N33" s="2"/>
      <c r="O33" s="2"/>
      <c r="P33" s="2"/>
      <c r="Q33" s="2"/>
      <c r="R33" s="3"/>
      <c r="S33" s="3"/>
      <c r="T33" s="2"/>
      <c r="U33" s="2"/>
      <c r="V33" s="4"/>
      <c r="W33" s="4"/>
    </row>
    <row r="34" spans="1:23" s="5" customFormat="1" ht="15" customHeight="1" x14ac:dyDescent="0.25">
      <c r="A34" s="163"/>
      <c r="B34" s="50" t="s">
        <v>610</v>
      </c>
      <c r="C34" s="64">
        <v>1240000</v>
      </c>
      <c r="D34" s="55">
        <f t="shared" si="0"/>
        <v>19301461</v>
      </c>
      <c r="E34" s="36" t="s">
        <v>214</v>
      </c>
      <c r="F34" s="67">
        <f>C34</f>
        <v>1240000</v>
      </c>
      <c r="G34" s="64"/>
      <c r="H34" s="64"/>
      <c r="I34" s="64"/>
      <c r="J34" s="64"/>
      <c r="K34" s="64"/>
      <c r="L34" s="2">
        <f t="shared" si="2"/>
        <v>0</v>
      </c>
      <c r="M34" s="2"/>
      <c r="N34" s="2"/>
      <c r="O34" s="2"/>
      <c r="P34" s="2"/>
      <c r="Q34" s="2"/>
      <c r="R34" s="3"/>
      <c r="S34" s="3"/>
      <c r="T34" s="2"/>
      <c r="U34" s="2"/>
      <c r="V34" s="4"/>
      <c r="W34" s="4"/>
    </row>
    <row r="35" spans="1:23" s="5" customFormat="1" ht="15" customHeight="1" x14ac:dyDescent="0.25">
      <c r="A35" s="390"/>
      <c r="B35" s="50" t="s">
        <v>611</v>
      </c>
      <c r="C35" s="64">
        <v>30330000</v>
      </c>
      <c r="D35" s="55">
        <f t="shared" si="0"/>
        <v>49631461</v>
      </c>
      <c r="E35" s="36" t="s">
        <v>214</v>
      </c>
      <c r="F35" s="67">
        <f>C35</f>
        <v>30330000</v>
      </c>
      <c r="G35" s="64"/>
      <c r="H35" s="64"/>
      <c r="I35" s="64"/>
      <c r="J35" s="64"/>
      <c r="K35" s="64"/>
      <c r="L35" s="2">
        <f t="shared" si="2"/>
        <v>0</v>
      </c>
      <c r="M35" s="2"/>
      <c r="N35" s="2"/>
      <c r="O35" s="2"/>
      <c r="P35" s="2"/>
      <c r="Q35" s="2"/>
      <c r="R35" s="3"/>
      <c r="S35" s="3"/>
      <c r="T35" s="2"/>
      <c r="U35" s="2"/>
      <c r="V35" s="4"/>
      <c r="W35" s="4"/>
    </row>
    <row r="36" spans="1:23" s="5" customFormat="1" ht="15" customHeight="1" x14ac:dyDescent="0.25">
      <c r="A36" s="6"/>
      <c r="B36" s="50" t="s">
        <v>264</v>
      </c>
      <c r="C36" s="64">
        <v>-1639000</v>
      </c>
      <c r="D36" s="55">
        <f t="shared" si="0"/>
        <v>47992461</v>
      </c>
      <c r="E36" s="36" t="s">
        <v>530</v>
      </c>
      <c r="F36" s="67"/>
      <c r="G36" s="64"/>
      <c r="H36" s="64"/>
      <c r="I36" s="64"/>
      <c r="J36" s="64"/>
      <c r="K36" s="64">
        <f t="shared" ref="K36:K48" si="4">C36</f>
        <v>-1639000</v>
      </c>
      <c r="L36" s="2">
        <f t="shared" si="2"/>
        <v>0</v>
      </c>
      <c r="M36" s="2"/>
      <c r="N36" s="2"/>
      <c r="O36" s="2"/>
      <c r="P36" s="2"/>
      <c r="Q36" s="2"/>
      <c r="R36" s="3"/>
      <c r="S36" s="3"/>
      <c r="T36" s="2"/>
      <c r="U36" s="2"/>
      <c r="V36" s="4"/>
      <c r="W36" s="4"/>
    </row>
    <row r="37" spans="1:23" s="5" customFormat="1" ht="15" customHeight="1" x14ac:dyDescent="0.25">
      <c r="A37" s="99">
        <v>45354</v>
      </c>
      <c r="B37" s="50" t="s">
        <v>163</v>
      </c>
      <c r="C37" s="64">
        <v>-11000</v>
      </c>
      <c r="D37" s="55">
        <f t="shared" si="0"/>
        <v>47981461</v>
      </c>
      <c r="E37" s="36" t="s">
        <v>530</v>
      </c>
      <c r="F37" s="67"/>
      <c r="G37" s="64"/>
      <c r="H37" s="64"/>
      <c r="I37" s="64"/>
      <c r="J37" s="64"/>
      <c r="K37" s="64">
        <f t="shared" si="4"/>
        <v>-11000</v>
      </c>
      <c r="L37" s="2">
        <f t="shared" si="2"/>
        <v>0</v>
      </c>
      <c r="M37" s="2"/>
      <c r="N37" s="2"/>
      <c r="O37" s="2"/>
      <c r="P37" s="2"/>
      <c r="Q37" s="2"/>
      <c r="R37" s="3"/>
      <c r="S37" s="3"/>
      <c r="T37" s="2"/>
      <c r="U37" s="2"/>
      <c r="V37" s="4"/>
      <c r="W37" s="4"/>
    </row>
    <row r="38" spans="1:23" s="5" customFormat="1" ht="15" customHeight="1" x14ac:dyDescent="0.25">
      <c r="B38" s="50" t="s">
        <v>612</v>
      </c>
      <c r="C38" s="64">
        <v>-360000</v>
      </c>
      <c r="D38" s="55">
        <f t="shared" si="0"/>
        <v>47621461</v>
      </c>
      <c r="E38" s="36" t="s">
        <v>530</v>
      </c>
      <c r="F38" s="67"/>
      <c r="G38" s="64"/>
      <c r="H38" s="64"/>
      <c r="I38" s="64"/>
      <c r="J38" s="64"/>
      <c r="K38" s="64">
        <f t="shared" si="4"/>
        <v>-360000</v>
      </c>
      <c r="L38" s="2">
        <f t="shared" si="2"/>
        <v>0</v>
      </c>
      <c r="M38" s="2"/>
      <c r="N38" s="2"/>
      <c r="O38" s="2"/>
      <c r="P38" s="2"/>
      <c r="Q38" s="2"/>
      <c r="R38" s="3"/>
      <c r="S38" s="3"/>
      <c r="T38" s="2"/>
      <c r="U38" s="2"/>
      <c r="V38" s="4"/>
      <c r="W38" s="4"/>
    </row>
    <row r="39" spans="1:23" s="5" customFormat="1" ht="15" customHeight="1" x14ac:dyDescent="0.25">
      <c r="A39" s="6"/>
      <c r="B39" s="50" t="s">
        <v>264</v>
      </c>
      <c r="C39" s="64">
        <v>-1637000</v>
      </c>
      <c r="D39" s="55">
        <f t="shared" si="0"/>
        <v>45984461</v>
      </c>
      <c r="E39" s="36" t="s">
        <v>530</v>
      </c>
      <c r="F39" s="67"/>
      <c r="G39" s="64"/>
      <c r="H39" s="64"/>
      <c r="I39" s="64"/>
      <c r="J39" s="64"/>
      <c r="K39" s="64">
        <f t="shared" si="4"/>
        <v>-1637000</v>
      </c>
      <c r="L39" s="2">
        <f t="shared" si="2"/>
        <v>0</v>
      </c>
      <c r="M39" s="2"/>
      <c r="N39" s="2"/>
      <c r="O39" s="2"/>
      <c r="P39" s="2"/>
      <c r="Q39" s="2"/>
      <c r="R39" s="3"/>
      <c r="S39" s="3"/>
      <c r="T39" s="2"/>
      <c r="U39" s="2"/>
      <c r="V39" s="4"/>
      <c r="W39" s="4"/>
    </row>
    <row r="40" spans="1:23" s="5" customFormat="1" ht="15" customHeight="1" x14ac:dyDescent="0.25">
      <c r="A40" s="163"/>
      <c r="B40" s="50" t="s">
        <v>613</v>
      </c>
      <c r="C40" s="64">
        <v>-1100000</v>
      </c>
      <c r="D40" s="55">
        <f t="shared" si="0"/>
        <v>44884461</v>
      </c>
      <c r="E40" s="36" t="s">
        <v>530</v>
      </c>
      <c r="F40" s="67"/>
      <c r="G40" s="64"/>
      <c r="H40" s="64"/>
      <c r="I40" s="64"/>
      <c r="J40" s="64"/>
      <c r="K40" s="64">
        <f t="shared" si="4"/>
        <v>-1100000</v>
      </c>
      <c r="L40" s="2">
        <f t="shared" si="2"/>
        <v>0</v>
      </c>
      <c r="M40" s="2"/>
      <c r="N40" s="2"/>
      <c r="O40" s="2"/>
      <c r="P40" s="2"/>
      <c r="Q40" s="2"/>
      <c r="R40" s="3"/>
      <c r="S40" s="3"/>
      <c r="T40" s="2"/>
      <c r="U40" s="2"/>
      <c r="V40" s="4"/>
      <c r="W40" s="4"/>
    </row>
    <row r="41" spans="1:23" s="5" customFormat="1" ht="15" customHeight="1" x14ac:dyDescent="0.25">
      <c r="A41" s="163"/>
      <c r="B41" s="50" t="s">
        <v>614</v>
      </c>
      <c r="C41" s="64">
        <v>-65000</v>
      </c>
      <c r="D41" s="55">
        <f t="shared" si="0"/>
        <v>44819461</v>
      </c>
      <c r="E41" s="36" t="s">
        <v>530</v>
      </c>
      <c r="F41" s="67"/>
      <c r="G41" s="64"/>
      <c r="H41" s="64"/>
      <c r="I41" s="64"/>
      <c r="J41" s="64"/>
      <c r="K41" s="64">
        <f t="shared" si="4"/>
        <v>-65000</v>
      </c>
      <c r="L41" s="2">
        <f t="shared" si="2"/>
        <v>0</v>
      </c>
      <c r="M41" s="2"/>
      <c r="N41" s="2"/>
      <c r="O41" s="2"/>
      <c r="P41" s="2"/>
      <c r="Q41" s="2"/>
      <c r="R41" s="3"/>
      <c r="S41" s="3"/>
      <c r="T41" s="2"/>
      <c r="U41" s="2"/>
      <c r="V41" s="4"/>
      <c r="W41" s="4"/>
    </row>
    <row r="42" spans="1:23" s="5" customFormat="1" ht="15" customHeight="1" x14ac:dyDescent="0.25">
      <c r="A42" s="390"/>
      <c r="B42" s="50" t="s">
        <v>615</v>
      </c>
      <c r="C42" s="64">
        <v>-65000</v>
      </c>
      <c r="D42" s="55">
        <f t="shared" si="0"/>
        <v>44754461</v>
      </c>
      <c r="E42" s="36" t="s">
        <v>530</v>
      </c>
      <c r="F42" s="67"/>
      <c r="G42" s="64"/>
      <c r="H42" s="64"/>
      <c r="I42" s="64"/>
      <c r="J42" s="64"/>
      <c r="K42" s="64">
        <f t="shared" si="4"/>
        <v>-65000</v>
      </c>
      <c r="L42" s="2">
        <f t="shared" si="2"/>
        <v>0</v>
      </c>
      <c r="M42" s="2"/>
      <c r="N42" s="2"/>
      <c r="O42" s="2"/>
      <c r="P42" s="2"/>
      <c r="Q42" s="2"/>
      <c r="R42" s="3"/>
      <c r="S42" s="3"/>
      <c r="T42" s="2"/>
      <c r="U42" s="2"/>
      <c r="V42" s="4"/>
      <c r="W42" s="4"/>
    </row>
    <row r="43" spans="1:23" s="5" customFormat="1" ht="15" customHeight="1" x14ac:dyDescent="0.25">
      <c r="A43" s="6"/>
      <c r="B43" s="50" t="s">
        <v>616</v>
      </c>
      <c r="C43" s="64">
        <v>-30000</v>
      </c>
      <c r="D43" s="55">
        <f t="shared" si="0"/>
        <v>44724461</v>
      </c>
      <c r="E43" s="36" t="s">
        <v>530</v>
      </c>
      <c r="F43" s="67"/>
      <c r="G43" s="64"/>
      <c r="H43" s="64"/>
      <c r="I43" s="64"/>
      <c r="J43" s="64"/>
      <c r="K43" s="64">
        <f t="shared" si="4"/>
        <v>-30000</v>
      </c>
      <c r="L43" s="2">
        <f t="shared" si="2"/>
        <v>0</v>
      </c>
      <c r="M43" s="2"/>
      <c r="N43" s="2"/>
      <c r="O43" s="2"/>
      <c r="P43" s="2"/>
      <c r="Q43" s="2"/>
      <c r="R43" s="3"/>
      <c r="S43" s="3"/>
      <c r="T43" s="2"/>
      <c r="U43" s="2"/>
      <c r="V43" s="4"/>
      <c r="W43" s="4"/>
    </row>
    <row r="44" spans="1:23" s="5" customFormat="1" ht="15" customHeight="1" x14ac:dyDescent="0.25">
      <c r="A44" s="389"/>
      <c r="B44" s="50" t="s">
        <v>617</v>
      </c>
      <c r="C44" s="64">
        <v>-92500</v>
      </c>
      <c r="D44" s="55">
        <f t="shared" si="0"/>
        <v>44631961</v>
      </c>
      <c r="E44" s="36" t="s">
        <v>530</v>
      </c>
      <c r="F44" s="67"/>
      <c r="G44" s="64"/>
      <c r="H44" s="64"/>
      <c r="I44" s="64"/>
      <c r="J44" s="64"/>
      <c r="K44" s="64">
        <f t="shared" si="4"/>
        <v>-92500</v>
      </c>
      <c r="L44" s="2">
        <f t="shared" si="2"/>
        <v>0</v>
      </c>
      <c r="M44" s="2"/>
      <c r="N44" s="2"/>
      <c r="O44" s="2"/>
      <c r="P44" s="2"/>
      <c r="Q44" s="2"/>
      <c r="R44" s="3"/>
      <c r="S44" s="3"/>
      <c r="T44" s="2"/>
      <c r="U44" s="2"/>
      <c r="V44" s="4"/>
      <c r="W44" s="4"/>
    </row>
    <row r="45" spans="1:23" s="5" customFormat="1" ht="15" customHeight="1" x14ac:dyDescent="0.25">
      <c r="B45" s="50" t="s">
        <v>618</v>
      </c>
      <c r="C45" s="101"/>
      <c r="D45" s="55">
        <f t="shared" si="0"/>
        <v>44631961</v>
      </c>
      <c r="E45" s="36" t="s">
        <v>59</v>
      </c>
      <c r="F45" s="67"/>
      <c r="G45" s="64"/>
      <c r="H45" s="64"/>
      <c r="I45" s="64"/>
      <c r="J45" s="64"/>
      <c r="K45" s="64">
        <f t="shared" si="4"/>
        <v>0</v>
      </c>
      <c r="L45" s="2">
        <f t="shared" si="2"/>
        <v>0</v>
      </c>
      <c r="M45" s="2"/>
      <c r="N45" s="2"/>
      <c r="O45" s="2"/>
      <c r="P45" s="2"/>
      <c r="Q45" s="2"/>
      <c r="R45" s="3"/>
      <c r="S45" s="3"/>
      <c r="T45" s="2"/>
      <c r="U45" s="2"/>
      <c r="V45" s="4"/>
      <c r="W45" s="4"/>
    </row>
    <row r="46" spans="1:23" s="5" customFormat="1" ht="15" customHeight="1" x14ac:dyDescent="0.25">
      <c r="A46" s="163"/>
      <c r="B46" s="50" t="s">
        <v>619</v>
      </c>
      <c r="C46" s="101">
        <v>-75000</v>
      </c>
      <c r="D46" s="55">
        <f t="shared" si="0"/>
        <v>44556961</v>
      </c>
      <c r="E46" s="36" t="s">
        <v>530</v>
      </c>
      <c r="F46" s="67"/>
      <c r="G46" s="64"/>
      <c r="H46" s="64"/>
      <c r="I46" s="64"/>
      <c r="J46" s="64"/>
      <c r="K46" s="64">
        <f t="shared" si="4"/>
        <v>-75000</v>
      </c>
      <c r="L46" s="2">
        <f t="shared" si="2"/>
        <v>0</v>
      </c>
      <c r="M46" s="2"/>
      <c r="N46" s="2"/>
      <c r="O46" s="2"/>
      <c r="P46" s="2"/>
      <c r="Q46" s="2"/>
      <c r="R46" s="3"/>
      <c r="S46" s="3"/>
      <c r="T46" s="2"/>
      <c r="U46" s="2"/>
      <c r="V46" s="4"/>
      <c r="W46" s="4"/>
    </row>
    <row r="47" spans="1:23" s="5" customFormat="1" ht="15" customHeight="1" x14ac:dyDescent="0.25">
      <c r="A47" s="390"/>
      <c r="B47" s="50" t="s">
        <v>620</v>
      </c>
      <c r="C47" s="101">
        <v>-75000</v>
      </c>
      <c r="D47" s="55">
        <f t="shared" si="0"/>
        <v>44481961</v>
      </c>
      <c r="E47" s="36" t="s">
        <v>530</v>
      </c>
      <c r="F47" s="67"/>
      <c r="G47" s="64"/>
      <c r="H47" s="64"/>
      <c r="I47" s="64"/>
      <c r="J47" s="64"/>
      <c r="K47" s="64">
        <f t="shared" si="4"/>
        <v>-75000</v>
      </c>
      <c r="L47" s="2">
        <f t="shared" si="2"/>
        <v>0</v>
      </c>
      <c r="M47" s="2"/>
      <c r="N47" s="2"/>
      <c r="O47" s="2"/>
      <c r="P47" s="2"/>
      <c r="Q47" s="2"/>
      <c r="R47" s="3"/>
      <c r="S47" s="3"/>
      <c r="T47" s="2"/>
      <c r="U47" s="2"/>
      <c r="V47" s="4"/>
      <c r="W47" s="4"/>
    </row>
    <row r="48" spans="1:23" s="5" customFormat="1" ht="15" customHeight="1" x14ac:dyDescent="0.25">
      <c r="B48" s="50" t="s">
        <v>621</v>
      </c>
      <c r="C48" s="101">
        <v>-255000</v>
      </c>
      <c r="D48" s="55">
        <f t="shared" si="0"/>
        <v>44226961</v>
      </c>
      <c r="E48" s="36" t="s">
        <v>530</v>
      </c>
      <c r="F48" s="67"/>
      <c r="G48" s="64"/>
      <c r="H48" s="64"/>
      <c r="I48" s="64"/>
      <c r="J48" s="64"/>
      <c r="K48" s="64">
        <f t="shared" si="4"/>
        <v>-255000</v>
      </c>
      <c r="L48" s="2">
        <f t="shared" si="2"/>
        <v>0</v>
      </c>
      <c r="M48" s="2"/>
      <c r="N48" s="2"/>
      <c r="O48" s="2"/>
      <c r="P48" s="2"/>
      <c r="Q48" s="2"/>
      <c r="R48" s="3"/>
      <c r="S48" s="3"/>
      <c r="T48" s="2"/>
      <c r="U48" s="2"/>
      <c r="V48" s="4"/>
      <c r="W48" s="4"/>
    </row>
    <row r="49" spans="1:23" s="5" customFormat="1" ht="15" customHeight="1" x14ac:dyDescent="0.25">
      <c r="A49" s="6"/>
      <c r="B49" s="50" t="s">
        <v>622</v>
      </c>
      <c r="C49" s="101">
        <v>4000000</v>
      </c>
      <c r="D49" s="55">
        <f t="shared" si="0"/>
        <v>48226961</v>
      </c>
      <c r="E49" s="36" t="s">
        <v>214</v>
      </c>
      <c r="F49" s="67">
        <f>C49</f>
        <v>4000000</v>
      </c>
      <c r="G49" s="64"/>
      <c r="H49" s="64"/>
      <c r="I49" s="64"/>
      <c r="J49" s="64"/>
      <c r="K49" s="64"/>
      <c r="L49" s="2">
        <f t="shared" si="2"/>
        <v>0</v>
      </c>
      <c r="M49" s="2"/>
      <c r="N49" s="2"/>
      <c r="O49" s="2"/>
      <c r="P49" s="2"/>
      <c r="Q49" s="2"/>
      <c r="R49" s="3"/>
      <c r="S49" s="3"/>
      <c r="T49" s="2"/>
      <c r="U49" s="2"/>
      <c r="V49" s="4"/>
      <c r="W49" s="4"/>
    </row>
    <row r="50" spans="1:23" s="5" customFormat="1" ht="15" customHeight="1" x14ac:dyDescent="0.25">
      <c r="A50" s="163"/>
      <c r="B50" s="50" t="s">
        <v>18</v>
      </c>
      <c r="C50" s="101">
        <v>180000</v>
      </c>
      <c r="D50" s="55">
        <f t="shared" si="0"/>
        <v>48406961</v>
      </c>
      <c r="E50" s="36" t="s">
        <v>1</v>
      </c>
      <c r="F50" s="67"/>
      <c r="G50" s="64"/>
      <c r="H50" s="64">
        <f>C50</f>
        <v>180000</v>
      </c>
      <c r="I50" s="64"/>
      <c r="J50" s="64"/>
      <c r="K50" s="64"/>
      <c r="L50" s="2">
        <f t="shared" si="2"/>
        <v>0</v>
      </c>
      <c r="M50" s="2"/>
      <c r="N50" s="2"/>
      <c r="O50" s="2"/>
      <c r="P50" s="2"/>
      <c r="Q50" s="2"/>
      <c r="R50" s="3"/>
      <c r="S50" s="3"/>
      <c r="T50" s="2"/>
      <c r="U50" s="2"/>
      <c r="V50" s="4"/>
      <c r="W50" s="4"/>
    </row>
    <row r="51" spans="1:23" s="5" customFormat="1" ht="15" customHeight="1" x14ac:dyDescent="0.25">
      <c r="A51" s="389"/>
      <c r="B51" s="50" t="s">
        <v>623</v>
      </c>
      <c r="C51" s="101">
        <v>13031000</v>
      </c>
      <c r="D51" s="55">
        <f t="shared" si="0"/>
        <v>61437961</v>
      </c>
      <c r="E51" s="36" t="s">
        <v>214</v>
      </c>
      <c r="F51" s="67">
        <f>C51</f>
        <v>13031000</v>
      </c>
      <c r="G51" s="64"/>
      <c r="H51" s="64"/>
      <c r="I51" s="64"/>
      <c r="J51" s="64"/>
      <c r="K51" s="64"/>
      <c r="L51" s="2">
        <f t="shared" si="2"/>
        <v>0</v>
      </c>
      <c r="M51" s="2"/>
      <c r="N51" s="2"/>
      <c r="O51" s="2"/>
      <c r="P51" s="2"/>
      <c r="Q51" s="2"/>
      <c r="R51" s="3"/>
      <c r="S51" s="3"/>
      <c r="T51" s="2"/>
      <c r="U51" s="2"/>
      <c r="V51" s="4"/>
      <c r="W51" s="4"/>
    </row>
    <row r="52" spans="1:23" s="5" customFormat="1" ht="15" customHeight="1" x14ac:dyDescent="0.25">
      <c r="B52" s="50" t="s">
        <v>624</v>
      </c>
      <c r="C52" s="101">
        <v>-65000</v>
      </c>
      <c r="D52" s="55">
        <f t="shared" si="0"/>
        <v>61372961</v>
      </c>
      <c r="E52" s="36" t="s">
        <v>530</v>
      </c>
      <c r="F52" s="67"/>
      <c r="G52" s="64"/>
      <c r="H52" s="64"/>
      <c r="I52" s="64"/>
      <c r="J52" s="64"/>
      <c r="K52" s="64">
        <f t="shared" ref="K52:K61" si="5">C52</f>
        <v>-65000</v>
      </c>
      <c r="L52" s="2">
        <f t="shared" si="2"/>
        <v>0</v>
      </c>
      <c r="M52" s="2"/>
      <c r="N52" s="2"/>
      <c r="O52" s="2"/>
      <c r="P52" s="2"/>
      <c r="Q52" s="2"/>
      <c r="R52" s="3"/>
      <c r="S52" s="3"/>
      <c r="T52" s="2"/>
      <c r="U52" s="2"/>
      <c r="V52" s="4"/>
      <c r="W52" s="4"/>
    </row>
    <row r="53" spans="1:23" s="5" customFormat="1" ht="15" customHeight="1" x14ac:dyDescent="0.25">
      <c r="A53" s="389"/>
      <c r="B53" s="50" t="s">
        <v>625</v>
      </c>
      <c r="C53" s="101">
        <v>-50600</v>
      </c>
      <c r="D53" s="55">
        <f t="shared" si="0"/>
        <v>61322361</v>
      </c>
      <c r="E53" s="36" t="s">
        <v>530</v>
      </c>
      <c r="F53" s="67"/>
      <c r="G53" s="64"/>
      <c r="H53" s="64"/>
      <c r="I53" s="64"/>
      <c r="J53" s="64"/>
      <c r="K53" s="64">
        <f t="shared" si="5"/>
        <v>-50600</v>
      </c>
      <c r="L53" s="2">
        <f t="shared" si="2"/>
        <v>0</v>
      </c>
      <c r="M53" s="2"/>
      <c r="N53" s="2"/>
      <c r="O53" s="2"/>
      <c r="P53" s="2"/>
      <c r="Q53" s="2"/>
      <c r="R53" s="3"/>
      <c r="S53" s="3"/>
      <c r="T53" s="2"/>
      <c r="U53" s="2"/>
      <c r="V53" s="4"/>
      <c r="W53" s="4"/>
    </row>
    <row r="54" spans="1:23" s="5" customFormat="1" ht="15" customHeight="1" x14ac:dyDescent="0.25">
      <c r="A54" s="6"/>
      <c r="B54" s="50" t="s">
        <v>184</v>
      </c>
      <c r="C54" s="101">
        <v>-1080000</v>
      </c>
      <c r="D54" s="55">
        <f t="shared" si="0"/>
        <v>60242361</v>
      </c>
      <c r="E54" s="36" t="s">
        <v>530</v>
      </c>
      <c r="F54" s="67"/>
      <c r="G54" s="64"/>
      <c r="H54" s="64"/>
      <c r="I54" s="64"/>
      <c r="J54" s="64"/>
      <c r="K54" s="64">
        <f t="shared" si="5"/>
        <v>-1080000</v>
      </c>
      <c r="L54" s="2">
        <f t="shared" si="2"/>
        <v>0</v>
      </c>
      <c r="M54" s="2"/>
      <c r="N54" s="2"/>
      <c r="O54" s="2"/>
      <c r="P54" s="2"/>
      <c r="Q54" s="2"/>
      <c r="R54" s="3"/>
      <c r="S54" s="3"/>
      <c r="T54" s="2"/>
      <c r="U54" s="2"/>
      <c r="V54" s="4"/>
      <c r="W54" s="4"/>
    </row>
    <row r="55" spans="1:23" s="5" customFormat="1" ht="15" customHeight="1" x14ac:dyDescent="0.25">
      <c r="A55" s="163"/>
      <c r="B55" s="50" t="s">
        <v>626</v>
      </c>
      <c r="C55" s="101">
        <v>-85000</v>
      </c>
      <c r="D55" s="55">
        <f t="shared" si="0"/>
        <v>60157361</v>
      </c>
      <c r="E55" s="36" t="s">
        <v>530</v>
      </c>
      <c r="F55" s="67"/>
      <c r="G55" s="64"/>
      <c r="H55" s="64"/>
      <c r="I55" s="64"/>
      <c r="J55" s="64"/>
      <c r="K55" s="64">
        <f t="shared" si="5"/>
        <v>-85000</v>
      </c>
      <c r="L55" s="2">
        <f t="shared" si="2"/>
        <v>0</v>
      </c>
      <c r="M55" s="2"/>
      <c r="N55" s="2"/>
      <c r="O55" s="2"/>
      <c r="P55" s="2"/>
      <c r="Q55" s="2"/>
      <c r="R55" s="3"/>
      <c r="S55" s="3"/>
      <c r="T55" s="2"/>
      <c r="U55" s="2"/>
      <c r="V55" s="4"/>
      <c r="W55" s="4"/>
    </row>
    <row r="56" spans="1:23" s="5" customFormat="1" ht="15" customHeight="1" x14ac:dyDescent="0.25">
      <c r="A56" s="99">
        <v>45355</v>
      </c>
      <c r="B56" s="50" t="s">
        <v>163</v>
      </c>
      <c r="C56" s="101">
        <v>-11000</v>
      </c>
      <c r="D56" s="55">
        <f t="shared" si="0"/>
        <v>60146361</v>
      </c>
      <c r="E56" s="36" t="s">
        <v>530</v>
      </c>
      <c r="F56" s="67"/>
      <c r="G56" s="64"/>
      <c r="H56" s="64"/>
      <c r="I56" s="64"/>
      <c r="J56" s="64"/>
      <c r="K56" s="64">
        <f t="shared" si="5"/>
        <v>-11000</v>
      </c>
      <c r="L56" s="2">
        <f t="shared" si="2"/>
        <v>0</v>
      </c>
      <c r="M56" s="2"/>
      <c r="N56" s="2"/>
      <c r="O56" s="2"/>
      <c r="P56" s="2"/>
      <c r="Q56" s="2"/>
      <c r="R56" s="3"/>
      <c r="S56" s="3"/>
      <c r="T56" s="2"/>
      <c r="U56" s="2"/>
      <c r="V56" s="4"/>
      <c r="W56" s="4"/>
    </row>
    <row r="57" spans="1:23" s="5" customFormat="1" ht="15" customHeight="1" x14ac:dyDescent="0.25">
      <c r="B57" s="50" t="s">
        <v>627</v>
      </c>
      <c r="C57" s="101">
        <v>-245000</v>
      </c>
      <c r="D57" s="55">
        <f t="shared" si="0"/>
        <v>59901361</v>
      </c>
      <c r="E57" s="36" t="s">
        <v>530</v>
      </c>
      <c r="F57" s="67"/>
      <c r="G57" s="64"/>
      <c r="H57" s="64"/>
      <c r="I57" s="64"/>
      <c r="J57" s="64"/>
      <c r="K57" s="64">
        <f t="shared" si="5"/>
        <v>-245000</v>
      </c>
      <c r="L57" s="2">
        <f t="shared" si="2"/>
        <v>0</v>
      </c>
      <c r="M57" s="2"/>
      <c r="N57" s="2"/>
      <c r="O57" s="2"/>
      <c r="P57" s="2"/>
      <c r="Q57" s="2"/>
      <c r="R57" s="3"/>
      <c r="S57" s="3"/>
      <c r="T57" s="2"/>
      <c r="U57" s="2"/>
      <c r="V57" s="4"/>
      <c r="W57" s="4"/>
    </row>
    <row r="58" spans="1:23" s="5" customFormat="1" ht="15" customHeight="1" x14ac:dyDescent="0.25">
      <c r="A58" s="163"/>
      <c r="B58" s="50" t="s">
        <v>628</v>
      </c>
      <c r="C58" s="101"/>
      <c r="D58" s="55">
        <f t="shared" si="0"/>
        <v>59901361</v>
      </c>
      <c r="E58" s="36" t="s">
        <v>61</v>
      </c>
      <c r="F58" s="67"/>
      <c r="G58" s="64"/>
      <c r="H58" s="64"/>
      <c r="I58" s="64"/>
      <c r="J58" s="64"/>
      <c r="K58" s="64">
        <f t="shared" si="5"/>
        <v>0</v>
      </c>
      <c r="L58" s="2">
        <f t="shared" si="2"/>
        <v>0</v>
      </c>
      <c r="M58" s="2"/>
      <c r="N58" s="2"/>
      <c r="O58" s="2"/>
      <c r="P58" s="2"/>
      <c r="Q58" s="2"/>
      <c r="R58" s="3"/>
      <c r="S58" s="3"/>
      <c r="T58" s="2"/>
      <c r="U58" s="2"/>
      <c r="V58" s="4"/>
      <c r="W58" s="4"/>
    </row>
    <row r="59" spans="1:23" s="5" customFormat="1" ht="15" customHeight="1" x14ac:dyDescent="0.25">
      <c r="A59" s="163"/>
      <c r="B59" s="50" t="s">
        <v>264</v>
      </c>
      <c r="C59" s="101">
        <v>-932500</v>
      </c>
      <c r="D59" s="55">
        <f t="shared" si="0"/>
        <v>58968861</v>
      </c>
      <c r="E59" s="36" t="s">
        <v>530</v>
      </c>
      <c r="F59" s="67"/>
      <c r="G59" s="64"/>
      <c r="H59" s="64"/>
      <c r="I59" s="64"/>
      <c r="J59" s="64"/>
      <c r="K59" s="64">
        <f t="shared" si="5"/>
        <v>-932500</v>
      </c>
      <c r="L59" s="2">
        <f t="shared" si="2"/>
        <v>0</v>
      </c>
      <c r="M59" s="2"/>
      <c r="N59" s="2"/>
      <c r="O59" s="2"/>
      <c r="P59" s="2"/>
      <c r="Q59" s="2"/>
      <c r="R59" s="3"/>
      <c r="S59" s="3"/>
      <c r="T59" s="2"/>
      <c r="U59" s="2"/>
      <c r="V59" s="4"/>
      <c r="W59" s="4"/>
    </row>
    <row r="60" spans="1:23" s="5" customFormat="1" ht="15" customHeight="1" x14ac:dyDescent="0.25">
      <c r="A60" s="390"/>
      <c r="B60" s="50" t="s">
        <v>265</v>
      </c>
      <c r="C60" s="101">
        <v>-540000</v>
      </c>
      <c r="D60" s="55">
        <f t="shared" si="0"/>
        <v>58428861</v>
      </c>
      <c r="E60" s="36" t="s">
        <v>530</v>
      </c>
      <c r="F60" s="67"/>
      <c r="G60" s="64"/>
      <c r="H60" s="64"/>
      <c r="I60" s="64"/>
      <c r="J60" s="64"/>
      <c r="K60" s="64">
        <f t="shared" si="5"/>
        <v>-540000</v>
      </c>
      <c r="L60" s="2">
        <f t="shared" si="2"/>
        <v>0</v>
      </c>
      <c r="M60" s="2"/>
      <c r="N60" s="2"/>
      <c r="O60" s="2"/>
      <c r="P60" s="2"/>
      <c r="Q60" s="2"/>
      <c r="R60" s="3"/>
      <c r="S60" s="3"/>
      <c r="T60" s="2"/>
      <c r="U60" s="2"/>
      <c r="V60" s="4"/>
      <c r="W60" s="4"/>
    </row>
    <row r="61" spans="1:23" s="5" customFormat="1" ht="15" customHeight="1" x14ac:dyDescent="0.25">
      <c r="A61" s="6"/>
      <c r="B61" s="50" t="s">
        <v>629</v>
      </c>
      <c r="C61" s="101">
        <v>-1346300</v>
      </c>
      <c r="D61" s="55">
        <f t="shared" si="0"/>
        <v>57082561</v>
      </c>
      <c r="E61" s="36" t="s">
        <v>530</v>
      </c>
      <c r="F61" s="67"/>
      <c r="G61" s="64"/>
      <c r="H61" s="64"/>
      <c r="I61" s="64"/>
      <c r="J61" s="64"/>
      <c r="K61" s="64">
        <f t="shared" si="5"/>
        <v>-1346300</v>
      </c>
      <c r="L61" s="2">
        <f t="shared" si="2"/>
        <v>0</v>
      </c>
      <c r="M61" s="2"/>
      <c r="N61" s="2"/>
      <c r="O61" s="2"/>
      <c r="P61" s="2"/>
      <c r="Q61" s="2"/>
      <c r="R61" s="3"/>
      <c r="S61" s="3"/>
      <c r="T61" s="2"/>
      <c r="U61" s="2"/>
      <c r="V61" s="4"/>
      <c r="W61" s="4"/>
    </row>
    <row r="62" spans="1:23" s="5" customFormat="1" ht="15" customHeight="1" x14ac:dyDescent="0.25">
      <c r="A62" s="389"/>
      <c r="B62" s="50" t="s">
        <v>630</v>
      </c>
      <c r="C62" s="101">
        <v>300000</v>
      </c>
      <c r="D62" s="55">
        <f t="shared" si="0"/>
        <v>57382561</v>
      </c>
      <c r="E62" s="36" t="s">
        <v>61</v>
      </c>
      <c r="F62" s="67"/>
      <c r="G62" s="64"/>
      <c r="H62" s="64"/>
      <c r="I62" s="64">
        <f>C62</f>
        <v>300000</v>
      </c>
      <c r="J62" s="64"/>
      <c r="K62" s="64"/>
      <c r="L62" s="2">
        <f t="shared" si="2"/>
        <v>0</v>
      </c>
      <c r="M62" s="2"/>
      <c r="N62" s="2"/>
      <c r="O62" s="2"/>
      <c r="P62" s="2"/>
      <c r="Q62" s="2"/>
      <c r="R62" s="3"/>
      <c r="S62" s="3"/>
      <c r="T62" s="2"/>
      <c r="U62" s="2"/>
      <c r="V62" s="4"/>
      <c r="W62" s="4"/>
    </row>
    <row r="63" spans="1:23" s="5" customFormat="1" ht="15" customHeight="1" x14ac:dyDescent="0.25">
      <c r="A63" s="6"/>
      <c r="B63" s="50" t="s">
        <v>631</v>
      </c>
      <c r="C63" s="101">
        <v>-65000</v>
      </c>
      <c r="D63" s="55">
        <f t="shared" si="0"/>
        <v>57317561</v>
      </c>
      <c r="E63" s="36" t="s">
        <v>530</v>
      </c>
      <c r="F63" s="67"/>
      <c r="G63" s="64"/>
      <c r="H63" s="64"/>
      <c r="I63" s="64"/>
      <c r="J63" s="64"/>
      <c r="K63" s="64">
        <f t="shared" ref="K63:K76" si="6">C63</f>
        <v>-65000</v>
      </c>
      <c r="L63" s="2">
        <f t="shared" si="2"/>
        <v>0</v>
      </c>
      <c r="M63" s="2"/>
      <c r="N63" s="2"/>
      <c r="O63" s="2"/>
      <c r="P63" s="2"/>
      <c r="Q63" s="2"/>
      <c r="R63" s="3"/>
      <c r="S63" s="3"/>
      <c r="T63" s="2"/>
      <c r="U63" s="2"/>
      <c r="V63" s="4"/>
      <c r="W63" s="4"/>
    </row>
    <row r="64" spans="1:23" s="5" customFormat="1" ht="15" customHeight="1" x14ac:dyDescent="0.25">
      <c r="A64" s="390"/>
      <c r="B64" s="50" t="s">
        <v>263</v>
      </c>
      <c r="C64" s="101">
        <v>-457500</v>
      </c>
      <c r="D64" s="55">
        <f t="shared" si="0"/>
        <v>56860061</v>
      </c>
      <c r="E64" s="36" t="s">
        <v>530</v>
      </c>
      <c r="F64" s="67"/>
      <c r="G64" s="64"/>
      <c r="H64" s="64"/>
      <c r="I64" s="64"/>
      <c r="J64" s="64"/>
      <c r="K64" s="64">
        <f t="shared" si="6"/>
        <v>-457500</v>
      </c>
      <c r="L64" s="2">
        <f t="shared" si="2"/>
        <v>0</v>
      </c>
      <c r="M64" s="2"/>
      <c r="N64" s="2"/>
      <c r="O64" s="2"/>
      <c r="P64" s="2"/>
      <c r="Q64" s="2"/>
      <c r="R64" s="3"/>
      <c r="S64" s="3"/>
      <c r="T64" s="2"/>
      <c r="U64" s="2"/>
      <c r="V64" s="4"/>
      <c r="W64" s="4"/>
    </row>
    <row r="65" spans="1:23" s="5" customFormat="1" ht="15" customHeight="1" x14ac:dyDescent="0.25">
      <c r="A65" s="390"/>
      <c r="B65" s="50" t="s">
        <v>297</v>
      </c>
      <c r="C65" s="101">
        <v>-617000</v>
      </c>
      <c r="D65" s="55">
        <f t="shared" si="0"/>
        <v>56243061</v>
      </c>
      <c r="E65" s="36" t="s">
        <v>530</v>
      </c>
      <c r="F65" s="67"/>
      <c r="G65" s="64"/>
      <c r="H65" s="64"/>
      <c r="I65" s="64"/>
      <c r="J65" s="64"/>
      <c r="K65" s="64">
        <f t="shared" si="6"/>
        <v>-617000</v>
      </c>
      <c r="L65" s="2">
        <f t="shared" si="2"/>
        <v>0</v>
      </c>
      <c r="M65" s="2"/>
      <c r="N65" s="2"/>
      <c r="O65" s="2"/>
      <c r="P65" s="2"/>
      <c r="Q65" s="2"/>
      <c r="R65" s="3"/>
      <c r="S65" s="3"/>
      <c r="T65" s="2"/>
      <c r="U65" s="2"/>
      <c r="V65" s="4"/>
      <c r="W65" s="4"/>
    </row>
    <row r="66" spans="1:23" s="5" customFormat="1" ht="15" customHeight="1" x14ac:dyDescent="0.25">
      <c r="B66" s="50" t="s">
        <v>632</v>
      </c>
      <c r="C66" s="101">
        <v>-318500</v>
      </c>
      <c r="D66" s="55">
        <f t="shared" ref="D66:D129" si="7">SUM(D65,C66)</f>
        <v>55924561</v>
      </c>
      <c r="E66" s="36" t="s">
        <v>530</v>
      </c>
      <c r="F66" s="67"/>
      <c r="G66" s="64"/>
      <c r="H66" s="64"/>
      <c r="I66" s="64"/>
      <c r="J66" s="64"/>
      <c r="K66" s="64">
        <f t="shared" si="6"/>
        <v>-318500</v>
      </c>
      <c r="L66" s="2">
        <f t="shared" si="2"/>
        <v>0</v>
      </c>
      <c r="M66" s="2"/>
      <c r="N66" s="2"/>
      <c r="O66" s="2"/>
      <c r="P66" s="2"/>
      <c r="Q66" s="2"/>
      <c r="R66" s="3"/>
      <c r="S66" s="3"/>
      <c r="T66" s="2"/>
      <c r="U66" s="2"/>
      <c r="V66" s="4"/>
      <c r="W66" s="4"/>
    </row>
    <row r="67" spans="1:23" s="5" customFormat="1" ht="15" customHeight="1" x14ac:dyDescent="0.25">
      <c r="A67" s="163"/>
      <c r="B67" s="50" t="s">
        <v>633</v>
      </c>
      <c r="C67" s="101">
        <v>-70000</v>
      </c>
      <c r="D67" s="55">
        <f t="shared" si="7"/>
        <v>55854561</v>
      </c>
      <c r="E67" s="36" t="s">
        <v>530</v>
      </c>
      <c r="F67" s="67"/>
      <c r="G67" s="64"/>
      <c r="H67" s="64"/>
      <c r="I67" s="64"/>
      <c r="J67" s="64"/>
      <c r="K67" s="64">
        <f t="shared" si="6"/>
        <v>-70000</v>
      </c>
      <c r="L67" s="2">
        <f t="shared" ref="L67:L130" si="8">C67-F67-G67-H67-I67-J67-K67</f>
        <v>0</v>
      </c>
      <c r="M67" s="2"/>
      <c r="N67" s="2"/>
      <c r="O67" s="2"/>
      <c r="P67" s="2"/>
      <c r="Q67" s="2"/>
      <c r="R67" s="3"/>
      <c r="S67" s="3"/>
      <c r="T67" s="2"/>
      <c r="U67" s="2"/>
      <c r="V67" s="4"/>
      <c r="W67" s="4"/>
    </row>
    <row r="68" spans="1:23" s="5" customFormat="1" ht="15" customHeight="1" x14ac:dyDescent="0.25">
      <c r="A68" s="163"/>
      <c r="B68" s="50" t="s">
        <v>634</v>
      </c>
      <c r="C68" s="101">
        <v>-255550</v>
      </c>
      <c r="D68" s="55">
        <f t="shared" si="7"/>
        <v>55599011</v>
      </c>
      <c r="E68" s="36" t="s">
        <v>530</v>
      </c>
      <c r="F68" s="67"/>
      <c r="G68" s="64"/>
      <c r="H68" s="64"/>
      <c r="I68" s="64"/>
      <c r="J68" s="64"/>
      <c r="K68" s="64">
        <f t="shared" si="6"/>
        <v>-255550</v>
      </c>
      <c r="L68" s="2">
        <f t="shared" si="8"/>
        <v>0</v>
      </c>
      <c r="M68" s="2"/>
      <c r="N68" s="2"/>
      <c r="O68" s="2"/>
      <c r="P68" s="2"/>
      <c r="Q68" s="2"/>
      <c r="R68" s="3"/>
      <c r="S68" s="3"/>
      <c r="T68" s="2"/>
      <c r="U68" s="2"/>
      <c r="V68" s="4"/>
      <c r="W68" s="4"/>
    </row>
    <row r="69" spans="1:23" s="5" customFormat="1" ht="15" customHeight="1" x14ac:dyDescent="0.25">
      <c r="A69" s="163"/>
      <c r="B69" s="50" t="s">
        <v>294</v>
      </c>
      <c r="C69" s="101">
        <v>-3340000</v>
      </c>
      <c r="D69" s="55">
        <f t="shared" si="7"/>
        <v>52259011</v>
      </c>
      <c r="E69" s="36" t="s">
        <v>530</v>
      </c>
      <c r="F69" s="67"/>
      <c r="G69" s="64"/>
      <c r="H69" s="64"/>
      <c r="I69" s="64"/>
      <c r="J69" s="64"/>
      <c r="K69" s="64">
        <f t="shared" si="6"/>
        <v>-3340000</v>
      </c>
      <c r="L69" s="2">
        <f t="shared" si="8"/>
        <v>0</v>
      </c>
      <c r="M69" s="2"/>
      <c r="N69" s="2"/>
      <c r="O69" s="2"/>
      <c r="P69" s="2"/>
      <c r="Q69" s="2"/>
      <c r="R69" s="3"/>
      <c r="S69" s="3"/>
      <c r="T69" s="2"/>
      <c r="U69" s="2"/>
      <c r="V69" s="4"/>
      <c r="W69" s="4"/>
    </row>
    <row r="70" spans="1:23" s="5" customFormat="1" ht="15" customHeight="1" x14ac:dyDescent="0.25">
      <c r="A70" s="163"/>
      <c r="B70" s="50" t="s">
        <v>635</v>
      </c>
      <c r="C70" s="101">
        <v>-1750000</v>
      </c>
      <c r="D70" s="55">
        <f t="shared" si="7"/>
        <v>50509011</v>
      </c>
      <c r="E70" s="36" t="s">
        <v>530</v>
      </c>
      <c r="F70" s="67"/>
      <c r="G70" s="64"/>
      <c r="H70" s="64"/>
      <c r="I70" s="64"/>
      <c r="J70" s="64"/>
      <c r="K70" s="64">
        <f t="shared" si="6"/>
        <v>-1750000</v>
      </c>
      <c r="L70" s="2">
        <f t="shared" si="8"/>
        <v>0</v>
      </c>
      <c r="M70" s="2"/>
      <c r="N70" s="2"/>
      <c r="O70" s="2"/>
      <c r="P70" s="2"/>
      <c r="Q70" s="2"/>
      <c r="R70" s="3"/>
      <c r="S70" s="3"/>
      <c r="T70" s="2"/>
      <c r="U70" s="2"/>
      <c r="V70" s="4"/>
      <c r="W70" s="4"/>
    </row>
    <row r="71" spans="1:23" s="5" customFormat="1" ht="15" customHeight="1" x14ac:dyDescent="0.25">
      <c r="A71" s="163"/>
      <c r="B71" s="50" t="s">
        <v>636</v>
      </c>
      <c r="C71" s="101">
        <v>-75000</v>
      </c>
      <c r="D71" s="55">
        <f t="shared" si="7"/>
        <v>50434011</v>
      </c>
      <c r="E71" s="36" t="s">
        <v>530</v>
      </c>
      <c r="F71" s="67"/>
      <c r="G71" s="64"/>
      <c r="H71" s="64"/>
      <c r="I71" s="64"/>
      <c r="J71" s="64"/>
      <c r="K71" s="64">
        <f t="shared" si="6"/>
        <v>-75000</v>
      </c>
      <c r="L71" s="2">
        <f t="shared" si="8"/>
        <v>0</v>
      </c>
      <c r="M71" s="2"/>
      <c r="N71" s="2"/>
      <c r="O71" s="2"/>
      <c r="P71" s="2"/>
      <c r="Q71" s="2"/>
      <c r="R71" s="3"/>
      <c r="S71" s="3"/>
      <c r="T71" s="2"/>
      <c r="U71" s="2"/>
      <c r="V71" s="4"/>
      <c r="W71" s="4"/>
    </row>
    <row r="72" spans="1:23" s="5" customFormat="1" ht="15" customHeight="1" x14ac:dyDescent="0.25">
      <c r="A72" s="390"/>
      <c r="B72" s="50" t="s">
        <v>266</v>
      </c>
      <c r="C72" s="101">
        <v>-2130000</v>
      </c>
      <c r="D72" s="55">
        <f t="shared" si="7"/>
        <v>48304011</v>
      </c>
      <c r="E72" s="36" t="s">
        <v>530</v>
      </c>
      <c r="F72" s="67"/>
      <c r="G72" s="64"/>
      <c r="H72" s="64"/>
      <c r="I72" s="64"/>
      <c r="J72" s="64"/>
      <c r="K72" s="64">
        <f t="shared" si="6"/>
        <v>-2130000</v>
      </c>
      <c r="L72" s="2">
        <f t="shared" si="8"/>
        <v>0</v>
      </c>
      <c r="M72" s="2"/>
      <c r="N72" s="2"/>
      <c r="O72" s="2"/>
      <c r="P72" s="2"/>
      <c r="Q72" s="2"/>
      <c r="R72" s="3"/>
      <c r="S72" s="3"/>
      <c r="T72" s="2"/>
      <c r="U72" s="2"/>
      <c r="V72" s="4"/>
      <c r="W72" s="4"/>
    </row>
    <row r="73" spans="1:23" s="5" customFormat="1" ht="15" customHeight="1" x14ac:dyDescent="0.25">
      <c r="A73" s="389"/>
      <c r="B73" s="50" t="s">
        <v>637</v>
      </c>
      <c r="C73" s="101">
        <v>-85000</v>
      </c>
      <c r="D73" s="55">
        <f t="shared" si="7"/>
        <v>48219011</v>
      </c>
      <c r="E73" s="36" t="s">
        <v>530</v>
      </c>
      <c r="F73" s="67"/>
      <c r="G73" s="64"/>
      <c r="H73" s="64"/>
      <c r="I73" s="64"/>
      <c r="J73" s="64"/>
      <c r="K73" s="64">
        <f t="shared" si="6"/>
        <v>-85000</v>
      </c>
      <c r="L73" s="2">
        <f t="shared" si="8"/>
        <v>0</v>
      </c>
      <c r="M73" s="2"/>
      <c r="N73" s="2"/>
      <c r="O73" s="2"/>
      <c r="P73" s="2"/>
      <c r="Q73" s="2"/>
      <c r="R73" s="3"/>
      <c r="S73" s="3"/>
      <c r="T73" s="2"/>
      <c r="U73" s="2"/>
      <c r="V73" s="4"/>
      <c r="W73" s="4"/>
    </row>
    <row r="74" spans="1:23" s="5" customFormat="1" ht="15" customHeight="1" x14ac:dyDescent="0.25">
      <c r="A74" s="6"/>
      <c r="B74" s="50" t="s">
        <v>638</v>
      </c>
      <c r="C74" s="101">
        <v>-223000</v>
      </c>
      <c r="D74" s="55">
        <f t="shared" si="7"/>
        <v>47996011</v>
      </c>
      <c r="E74" s="36" t="s">
        <v>530</v>
      </c>
      <c r="F74" s="67"/>
      <c r="G74" s="64"/>
      <c r="H74" s="64"/>
      <c r="I74" s="64"/>
      <c r="J74" s="64"/>
      <c r="K74" s="64">
        <f t="shared" si="6"/>
        <v>-223000</v>
      </c>
      <c r="L74" s="2">
        <f t="shared" si="8"/>
        <v>0</v>
      </c>
      <c r="M74" s="2"/>
      <c r="N74" s="2"/>
      <c r="O74" s="2"/>
      <c r="P74" s="2"/>
      <c r="Q74" s="2"/>
      <c r="R74" s="3"/>
      <c r="S74" s="3"/>
      <c r="T74" s="2"/>
      <c r="U74" s="2"/>
      <c r="V74" s="4"/>
      <c r="W74" s="4"/>
    </row>
    <row r="75" spans="1:23" s="5" customFormat="1" ht="15" customHeight="1" x14ac:dyDescent="0.25">
      <c r="A75" s="6"/>
      <c r="B75" s="50" t="s">
        <v>639</v>
      </c>
      <c r="C75" s="101">
        <v>-2500000</v>
      </c>
      <c r="D75" s="55">
        <f t="shared" si="7"/>
        <v>45496011</v>
      </c>
      <c r="E75" s="36" t="s">
        <v>530</v>
      </c>
      <c r="F75" s="67"/>
      <c r="G75" s="64"/>
      <c r="H75" s="64"/>
      <c r="I75" s="64"/>
      <c r="J75" s="64"/>
      <c r="K75" s="64">
        <f t="shared" si="6"/>
        <v>-2500000</v>
      </c>
      <c r="L75" s="2">
        <f t="shared" si="8"/>
        <v>0</v>
      </c>
      <c r="M75" s="2"/>
      <c r="N75" s="2"/>
      <c r="O75" s="2"/>
      <c r="P75" s="2"/>
      <c r="Q75" s="2"/>
      <c r="R75" s="3"/>
      <c r="S75" s="3"/>
      <c r="T75" s="2"/>
      <c r="U75" s="2"/>
      <c r="V75" s="4"/>
      <c r="W75" s="4"/>
    </row>
    <row r="76" spans="1:23" s="5" customFormat="1" ht="15" customHeight="1" x14ac:dyDescent="0.25">
      <c r="A76" s="163"/>
      <c r="B76" s="50" t="s">
        <v>640</v>
      </c>
      <c r="C76" s="101">
        <v>-200000</v>
      </c>
      <c r="D76" s="55">
        <f t="shared" si="7"/>
        <v>45296011</v>
      </c>
      <c r="E76" s="36" t="s">
        <v>530</v>
      </c>
      <c r="F76" s="67"/>
      <c r="G76" s="64"/>
      <c r="H76" s="64"/>
      <c r="I76" s="64"/>
      <c r="J76" s="64"/>
      <c r="K76" s="64">
        <f t="shared" si="6"/>
        <v>-200000</v>
      </c>
      <c r="L76" s="2">
        <f t="shared" si="8"/>
        <v>0</v>
      </c>
      <c r="M76" s="2"/>
      <c r="N76" s="2"/>
      <c r="O76" s="2"/>
      <c r="P76" s="2"/>
      <c r="Q76" s="2"/>
      <c r="R76" s="3"/>
      <c r="S76" s="3"/>
      <c r="T76" s="2"/>
      <c r="U76" s="2"/>
      <c r="V76" s="4"/>
      <c r="W76" s="4"/>
    </row>
    <row r="77" spans="1:23" s="5" customFormat="1" ht="15" customHeight="1" x14ac:dyDescent="0.25">
      <c r="A77" s="389"/>
      <c r="B77" s="50" t="s">
        <v>641</v>
      </c>
      <c r="C77" s="101">
        <v>2125000</v>
      </c>
      <c r="D77" s="55">
        <f t="shared" si="7"/>
        <v>47421011</v>
      </c>
      <c r="E77" s="36" t="s">
        <v>214</v>
      </c>
      <c r="F77" s="67">
        <f>C77</f>
        <v>2125000</v>
      </c>
      <c r="G77" s="64"/>
      <c r="H77" s="64"/>
      <c r="I77" s="64"/>
      <c r="J77" s="64"/>
      <c r="K77" s="64"/>
      <c r="L77" s="2">
        <f t="shared" si="8"/>
        <v>0</v>
      </c>
      <c r="M77" s="2"/>
      <c r="N77" s="2"/>
      <c r="O77" s="2"/>
      <c r="P77" s="2"/>
      <c r="Q77" s="2"/>
      <c r="R77" s="3"/>
      <c r="S77" s="3"/>
      <c r="T77" s="2"/>
      <c r="U77" s="2"/>
      <c r="V77" s="4"/>
      <c r="W77" s="4"/>
    </row>
    <row r="78" spans="1:23" s="5" customFormat="1" ht="15" customHeight="1" x14ac:dyDescent="0.25">
      <c r="A78" s="6"/>
      <c r="B78" s="50" t="s">
        <v>18</v>
      </c>
      <c r="C78" s="101">
        <v>20000</v>
      </c>
      <c r="D78" s="55">
        <f t="shared" si="7"/>
        <v>47441011</v>
      </c>
      <c r="E78" s="36" t="s">
        <v>1</v>
      </c>
      <c r="F78" s="67"/>
      <c r="G78" s="64"/>
      <c r="H78" s="64">
        <f>C78</f>
        <v>20000</v>
      </c>
      <c r="I78" s="64"/>
      <c r="J78" s="64"/>
      <c r="K78" s="64"/>
      <c r="L78" s="2">
        <f t="shared" si="8"/>
        <v>0</v>
      </c>
      <c r="M78" s="2"/>
      <c r="N78" s="2"/>
      <c r="O78" s="2"/>
      <c r="P78" s="2"/>
      <c r="Q78" s="2"/>
      <c r="R78" s="3"/>
      <c r="S78" s="3"/>
      <c r="T78" s="2"/>
      <c r="U78" s="2"/>
      <c r="V78" s="4"/>
      <c r="W78" s="4"/>
    </row>
    <row r="79" spans="1:23" s="5" customFormat="1" ht="15" customHeight="1" x14ac:dyDescent="0.25">
      <c r="A79" s="390"/>
      <c r="B79" s="50" t="s">
        <v>597</v>
      </c>
      <c r="C79" s="101">
        <v>-71000</v>
      </c>
      <c r="D79" s="55">
        <f t="shared" si="7"/>
        <v>47370011</v>
      </c>
      <c r="E79" s="36" t="s">
        <v>530</v>
      </c>
      <c r="F79" s="67"/>
      <c r="G79" s="64"/>
      <c r="H79" s="64"/>
      <c r="I79" s="64"/>
      <c r="J79" s="64"/>
      <c r="K79" s="64">
        <f>C79</f>
        <v>-71000</v>
      </c>
      <c r="L79" s="2">
        <f t="shared" si="8"/>
        <v>0</v>
      </c>
      <c r="M79" s="2"/>
      <c r="N79" s="2"/>
      <c r="O79" s="2"/>
      <c r="P79" s="2"/>
      <c r="Q79" s="2"/>
      <c r="R79" s="3"/>
      <c r="S79" s="3"/>
      <c r="T79" s="2"/>
      <c r="U79" s="2"/>
      <c r="V79" s="4"/>
      <c r="W79" s="4"/>
    </row>
    <row r="80" spans="1:23" s="5" customFormat="1" ht="15" customHeight="1" x14ac:dyDescent="0.25">
      <c r="A80" s="6"/>
      <c r="B80" s="50" t="s">
        <v>642</v>
      </c>
      <c r="C80" s="101"/>
      <c r="D80" s="55">
        <f t="shared" si="7"/>
        <v>47370011</v>
      </c>
      <c r="E80" s="36" t="s">
        <v>61</v>
      </c>
      <c r="F80" s="67"/>
      <c r="G80" s="64"/>
      <c r="H80" s="64"/>
      <c r="I80" s="64"/>
      <c r="J80" s="64"/>
      <c r="K80" s="64">
        <f>C80</f>
        <v>0</v>
      </c>
      <c r="L80" s="2">
        <f t="shared" si="8"/>
        <v>0</v>
      </c>
      <c r="M80" s="2"/>
      <c r="N80" s="2"/>
      <c r="O80" s="2"/>
      <c r="P80" s="2"/>
      <c r="Q80" s="2"/>
      <c r="R80" s="3"/>
      <c r="S80" s="3"/>
      <c r="T80" s="2"/>
      <c r="U80" s="2"/>
      <c r="V80" s="4"/>
      <c r="W80" s="4"/>
    </row>
    <row r="81" spans="1:23" s="5" customFormat="1" ht="15" customHeight="1" x14ac:dyDescent="0.25">
      <c r="A81" s="389"/>
      <c r="B81" s="50" t="s">
        <v>643</v>
      </c>
      <c r="C81" s="101">
        <v>-80000</v>
      </c>
      <c r="D81" s="55">
        <f t="shared" si="7"/>
        <v>47290011</v>
      </c>
      <c r="E81" s="36" t="s">
        <v>530</v>
      </c>
      <c r="F81" s="67"/>
      <c r="G81" s="64"/>
      <c r="H81" s="64"/>
      <c r="I81" s="64"/>
      <c r="J81" s="64"/>
      <c r="K81" s="64">
        <f>C81</f>
        <v>-80000</v>
      </c>
      <c r="L81" s="2">
        <f t="shared" si="8"/>
        <v>0</v>
      </c>
      <c r="M81" s="2"/>
      <c r="N81" s="2"/>
      <c r="O81" s="2"/>
      <c r="P81" s="2"/>
      <c r="Q81" s="2"/>
      <c r="R81" s="3"/>
      <c r="S81" s="3"/>
      <c r="T81" s="2"/>
      <c r="U81" s="2"/>
      <c r="V81" s="4"/>
      <c r="W81" s="4"/>
    </row>
    <row r="82" spans="1:23" s="5" customFormat="1" ht="15" customHeight="1" x14ac:dyDescent="0.25">
      <c r="A82" s="389"/>
      <c r="B82" s="50" t="s">
        <v>644</v>
      </c>
      <c r="C82" s="101">
        <v>-65000</v>
      </c>
      <c r="D82" s="55">
        <f t="shared" si="7"/>
        <v>47225011</v>
      </c>
      <c r="E82" s="36" t="s">
        <v>530</v>
      </c>
      <c r="F82" s="67"/>
      <c r="G82" s="64"/>
      <c r="H82" s="64"/>
      <c r="I82" s="64"/>
      <c r="J82" s="64"/>
      <c r="K82" s="64">
        <f>C82</f>
        <v>-65000</v>
      </c>
      <c r="L82" s="2">
        <f t="shared" si="8"/>
        <v>0</v>
      </c>
      <c r="M82" s="2"/>
      <c r="N82" s="2"/>
      <c r="O82" s="2"/>
      <c r="P82" s="2"/>
      <c r="Q82" s="2"/>
      <c r="R82" s="3"/>
      <c r="S82" s="3"/>
      <c r="T82" s="2"/>
      <c r="U82" s="2"/>
      <c r="V82" s="4"/>
      <c r="W82" s="4"/>
    </row>
    <row r="83" spans="1:23" s="5" customFormat="1" ht="15" customHeight="1" x14ac:dyDescent="0.25">
      <c r="A83" s="389"/>
      <c r="B83" s="50" t="s">
        <v>262</v>
      </c>
      <c r="C83" s="101">
        <v>-80000</v>
      </c>
      <c r="D83" s="55">
        <f t="shared" si="7"/>
        <v>47145011</v>
      </c>
      <c r="E83" s="36" t="s">
        <v>530</v>
      </c>
      <c r="F83" s="67"/>
      <c r="G83" s="64"/>
      <c r="H83" s="64"/>
      <c r="I83" s="64"/>
      <c r="J83" s="64"/>
      <c r="K83" s="64">
        <f>C83</f>
        <v>-80000</v>
      </c>
      <c r="L83" s="2">
        <f t="shared" si="8"/>
        <v>0</v>
      </c>
      <c r="M83" s="2"/>
      <c r="N83" s="2"/>
      <c r="O83" s="2"/>
      <c r="P83" s="2"/>
      <c r="Q83" s="2"/>
      <c r="R83" s="3"/>
      <c r="S83" s="3"/>
      <c r="T83" s="2"/>
      <c r="U83" s="2"/>
      <c r="V83" s="4"/>
      <c r="W83" s="4"/>
    </row>
    <row r="84" spans="1:23" s="5" customFormat="1" ht="15" customHeight="1" x14ac:dyDescent="0.25">
      <c r="A84" s="389"/>
      <c r="B84" s="50" t="s">
        <v>645</v>
      </c>
      <c r="C84" s="101">
        <v>150000</v>
      </c>
      <c r="D84" s="55">
        <f t="shared" si="7"/>
        <v>47295011</v>
      </c>
      <c r="E84" s="36" t="s">
        <v>59</v>
      </c>
      <c r="F84" s="67"/>
      <c r="G84" s="64">
        <f>C84</f>
        <v>150000</v>
      </c>
      <c r="H84" s="64"/>
      <c r="I84" s="64"/>
      <c r="J84" s="64"/>
      <c r="K84" s="64"/>
      <c r="L84" s="2">
        <f t="shared" si="8"/>
        <v>0</v>
      </c>
      <c r="M84" s="2"/>
      <c r="N84" s="2"/>
      <c r="O84" s="2"/>
      <c r="P84" s="2"/>
      <c r="Q84" s="2"/>
      <c r="R84" s="3"/>
      <c r="S84" s="3"/>
      <c r="T84" s="2"/>
      <c r="U84" s="2"/>
      <c r="V84" s="4"/>
      <c r="W84" s="4"/>
    </row>
    <row r="85" spans="1:23" s="5" customFormat="1" ht="15" customHeight="1" x14ac:dyDescent="0.25">
      <c r="A85" s="99">
        <v>45356</v>
      </c>
      <c r="B85" s="50" t="s">
        <v>163</v>
      </c>
      <c r="C85" s="101">
        <v>-11000</v>
      </c>
      <c r="D85" s="55">
        <f t="shared" si="7"/>
        <v>47284011</v>
      </c>
      <c r="E85" s="36" t="s">
        <v>530</v>
      </c>
      <c r="F85" s="67"/>
      <c r="G85" s="64"/>
      <c r="H85" s="64"/>
      <c r="I85" s="64"/>
      <c r="J85" s="64"/>
      <c r="K85" s="64">
        <f>C85</f>
        <v>-11000</v>
      </c>
      <c r="L85" s="2">
        <f t="shared" si="8"/>
        <v>0</v>
      </c>
      <c r="M85" s="2"/>
      <c r="N85" s="2"/>
      <c r="O85" s="2"/>
      <c r="P85" s="2"/>
      <c r="Q85" s="2"/>
      <c r="R85" s="3"/>
      <c r="S85" s="3"/>
      <c r="T85" s="2"/>
      <c r="U85" s="2"/>
      <c r="V85" s="4"/>
      <c r="W85" s="4"/>
    </row>
    <row r="86" spans="1:23" s="5" customFormat="1" ht="15" customHeight="1" x14ac:dyDescent="0.25">
      <c r="B86" s="50" t="s">
        <v>646</v>
      </c>
      <c r="C86" s="101"/>
      <c r="D86" s="55">
        <f t="shared" si="7"/>
        <v>47284011</v>
      </c>
      <c r="E86" s="36" t="s">
        <v>214</v>
      </c>
      <c r="F86" s="67"/>
      <c r="G86" s="64"/>
      <c r="H86" s="64"/>
      <c r="I86" s="64"/>
      <c r="J86" s="64"/>
      <c r="K86" s="64">
        <f>C86</f>
        <v>0</v>
      </c>
      <c r="L86" s="2">
        <f t="shared" si="8"/>
        <v>0</v>
      </c>
      <c r="M86" s="2"/>
      <c r="N86" s="2"/>
      <c r="O86" s="2"/>
      <c r="P86" s="2"/>
      <c r="Q86" s="2"/>
      <c r="R86" s="3"/>
      <c r="S86" s="3"/>
      <c r="T86" s="2"/>
      <c r="U86" s="2"/>
      <c r="V86" s="4"/>
      <c r="W86" s="4"/>
    </row>
    <row r="87" spans="1:23" s="5" customFormat="1" ht="15" customHeight="1" x14ac:dyDescent="0.25">
      <c r="A87" s="99"/>
      <c r="B87" s="50" t="s">
        <v>647</v>
      </c>
      <c r="C87" s="101">
        <v>-1000000</v>
      </c>
      <c r="D87" s="55">
        <f t="shared" si="7"/>
        <v>46284011</v>
      </c>
      <c r="E87" s="36" t="s">
        <v>530</v>
      </c>
      <c r="F87" s="67"/>
      <c r="G87" s="64"/>
      <c r="H87" s="64"/>
      <c r="I87" s="64"/>
      <c r="J87" s="64"/>
      <c r="K87" s="64">
        <f>C87</f>
        <v>-1000000</v>
      </c>
      <c r="L87" s="2">
        <f t="shared" si="8"/>
        <v>0</v>
      </c>
      <c r="M87" s="2"/>
      <c r="N87" s="2"/>
      <c r="O87" s="2"/>
      <c r="P87" s="2"/>
      <c r="Q87" s="2"/>
      <c r="R87" s="3"/>
      <c r="S87" s="3"/>
      <c r="T87" s="2"/>
      <c r="U87" s="2"/>
      <c r="V87" s="4"/>
      <c r="W87" s="4"/>
    </row>
    <row r="88" spans="1:23" s="5" customFormat="1" ht="15" customHeight="1" x14ac:dyDescent="0.25">
      <c r="B88" s="50" t="s">
        <v>220</v>
      </c>
      <c r="C88" s="101">
        <v>-58000</v>
      </c>
      <c r="D88" s="55">
        <f t="shared" si="7"/>
        <v>46226011</v>
      </c>
      <c r="E88" s="36" t="s">
        <v>530</v>
      </c>
      <c r="F88" s="67"/>
      <c r="G88" s="64"/>
      <c r="H88" s="64"/>
      <c r="I88" s="64"/>
      <c r="J88" s="64"/>
      <c r="K88" s="64">
        <f>C88</f>
        <v>-58000</v>
      </c>
      <c r="L88" s="2">
        <f t="shared" si="8"/>
        <v>0</v>
      </c>
      <c r="M88" s="2"/>
      <c r="N88" s="2"/>
      <c r="O88" s="2"/>
      <c r="P88" s="2"/>
      <c r="Q88" s="2"/>
      <c r="R88" s="3"/>
      <c r="S88" s="3"/>
      <c r="T88" s="2"/>
      <c r="U88" s="2"/>
      <c r="V88" s="4"/>
      <c r="W88" s="4"/>
    </row>
    <row r="89" spans="1:23" s="5" customFormat="1" ht="15" customHeight="1" x14ac:dyDescent="0.25">
      <c r="A89" s="389"/>
      <c r="B89" s="50" t="s">
        <v>648</v>
      </c>
      <c r="C89" s="101">
        <v>3700000</v>
      </c>
      <c r="D89" s="55">
        <f t="shared" si="7"/>
        <v>49926011</v>
      </c>
      <c r="E89" s="36" t="s">
        <v>61</v>
      </c>
      <c r="F89" s="67"/>
      <c r="G89" s="64"/>
      <c r="H89" s="64"/>
      <c r="I89" s="64">
        <f>C89</f>
        <v>3700000</v>
      </c>
      <c r="J89" s="64"/>
      <c r="K89" s="64"/>
      <c r="L89" s="2">
        <f t="shared" si="8"/>
        <v>0</v>
      </c>
      <c r="M89" s="2"/>
      <c r="N89" s="2"/>
      <c r="O89" s="2"/>
      <c r="P89" s="2"/>
      <c r="Q89" s="2"/>
      <c r="R89" s="3"/>
      <c r="S89" s="3"/>
      <c r="T89" s="2"/>
      <c r="U89" s="2"/>
      <c r="V89" s="4"/>
      <c r="W89" s="4"/>
    </row>
    <row r="90" spans="1:23" s="5" customFormat="1" ht="15" customHeight="1" x14ac:dyDescent="0.25">
      <c r="A90" s="390"/>
      <c r="B90" s="50" t="s">
        <v>649</v>
      </c>
      <c r="C90" s="101">
        <v>-65000</v>
      </c>
      <c r="D90" s="55">
        <f t="shared" si="7"/>
        <v>49861011</v>
      </c>
      <c r="E90" s="36" t="s">
        <v>530</v>
      </c>
      <c r="F90" s="67"/>
      <c r="G90" s="64"/>
      <c r="H90" s="64"/>
      <c r="I90" s="64"/>
      <c r="J90" s="64"/>
      <c r="K90" s="64">
        <f>C90</f>
        <v>-65000</v>
      </c>
      <c r="L90" s="2">
        <f t="shared" si="8"/>
        <v>0</v>
      </c>
      <c r="M90" s="2"/>
      <c r="N90" s="2"/>
      <c r="O90" s="2"/>
      <c r="P90" s="2"/>
      <c r="Q90" s="2"/>
      <c r="R90" s="3"/>
      <c r="S90" s="3"/>
      <c r="T90" s="2"/>
      <c r="U90" s="2"/>
      <c r="V90" s="4"/>
      <c r="W90" s="4"/>
    </row>
    <row r="91" spans="1:23" s="5" customFormat="1" ht="15" customHeight="1" x14ac:dyDescent="0.25">
      <c r="A91" s="6"/>
      <c r="B91" s="50" t="s">
        <v>650</v>
      </c>
      <c r="C91" s="101">
        <v>4435000</v>
      </c>
      <c r="D91" s="55">
        <f t="shared" si="7"/>
        <v>54296011</v>
      </c>
      <c r="E91" s="36" t="s">
        <v>214</v>
      </c>
      <c r="F91" s="67">
        <f>C91</f>
        <v>4435000</v>
      </c>
      <c r="G91" s="64"/>
      <c r="H91" s="64"/>
      <c r="I91" s="64"/>
      <c r="J91" s="64"/>
      <c r="K91" s="64"/>
      <c r="L91" s="2">
        <f t="shared" si="8"/>
        <v>0</v>
      </c>
      <c r="M91" s="2"/>
      <c r="N91" s="2"/>
      <c r="O91" s="2"/>
      <c r="P91" s="2"/>
      <c r="Q91" s="2"/>
      <c r="R91" s="3"/>
      <c r="S91" s="3"/>
      <c r="T91" s="2"/>
      <c r="U91" s="2"/>
      <c r="V91" s="4"/>
      <c r="W91" s="4"/>
    </row>
    <row r="92" spans="1:23" s="5" customFormat="1" ht="15" customHeight="1" x14ac:dyDescent="0.25">
      <c r="A92" s="390"/>
      <c r="B92" s="50" t="s">
        <v>651</v>
      </c>
      <c r="C92" s="101">
        <v>2000000</v>
      </c>
      <c r="D92" s="55">
        <f t="shared" si="7"/>
        <v>56296011</v>
      </c>
      <c r="E92" s="36" t="s">
        <v>214</v>
      </c>
      <c r="F92" s="67">
        <f>C92</f>
        <v>2000000</v>
      </c>
      <c r="G92" s="64"/>
      <c r="H92" s="64"/>
      <c r="I92" s="64"/>
      <c r="J92" s="64"/>
      <c r="K92" s="64"/>
      <c r="L92" s="2">
        <f t="shared" si="8"/>
        <v>0</v>
      </c>
      <c r="M92" s="2"/>
      <c r="N92" s="2"/>
      <c r="O92" s="2"/>
      <c r="P92" s="2"/>
      <c r="Q92" s="2"/>
      <c r="R92" s="3"/>
      <c r="S92" s="3"/>
      <c r="T92" s="2"/>
      <c r="U92" s="2"/>
      <c r="V92" s="4"/>
      <c r="W92" s="4"/>
    </row>
    <row r="93" spans="1:23" s="5" customFormat="1" ht="15" customHeight="1" x14ac:dyDescent="0.25">
      <c r="B93" s="50" t="s">
        <v>596</v>
      </c>
      <c r="C93" s="101">
        <v>-214000</v>
      </c>
      <c r="D93" s="55">
        <f t="shared" si="7"/>
        <v>56082011</v>
      </c>
      <c r="E93" s="36" t="s">
        <v>530</v>
      </c>
      <c r="F93" s="67"/>
      <c r="G93" s="64"/>
      <c r="H93" s="64"/>
      <c r="I93" s="64"/>
      <c r="J93" s="64"/>
      <c r="K93" s="64">
        <f t="shared" ref="K93:K101" si="9">C93</f>
        <v>-214000</v>
      </c>
      <c r="L93" s="2">
        <f t="shared" si="8"/>
        <v>0</v>
      </c>
      <c r="M93" s="2"/>
      <c r="N93" s="2"/>
      <c r="O93" s="2"/>
      <c r="P93" s="2"/>
      <c r="Q93" s="2"/>
      <c r="R93" s="3"/>
      <c r="S93" s="3"/>
      <c r="T93" s="2"/>
      <c r="U93" s="2"/>
      <c r="V93" s="4"/>
      <c r="W93" s="4"/>
    </row>
    <row r="94" spans="1:23" s="5" customFormat="1" ht="15" customHeight="1" x14ac:dyDescent="0.25">
      <c r="A94" s="389"/>
      <c r="B94" s="50" t="s">
        <v>264</v>
      </c>
      <c r="C94" s="101">
        <v>-2543000</v>
      </c>
      <c r="D94" s="55">
        <f t="shared" si="7"/>
        <v>53539011</v>
      </c>
      <c r="E94" s="36" t="s">
        <v>530</v>
      </c>
      <c r="F94" s="67"/>
      <c r="G94" s="64"/>
      <c r="H94" s="64"/>
      <c r="I94" s="64"/>
      <c r="J94" s="64"/>
      <c r="K94" s="64">
        <f t="shared" si="9"/>
        <v>-2543000</v>
      </c>
      <c r="L94" s="2">
        <f t="shared" si="8"/>
        <v>0</v>
      </c>
      <c r="M94" s="2"/>
      <c r="N94" s="2"/>
      <c r="O94" s="2"/>
      <c r="P94" s="2"/>
      <c r="Q94" s="2"/>
      <c r="R94" s="3"/>
      <c r="S94" s="3"/>
      <c r="T94" s="2"/>
      <c r="U94" s="2"/>
      <c r="V94" s="4"/>
      <c r="W94" s="4"/>
    </row>
    <row r="95" spans="1:23" s="5" customFormat="1" ht="15" customHeight="1" x14ac:dyDescent="0.25">
      <c r="A95" s="389"/>
      <c r="B95" s="50" t="s">
        <v>190</v>
      </c>
      <c r="C95" s="101">
        <v>-425000</v>
      </c>
      <c r="D95" s="55">
        <f t="shared" si="7"/>
        <v>53114011</v>
      </c>
      <c r="E95" s="36" t="s">
        <v>530</v>
      </c>
      <c r="F95" s="67"/>
      <c r="G95" s="64"/>
      <c r="H95" s="64"/>
      <c r="I95" s="64"/>
      <c r="J95" s="64"/>
      <c r="K95" s="64">
        <f t="shared" si="9"/>
        <v>-425000</v>
      </c>
      <c r="L95" s="2">
        <f t="shared" si="8"/>
        <v>0</v>
      </c>
      <c r="M95" s="2"/>
      <c r="N95" s="2"/>
      <c r="O95" s="2"/>
      <c r="P95" s="2"/>
      <c r="Q95" s="2"/>
      <c r="R95" s="3"/>
      <c r="S95" s="3"/>
      <c r="T95" s="2"/>
      <c r="U95" s="2"/>
      <c r="V95" s="4"/>
      <c r="W95" s="4"/>
    </row>
    <row r="96" spans="1:23" s="5" customFormat="1" ht="15" customHeight="1" x14ac:dyDescent="0.25">
      <c r="A96" s="390"/>
      <c r="B96" s="50" t="s">
        <v>185</v>
      </c>
      <c r="C96" s="101">
        <v>-79800</v>
      </c>
      <c r="D96" s="55">
        <f t="shared" si="7"/>
        <v>53034211</v>
      </c>
      <c r="E96" s="36" t="s">
        <v>530</v>
      </c>
      <c r="F96" s="67"/>
      <c r="G96" s="64"/>
      <c r="H96" s="64"/>
      <c r="I96" s="64"/>
      <c r="J96" s="64"/>
      <c r="K96" s="64">
        <f t="shared" si="9"/>
        <v>-79800</v>
      </c>
      <c r="L96" s="2">
        <f t="shared" si="8"/>
        <v>0</v>
      </c>
      <c r="M96" s="2"/>
      <c r="N96" s="2"/>
      <c r="O96" s="2"/>
      <c r="P96" s="2"/>
      <c r="Q96" s="2"/>
      <c r="R96" s="3"/>
      <c r="S96" s="3"/>
      <c r="T96" s="2"/>
      <c r="U96" s="2"/>
      <c r="V96" s="4"/>
      <c r="W96" s="4"/>
    </row>
    <row r="97" spans="1:23" s="5" customFormat="1" ht="15" customHeight="1" x14ac:dyDescent="0.25">
      <c r="A97" s="389"/>
      <c r="B97" s="50" t="s">
        <v>652</v>
      </c>
      <c r="C97" s="101">
        <v>-3598740</v>
      </c>
      <c r="D97" s="55">
        <f t="shared" si="7"/>
        <v>49435471</v>
      </c>
      <c r="E97" s="36" t="s">
        <v>530</v>
      </c>
      <c r="F97" s="67"/>
      <c r="G97" s="64"/>
      <c r="H97" s="64"/>
      <c r="I97" s="64"/>
      <c r="J97" s="64"/>
      <c r="K97" s="64">
        <f t="shared" si="9"/>
        <v>-3598740</v>
      </c>
      <c r="L97" s="2">
        <f t="shared" si="8"/>
        <v>0</v>
      </c>
      <c r="M97" s="2"/>
      <c r="N97" s="2"/>
      <c r="O97" s="2"/>
      <c r="P97" s="2"/>
      <c r="Q97" s="2"/>
      <c r="R97" s="3"/>
      <c r="S97" s="3"/>
      <c r="T97" s="2"/>
      <c r="U97" s="2"/>
      <c r="V97" s="4"/>
      <c r="W97" s="4"/>
    </row>
    <row r="98" spans="1:23" s="5" customFormat="1" ht="15" customHeight="1" x14ac:dyDescent="0.25">
      <c r="B98" s="50" t="s">
        <v>653</v>
      </c>
      <c r="C98" s="101">
        <v>-174500</v>
      </c>
      <c r="D98" s="55">
        <f t="shared" si="7"/>
        <v>49260971</v>
      </c>
      <c r="E98" s="36" t="s">
        <v>530</v>
      </c>
      <c r="F98" s="67"/>
      <c r="G98" s="64"/>
      <c r="H98" s="64"/>
      <c r="I98" s="64"/>
      <c r="J98" s="64"/>
      <c r="K98" s="64">
        <f t="shared" si="9"/>
        <v>-174500</v>
      </c>
      <c r="L98" s="2">
        <f t="shared" si="8"/>
        <v>0</v>
      </c>
      <c r="M98" s="2"/>
      <c r="N98" s="2"/>
      <c r="O98" s="2"/>
      <c r="P98" s="2"/>
      <c r="Q98" s="2"/>
      <c r="R98" s="3"/>
      <c r="S98" s="3"/>
      <c r="T98" s="2"/>
      <c r="U98" s="2"/>
      <c r="V98" s="4"/>
      <c r="W98" s="4"/>
    </row>
    <row r="99" spans="1:23" s="5" customFormat="1" ht="15" customHeight="1" x14ac:dyDescent="0.25">
      <c r="B99" s="50" t="s">
        <v>654</v>
      </c>
      <c r="C99" s="101">
        <v>-458700</v>
      </c>
      <c r="D99" s="55">
        <f t="shared" si="7"/>
        <v>48802271</v>
      </c>
      <c r="E99" s="36" t="s">
        <v>530</v>
      </c>
      <c r="F99" s="67"/>
      <c r="G99" s="64"/>
      <c r="H99" s="64"/>
      <c r="I99" s="64"/>
      <c r="J99" s="64"/>
      <c r="K99" s="64">
        <f t="shared" si="9"/>
        <v>-458700</v>
      </c>
      <c r="L99" s="2"/>
      <c r="M99" s="2"/>
      <c r="N99" s="2"/>
      <c r="O99" s="2"/>
      <c r="P99" s="2"/>
      <c r="Q99" s="2"/>
      <c r="R99" s="3"/>
      <c r="S99" s="3"/>
      <c r="T99" s="2"/>
      <c r="U99" s="2"/>
      <c r="V99" s="4"/>
      <c r="W99" s="4"/>
    </row>
    <row r="100" spans="1:23" s="5" customFormat="1" ht="15" customHeight="1" x14ac:dyDescent="0.25">
      <c r="A100" s="389"/>
      <c r="B100" s="50" t="s">
        <v>655</v>
      </c>
      <c r="C100" s="101">
        <v>-75000</v>
      </c>
      <c r="D100" s="55">
        <f t="shared" si="7"/>
        <v>48727271</v>
      </c>
      <c r="E100" s="36" t="s">
        <v>530</v>
      </c>
      <c r="F100" s="67"/>
      <c r="G100" s="64"/>
      <c r="H100" s="64"/>
      <c r="I100" s="64"/>
      <c r="J100" s="64"/>
      <c r="K100" s="64">
        <f t="shared" si="9"/>
        <v>-75000</v>
      </c>
      <c r="L100" s="2">
        <f t="shared" si="8"/>
        <v>0</v>
      </c>
      <c r="M100" s="2"/>
      <c r="N100" s="2"/>
      <c r="O100" s="2"/>
      <c r="P100" s="2"/>
      <c r="Q100" s="2"/>
      <c r="R100" s="3"/>
      <c r="S100" s="3"/>
      <c r="T100" s="2"/>
      <c r="U100" s="2"/>
      <c r="V100" s="4"/>
      <c r="W100" s="4"/>
    </row>
    <row r="101" spans="1:23" s="5" customFormat="1" ht="15" customHeight="1" x14ac:dyDescent="0.25">
      <c r="A101" s="389"/>
      <c r="B101" s="50" t="s">
        <v>656</v>
      </c>
      <c r="C101" s="101">
        <v>-75000</v>
      </c>
      <c r="D101" s="55">
        <f t="shared" si="7"/>
        <v>48652271</v>
      </c>
      <c r="E101" s="36" t="s">
        <v>530</v>
      </c>
      <c r="F101" s="67"/>
      <c r="G101" s="64"/>
      <c r="H101" s="64"/>
      <c r="I101" s="64"/>
      <c r="J101" s="64"/>
      <c r="K101" s="64">
        <f t="shared" si="9"/>
        <v>-75000</v>
      </c>
      <c r="L101" s="2">
        <f t="shared" si="8"/>
        <v>0</v>
      </c>
      <c r="M101" s="2"/>
      <c r="N101" s="2"/>
      <c r="O101" s="2"/>
      <c r="P101" s="2"/>
      <c r="Q101" s="2"/>
      <c r="R101" s="3"/>
      <c r="S101" s="3"/>
      <c r="T101" s="2"/>
      <c r="U101" s="2"/>
      <c r="V101" s="4"/>
      <c r="W101" s="4"/>
    </row>
    <row r="102" spans="1:23" s="5" customFormat="1" ht="15" customHeight="1" x14ac:dyDescent="0.25">
      <c r="A102" s="390"/>
      <c r="B102" s="50" t="s">
        <v>18</v>
      </c>
      <c r="C102" s="101">
        <v>70000</v>
      </c>
      <c r="D102" s="55">
        <f t="shared" si="7"/>
        <v>48722271</v>
      </c>
      <c r="E102" s="36" t="s">
        <v>1</v>
      </c>
      <c r="F102" s="67"/>
      <c r="G102" s="64"/>
      <c r="H102" s="64">
        <f>C102</f>
        <v>70000</v>
      </c>
      <c r="I102" s="64"/>
      <c r="J102" s="64"/>
      <c r="K102" s="64"/>
      <c r="L102" s="2">
        <f t="shared" si="8"/>
        <v>0</v>
      </c>
      <c r="M102" s="2"/>
      <c r="N102" s="2"/>
      <c r="O102" s="2"/>
      <c r="P102" s="2"/>
      <c r="Q102" s="2"/>
      <c r="R102" s="3"/>
      <c r="S102" s="3"/>
      <c r="T102" s="2"/>
      <c r="U102" s="2"/>
      <c r="V102" s="4"/>
      <c r="W102" s="4"/>
    </row>
    <row r="103" spans="1:23" s="5" customFormat="1" ht="15" customHeight="1" x14ac:dyDescent="0.25">
      <c r="B103" s="50" t="s">
        <v>529</v>
      </c>
      <c r="C103" s="101">
        <v>-30000</v>
      </c>
      <c r="D103" s="55">
        <f t="shared" si="7"/>
        <v>48692271</v>
      </c>
      <c r="E103" s="36" t="s">
        <v>530</v>
      </c>
      <c r="F103" s="67"/>
      <c r="G103" s="64"/>
      <c r="H103" s="64"/>
      <c r="I103" s="64"/>
      <c r="J103" s="64"/>
      <c r="K103" s="64">
        <f t="shared" ref="K103:K110" si="10">C103</f>
        <v>-30000</v>
      </c>
      <c r="L103" s="2">
        <f t="shared" si="8"/>
        <v>0</v>
      </c>
      <c r="M103" s="2"/>
      <c r="N103" s="2"/>
      <c r="O103" s="2"/>
      <c r="P103" s="2"/>
      <c r="Q103" s="2"/>
      <c r="R103" s="3"/>
      <c r="S103" s="3"/>
      <c r="T103" s="2"/>
      <c r="U103" s="2"/>
      <c r="V103" s="4"/>
      <c r="W103" s="4"/>
    </row>
    <row r="104" spans="1:23" s="5" customFormat="1" ht="15" customHeight="1" x14ac:dyDescent="0.25">
      <c r="A104" s="99">
        <v>45357</v>
      </c>
      <c r="B104" s="50" t="s">
        <v>657</v>
      </c>
      <c r="C104" s="101"/>
      <c r="D104" s="55">
        <f t="shared" si="7"/>
        <v>48692271</v>
      </c>
      <c r="E104" s="36" t="s">
        <v>214</v>
      </c>
      <c r="F104" s="67">
        <f>C104</f>
        <v>0</v>
      </c>
      <c r="G104" s="64"/>
      <c r="H104" s="64"/>
      <c r="I104" s="64"/>
      <c r="J104" s="64"/>
      <c r="K104" s="64">
        <f t="shared" si="10"/>
        <v>0</v>
      </c>
      <c r="L104" s="2">
        <f t="shared" si="8"/>
        <v>0</v>
      </c>
      <c r="M104" s="2"/>
      <c r="N104" s="2"/>
      <c r="O104" s="2"/>
      <c r="P104" s="2"/>
      <c r="Q104" s="2"/>
      <c r="R104" s="3"/>
      <c r="S104" s="3"/>
      <c r="T104" s="2"/>
      <c r="U104" s="2"/>
      <c r="V104" s="4"/>
      <c r="W104" s="4"/>
    </row>
    <row r="105" spans="1:23" s="5" customFormat="1" ht="15" customHeight="1" x14ac:dyDescent="0.25">
      <c r="B105" s="50" t="s">
        <v>163</v>
      </c>
      <c r="C105" s="101">
        <v>-11000</v>
      </c>
      <c r="D105" s="55">
        <f t="shared" si="7"/>
        <v>48681271</v>
      </c>
      <c r="E105" s="36" t="s">
        <v>530</v>
      </c>
      <c r="F105" s="67"/>
      <c r="G105" s="64"/>
      <c r="H105" s="64"/>
      <c r="I105" s="64"/>
      <c r="J105" s="64"/>
      <c r="K105" s="64">
        <f t="shared" si="10"/>
        <v>-11000</v>
      </c>
      <c r="L105" s="2">
        <f t="shared" si="8"/>
        <v>0</v>
      </c>
      <c r="M105" s="2"/>
      <c r="N105" s="2"/>
      <c r="O105" s="2"/>
      <c r="P105" s="2"/>
      <c r="Q105" s="2"/>
      <c r="R105" s="3"/>
      <c r="S105" s="3"/>
      <c r="T105" s="2"/>
      <c r="U105" s="2"/>
      <c r="V105" s="4"/>
      <c r="W105" s="4"/>
    </row>
    <row r="106" spans="1:23" s="5" customFormat="1" ht="15" customHeight="1" x14ac:dyDescent="0.25">
      <c r="B106" s="50" t="s">
        <v>658</v>
      </c>
      <c r="C106" s="101">
        <v>-280000</v>
      </c>
      <c r="D106" s="55">
        <f t="shared" si="7"/>
        <v>48401271</v>
      </c>
      <c r="E106" s="36" t="s">
        <v>530</v>
      </c>
      <c r="F106" s="67"/>
      <c r="G106" s="64"/>
      <c r="H106" s="64"/>
      <c r="I106" s="64"/>
      <c r="J106" s="64"/>
      <c r="K106" s="64">
        <f t="shared" si="10"/>
        <v>-280000</v>
      </c>
      <c r="L106" s="2">
        <f t="shared" si="8"/>
        <v>0</v>
      </c>
      <c r="M106" s="2"/>
      <c r="N106" s="2"/>
      <c r="O106" s="2"/>
      <c r="P106" s="2"/>
      <c r="Q106" s="2"/>
      <c r="R106" s="3"/>
      <c r="S106" s="3"/>
      <c r="T106" s="2"/>
      <c r="U106" s="2"/>
      <c r="V106" s="4"/>
      <c r="W106" s="4"/>
    </row>
    <row r="107" spans="1:23" s="5" customFormat="1" ht="15" customHeight="1" x14ac:dyDescent="0.25">
      <c r="A107" s="389"/>
      <c r="B107" s="50" t="s">
        <v>659</v>
      </c>
      <c r="C107" s="101">
        <v>-200000</v>
      </c>
      <c r="D107" s="55">
        <f t="shared" si="7"/>
        <v>48201271</v>
      </c>
      <c r="E107" s="36" t="s">
        <v>530</v>
      </c>
      <c r="F107" s="67"/>
      <c r="G107" s="64"/>
      <c r="H107" s="64"/>
      <c r="I107" s="64"/>
      <c r="J107" s="64"/>
      <c r="K107" s="64">
        <f t="shared" si="10"/>
        <v>-200000</v>
      </c>
      <c r="L107" s="2">
        <f t="shared" si="8"/>
        <v>0</v>
      </c>
      <c r="M107" s="2"/>
      <c r="N107" s="2"/>
      <c r="O107" s="2"/>
      <c r="P107" s="2"/>
      <c r="Q107" s="2"/>
      <c r="R107" s="3"/>
      <c r="S107" s="3"/>
      <c r="T107" s="2"/>
      <c r="U107" s="2"/>
      <c r="V107" s="4"/>
      <c r="W107" s="4"/>
    </row>
    <row r="108" spans="1:23" s="5" customFormat="1" ht="15" customHeight="1" x14ac:dyDescent="0.25">
      <c r="A108" s="389"/>
      <c r="B108" s="50" t="s">
        <v>660</v>
      </c>
      <c r="C108" s="101">
        <v>-65000</v>
      </c>
      <c r="D108" s="55">
        <f t="shared" si="7"/>
        <v>48136271</v>
      </c>
      <c r="E108" s="36" t="s">
        <v>530</v>
      </c>
      <c r="F108" s="67"/>
      <c r="G108" s="64"/>
      <c r="H108" s="64"/>
      <c r="I108" s="64"/>
      <c r="J108" s="64"/>
      <c r="K108" s="64">
        <f t="shared" si="10"/>
        <v>-65000</v>
      </c>
      <c r="L108" s="2">
        <f t="shared" si="8"/>
        <v>0</v>
      </c>
      <c r="M108" s="2"/>
      <c r="N108" s="2"/>
      <c r="O108" s="2"/>
      <c r="P108" s="2"/>
      <c r="Q108" s="2"/>
      <c r="R108" s="3"/>
      <c r="S108" s="3"/>
      <c r="T108" s="2"/>
      <c r="U108" s="2"/>
      <c r="V108" s="4"/>
      <c r="W108" s="4"/>
    </row>
    <row r="109" spans="1:23" s="5" customFormat="1" ht="15" customHeight="1" x14ac:dyDescent="0.25">
      <c r="A109" s="6"/>
      <c r="B109" s="50" t="s">
        <v>661</v>
      </c>
      <c r="C109" s="101">
        <v>-240300</v>
      </c>
      <c r="D109" s="55">
        <f t="shared" si="7"/>
        <v>47895971</v>
      </c>
      <c r="E109" s="36" t="s">
        <v>530</v>
      </c>
      <c r="F109" s="67"/>
      <c r="G109" s="64"/>
      <c r="H109" s="64"/>
      <c r="I109" s="64"/>
      <c r="J109" s="64"/>
      <c r="K109" s="64">
        <f t="shared" si="10"/>
        <v>-240300</v>
      </c>
      <c r="L109" s="2">
        <f t="shared" si="8"/>
        <v>0</v>
      </c>
      <c r="M109" s="2"/>
      <c r="N109" s="2"/>
      <c r="O109" s="2"/>
      <c r="P109" s="2"/>
      <c r="Q109" s="2"/>
      <c r="R109" s="3"/>
      <c r="S109" s="3"/>
      <c r="T109" s="2"/>
      <c r="U109" s="2"/>
      <c r="V109" s="4"/>
      <c r="W109" s="4"/>
    </row>
    <row r="110" spans="1:23" s="5" customFormat="1" ht="15" customHeight="1" x14ac:dyDescent="0.25">
      <c r="A110" s="6"/>
      <c r="B110" s="50" t="s">
        <v>662</v>
      </c>
      <c r="C110" s="101">
        <v>-34000</v>
      </c>
      <c r="D110" s="55">
        <f t="shared" si="7"/>
        <v>47861971</v>
      </c>
      <c r="E110" s="36" t="s">
        <v>530</v>
      </c>
      <c r="F110" s="67"/>
      <c r="G110" s="64"/>
      <c r="H110" s="64"/>
      <c r="I110" s="64"/>
      <c r="J110" s="64"/>
      <c r="K110" s="64">
        <f t="shared" si="10"/>
        <v>-34000</v>
      </c>
      <c r="L110" s="2">
        <f t="shared" si="8"/>
        <v>0</v>
      </c>
      <c r="M110" s="2"/>
      <c r="N110" s="2"/>
      <c r="O110" s="2"/>
      <c r="P110" s="2"/>
      <c r="Q110" s="2"/>
      <c r="R110" s="3"/>
      <c r="S110" s="3"/>
      <c r="T110" s="2"/>
      <c r="U110" s="2"/>
      <c r="V110" s="4"/>
      <c r="W110" s="4"/>
    </row>
    <row r="111" spans="1:23" s="5" customFormat="1" ht="15" customHeight="1" x14ac:dyDescent="0.25">
      <c r="A111" s="390"/>
      <c r="B111" s="50" t="s">
        <v>663</v>
      </c>
      <c r="C111" s="101">
        <v>2620000</v>
      </c>
      <c r="D111" s="55">
        <f t="shared" si="7"/>
        <v>50481971</v>
      </c>
      <c r="E111" s="36" t="s">
        <v>214</v>
      </c>
      <c r="F111" s="67">
        <f>C111</f>
        <v>2620000</v>
      </c>
      <c r="G111" s="64"/>
      <c r="H111" s="64"/>
      <c r="I111" s="64"/>
      <c r="J111" s="64"/>
      <c r="K111" s="64"/>
      <c r="L111" s="2">
        <f t="shared" si="8"/>
        <v>0</v>
      </c>
      <c r="M111" s="2"/>
      <c r="N111" s="2"/>
      <c r="O111" s="2"/>
      <c r="P111" s="2"/>
      <c r="Q111" s="2"/>
      <c r="R111" s="3"/>
      <c r="S111" s="3"/>
      <c r="T111" s="2"/>
      <c r="U111" s="2"/>
      <c r="V111" s="4"/>
      <c r="W111" s="4"/>
    </row>
    <row r="112" spans="1:23" s="5" customFormat="1" ht="15" customHeight="1" x14ac:dyDescent="0.25">
      <c r="B112" s="50" t="s">
        <v>274</v>
      </c>
      <c r="C112" s="101">
        <v>-79100</v>
      </c>
      <c r="D112" s="55">
        <f t="shared" si="7"/>
        <v>50402871</v>
      </c>
      <c r="E112" s="36" t="s">
        <v>530</v>
      </c>
      <c r="F112" s="67"/>
      <c r="G112" s="64"/>
      <c r="H112" s="64"/>
      <c r="I112" s="64"/>
      <c r="J112" s="64"/>
      <c r="K112" s="64">
        <f>C112</f>
        <v>-79100</v>
      </c>
      <c r="L112" s="2">
        <f t="shared" si="8"/>
        <v>0</v>
      </c>
      <c r="M112" s="2"/>
      <c r="N112" s="2"/>
      <c r="O112" s="2"/>
      <c r="P112" s="2"/>
      <c r="Q112" s="2"/>
      <c r="R112" s="3"/>
      <c r="S112" s="3"/>
      <c r="T112" s="2"/>
      <c r="U112" s="2"/>
      <c r="V112" s="4"/>
      <c r="W112" s="4"/>
    </row>
    <row r="113" spans="1:23" s="5" customFormat="1" ht="15" customHeight="1" x14ac:dyDescent="0.25">
      <c r="A113" s="390"/>
      <c r="B113" s="50" t="s">
        <v>664</v>
      </c>
      <c r="C113" s="101">
        <v>-418000</v>
      </c>
      <c r="D113" s="55">
        <f t="shared" si="7"/>
        <v>49984871</v>
      </c>
      <c r="E113" s="36" t="s">
        <v>530</v>
      </c>
      <c r="F113" s="67"/>
      <c r="G113" s="64"/>
      <c r="H113" s="64"/>
      <c r="I113" s="64"/>
      <c r="J113" s="64"/>
      <c r="K113" s="64">
        <f>C113</f>
        <v>-418000</v>
      </c>
      <c r="L113" s="2">
        <f t="shared" si="8"/>
        <v>0</v>
      </c>
      <c r="M113" s="2"/>
      <c r="N113" s="2"/>
      <c r="O113" s="2"/>
      <c r="P113" s="2"/>
      <c r="Q113" s="2"/>
      <c r="R113" s="3"/>
      <c r="S113" s="3"/>
      <c r="T113" s="2"/>
      <c r="U113" s="2"/>
      <c r="V113" s="4"/>
      <c r="W113" s="4"/>
    </row>
    <row r="114" spans="1:23" s="5" customFormat="1" ht="15" customHeight="1" x14ac:dyDescent="0.25">
      <c r="A114" s="6"/>
      <c r="B114" s="50" t="s">
        <v>264</v>
      </c>
      <c r="C114" s="101">
        <v>-933000</v>
      </c>
      <c r="D114" s="55">
        <f t="shared" si="7"/>
        <v>49051871</v>
      </c>
      <c r="E114" s="36" t="s">
        <v>530</v>
      </c>
      <c r="F114" s="67"/>
      <c r="G114" s="64"/>
      <c r="H114" s="64"/>
      <c r="I114" s="64"/>
      <c r="J114" s="64"/>
      <c r="K114" s="64">
        <f>C114</f>
        <v>-933000</v>
      </c>
      <c r="L114" s="2">
        <f t="shared" si="8"/>
        <v>0</v>
      </c>
      <c r="M114" s="2"/>
      <c r="N114" s="2"/>
      <c r="O114" s="2"/>
      <c r="P114" s="2"/>
      <c r="Q114" s="2"/>
      <c r="R114" s="3"/>
      <c r="S114" s="3"/>
      <c r="T114" s="2"/>
      <c r="U114" s="2"/>
      <c r="V114" s="4"/>
      <c r="W114" s="4"/>
    </row>
    <row r="115" spans="1:23" s="5" customFormat="1" ht="15" customHeight="1" x14ac:dyDescent="0.25">
      <c r="A115" s="390"/>
      <c r="B115" s="50" t="s">
        <v>267</v>
      </c>
      <c r="C115" s="101">
        <v>-217000</v>
      </c>
      <c r="D115" s="55">
        <f t="shared" si="7"/>
        <v>48834871</v>
      </c>
      <c r="E115" s="36" t="s">
        <v>530</v>
      </c>
      <c r="F115" s="67"/>
      <c r="G115" s="64"/>
      <c r="H115" s="64"/>
      <c r="I115" s="64"/>
      <c r="J115" s="64"/>
      <c r="K115" s="64">
        <f>C115</f>
        <v>-217000</v>
      </c>
      <c r="L115" s="2">
        <f t="shared" si="8"/>
        <v>0</v>
      </c>
      <c r="M115" s="2"/>
      <c r="N115" s="2"/>
      <c r="O115" s="2"/>
      <c r="P115" s="2"/>
      <c r="Q115" s="2"/>
      <c r="R115" s="3"/>
      <c r="S115" s="3"/>
      <c r="T115" s="2"/>
      <c r="U115" s="2"/>
      <c r="V115" s="4"/>
      <c r="W115" s="4"/>
    </row>
    <row r="116" spans="1:23" s="5" customFormat="1" ht="15" customHeight="1" x14ac:dyDescent="0.25">
      <c r="A116" s="6"/>
      <c r="B116" s="50" t="s">
        <v>665</v>
      </c>
      <c r="C116" s="101">
        <v>2000000</v>
      </c>
      <c r="D116" s="55">
        <f t="shared" si="7"/>
        <v>50834871</v>
      </c>
      <c r="E116" s="36" t="s">
        <v>61</v>
      </c>
      <c r="F116" s="67"/>
      <c r="G116" s="64"/>
      <c r="H116" s="64"/>
      <c r="I116" s="64">
        <f>C116</f>
        <v>2000000</v>
      </c>
      <c r="J116" s="64"/>
      <c r="K116" s="64"/>
      <c r="L116" s="2">
        <f t="shared" si="8"/>
        <v>0</v>
      </c>
      <c r="M116" s="2"/>
      <c r="N116" s="2"/>
      <c r="O116" s="2"/>
      <c r="P116" s="2"/>
      <c r="Q116" s="2"/>
      <c r="R116" s="3"/>
      <c r="S116" s="3"/>
      <c r="T116" s="2"/>
      <c r="U116" s="2"/>
      <c r="V116" s="4"/>
      <c r="W116" s="4"/>
    </row>
    <row r="117" spans="1:23" s="5" customFormat="1" ht="15" customHeight="1" x14ac:dyDescent="0.25">
      <c r="A117" s="6"/>
      <c r="B117" s="50" t="s">
        <v>264</v>
      </c>
      <c r="C117" s="101">
        <v>-1013400</v>
      </c>
      <c r="D117" s="55">
        <f t="shared" si="7"/>
        <v>49821471</v>
      </c>
      <c r="E117" s="36" t="s">
        <v>530</v>
      </c>
      <c r="F117" s="67"/>
      <c r="G117" s="64"/>
      <c r="H117" s="64"/>
      <c r="I117" s="64"/>
      <c r="J117" s="64"/>
      <c r="K117" s="64">
        <f t="shared" ref="K117:K127" si="11">C117</f>
        <v>-1013400</v>
      </c>
      <c r="L117" s="2">
        <f t="shared" si="8"/>
        <v>0</v>
      </c>
      <c r="M117" s="2"/>
      <c r="N117" s="2"/>
      <c r="O117" s="2"/>
      <c r="P117" s="2"/>
      <c r="Q117" s="2"/>
      <c r="R117" s="3"/>
      <c r="S117" s="3"/>
      <c r="T117" s="2"/>
      <c r="U117" s="2"/>
      <c r="V117" s="4"/>
      <c r="W117" s="4"/>
    </row>
    <row r="118" spans="1:23" s="5" customFormat="1" ht="15" customHeight="1" x14ac:dyDescent="0.25">
      <c r="A118" s="389"/>
      <c r="B118" s="50" t="s">
        <v>666</v>
      </c>
      <c r="C118" s="101">
        <v>-235000</v>
      </c>
      <c r="D118" s="55">
        <f t="shared" si="7"/>
        <v>49586471</v>
      </c>
      <c r="E118" s="36" t="s">
        <v>530</v>
      </c>
      <c r="F118" s="67"/>
      <c r="G118" s="64"/>
      <c r="H118" s="64"/>
      <c r="I118" s="64"/>
      <c r="J118" s="64"/>
      <c r="K118" s="64">
        <f t="shared" si="11"/>
        <v>-235000</v>
      </c>
      <c r="L118" s="2">
        <f t="shared" si="8"/>
        <v>0</v>
      </c>
      <c r="M118" s="2"/>
      <c r="N118" s="2"/>
      <c r="O118" s="2"/>
      <c r="P118" s="2"/>
      <c r="Q118" s="2"/>
      <c r="R118" s="3"/>
      <c r="S118" s="3"/>
      <c r="T118" s="2"/>
      <c r="U118" s="2"/>
      <c r="V118" s="4"/>
      <c r="W118" s="4"/>
    </row>
    <row r="119" spans="1:23" s="5" customFormat="1" ht="15" customHeight="1" x14ac:dyDescent="0.25">
      <c r="A119" s="390"/>
      <c r="B119" s="50" t="s">
        <v>185</v>
      </c>
      <c r="C119" s="101">
        <v>-35000</v>
      </c>
      <c r="D119" s="55">
        <f t="shared" si="7"/>
        <v>49551471</v>
      </c>
      <c r="E119" s="36" t="s">
        <v>530</v>
      </c>
      <c r="F119" s="67"/>
      <c r="G119" s="64"/>
      <c r="H119" s="64"/>
      <c r="I119" s="64"/>
      <c r="J119" s="64"/>
      <c r="K119" s="64">
        <f t="shared" si="11"/>
        <v>-35000</v>
      </c>
      <c r="L119" s="2">
        <f t="shared" si="8"/>
        <v>0</v>
      </c>
      <c r="M119" s="2"/>
      <c r="N119" s="2"/>
      <c r="O119" s="2"/>
      <c r="P119" s="2"/>
      <c r="Q119" s="2"/>
      <c r="R119" s="3"/>
      <c r="S119" s="3"/>
      <c r="T119" s="2"/>
      <c r="U119" s="2"/>
      <c r="V119" s="4"/>
      <c r="W119" s="4"/>
    </row>
    <row r="120" spans="1:23" s="5" customFormat="1" ht="15" customHeight="1" x14ac:dyDescent="0.25">
      <c r="A120" s="389"/>
      <c r="B120" s="50" t="s">
        <v>667</v>
      </c>
      <c r="C120" s="101">
        <v>-1290000</v>
      </c>
      <c r="D120" s="55">
        <f t="shared" si="7"/>
        <v>48261471</v>
      </c>
      <c r="E120" s="36" t="s">
        <v>530</v>
      </c>
      <c r="F120" s="67"/>
      <c r="G120" s="64"/>
      <c r="H120" s="64"/>
      <c r="I120" s="64"/>
      <c r="J120" s="64"/>
      <c r="K120" s="64">
        <f t="shared" si="11"/>
        <v>-1290000</v>
      </c>
      <c r="L120" s="2">
        <f t="shared" si="8"/>
        <v>0</v>
      </c>
      <c r="M120" s="2"/>
      <c r="N120" s="2"/>
      <c r="O120" s="2"/>
      <c r="P120" s="2"/>
      <c r="Q120" s="2"/>
      <c r="R120" s="3"/>
      <c r="S120" s="3"/>
      <c r="T120" s="2"/>
      <c r="U120" s="2"/>
      <c r="V120" s="4"/>
      <c r="W120" s="4"/>
    </row>
    <row r="121" spans="1:23" s="5" customFormat="1" ht="15" customHeight="1" x14ac:dyDescent="0.25">
      <c r="B121" s="50" t="s">
        <v>184</v>
      </c>
      <c r="C121" s="101">
        <v>-818000</v>
      </c>
      <c r="D121" s="55">
        <f t="shared" si="7"/>
        <v>47443471</v>
      </c>
      <c r="E121" s="36" t="s">
        <v>530</v>
      </c>
      <c r="F121" s="67"/>
      <c r="G121" s="64"/>
      <c r="H121" s="64"/>
      <c r="I121" s="64"/>
      <c r="J121" s="64"/>
      <c r="K121" s="64">
        <f t="shared" si="11"/>
        <v>-818000</v>
      </c>
      <c r="L121" s="2">
        <f t="shared" si="8"/>
        <v>0</v>
      </c>
      <c r="M121" s="2"/>
      <c r="N121" s="2"/>
      <c r="O121" s="2"/>
      <c r="P121" s="2"/>
      <c r="Q121" s="2"/>
      <c r="R121" s="3"/>
      <c r="S121" s="3"/>
      <c r="T121" s="2"/>
      <c r="U121" s="2"/>
      <c r="V121" s="4"/>
      <c r="W121" s="4"/>
    </row>
    <row r="122" spans="1:23" s="5" customFormat="1" ht="15" customHeight="1" x14ac:dyDescent="0.25">
      <c r="A122" s="389"/>
      <c r="B122" s="50" t="s">
        <v>264</v>
      </c>
      <c r="C122" s="101">
        <v>-41000</v>
      </c>
      <c r="D122" s="55">
        <f t="shared" si="7"/>
        <v>47402471</v>
      </c>
      <c r="E122" s="36" t="s">
        <v>530</v>
      </c>
      <c r="F122" s="67"/>
      <c r="G122" s="64"/>
      <c r="H122" s="64"/>
      <c r="I122" s="64"/>
      <c r="J122" s="64"/>
      <c r="K122" s="64">
        <f t="shared" si="11"/>
        <v>-41000</v>
      </c>
      <c r="L122" s="2">
        <f t="shared" si="8"/>
        <v>0</v>
      </c>
      <c r="M122" s="2"/>
      <c r="N122" s="2"/>
      <c r="O122" s="2"/>
      <c r="P122" s="2"/>
      <c r="Q122" s="2"/>
      <c r="R122" s="3"/>
      <c r="S122" s="3"/>
      <c r="T122" s="2"/>
      <c r="U122" s="2"/>
      <c r="V122" s="4"/>
      <c r="W122" s="4"/>
    </row>
    <row r="123" spans="1:23" s="5" customFormat="1" ht="15" customHeight="1" x14ac:dyDescent="0.25">
      <c r="A123" s="390"/>
      <c r="B123" s="50" t="s">
        <v>668</v>
      </c>
      <c r="C123" s="101">
        <v>-75000</v>
      </c>
      <c r="D123" s="55">
        <f t="shared" si="7"/>
        <v>47327471</v>
      </c>
      <c r="E123" s="36" t="s">
        <v>530</v>
      </c>
      <c r="F123" s="67"/>
      <c r="G123" s="64"/>
      <c r="H123" s="64"/>
      <c r="I123" s="64"/>
      <c r="J123" s="64"/>
      <c r="K123" s="64">
        <f t="shared" si="11"/>
        <v>-75000</v>
      </c>
      <c r="L123" s="2">
        <f t="shared" si="8"/>
        <v>0</v>
      </c>
      <c r="M123" s="2"/>
      <c r="N123" s="2"/>
      <c r="O123" s="2"/>
      <c r="P123" s="2"/>
      <c r="Q123" s="2"/>
      <c r="R123" s="3"/>
      <c r="S123" s="3"/>
      <c r="T123" s="2"/>
      <c r="U123" s="2"/>
      <c r="V123" s="4"/>
      <c r="W123" s="4"/>
    </row>
    <row r="124" spans="1:23" s="5" customFormat="1" ht="15" customHeight="1" x14ac:dyDescent="0.25">
      <c r="B124" s="50" t="s">
        <v>669</v>
      </c>
      <c r="C124" s="101">
        <v>-450000</v>
      </c>
      <c r="D124" s="55">
        <f t="shared" si="7"/>
        <v>46877471</v>
      </c>
      <c r="E124" s="36" t="s">
        <v>530</v>
      </c>
      <c r="F124" s="67"/>
      <c r="G124" s="64"/>
      <c r="H124" s="64"/>
      <c r="I124" s="64"/>
      <c r="J124" s="64"/>
      <c r="K124" s="64">
        <f t="shared" si="11"/>
        <v>-450000</v>
      </c>
      <c r="L124" s="2">
        <f t="shared" si="8"/>
        <v>0</v>
      </c>
      <c r="M124" s="2"/>
      <c r="N124" s="2"/>
      <c r="O124" s="2"/>
      <c r="P124" s="2"/>
      <c r="Q124" s="2"/>
      <c r="R124" s="3"/>
      <c r="S124" s="3"/>
      <c r="T124" s="2"/>
      <c r="U124" s="2"/>
      <c r="V124" s="4"/>
      <c r="W124" s="4"/>
    </row>
    <row r="125" spans="1:23" s="5" customFormat="1" ht="15" customHeight="1" x14ac:dyDescent="0.25">
      <c r="A125" s="6"/>
      <c r="B125" s="50" t="s">
        <v>670</v>
      </c>
      <c r="C125" s="101"/>
      <c r="D125" s="55">
        <f t="shared" si="7"/>
        <v>46877471</v>
      </c>
      <c r="E125" s="36" t="s">
        <v>61</v>
      </c>
      <c r="F125" s="67"/>
      <c r="G125" s="64"/>
      <c r="H125" s="64"/>
      <c r="I125" s="64"/>
      <c r="J125" s="64"/>
      <c r="K125" s="64">
        <f t="shared" si="11"/>
        <v>0</v>
      </c>
      <c r="L125" s="2">
        <f t="shared" si="8"/>
        <v>0</v>
      </c>
      <c r="M125" s="2"/>
      <c r="N125" s="2"/>
      <c r="O125" s="2"/>
      <c r="P125" s="2"/>
      <c r="Q125" s="2"/>
      <c r="R125" s="3"/>
      <c r="S125" s="3"/>
      <c r="T125" s="2"/>
      <c r="U125" s="2"/>
      <c r="V125" s="4"/>
      <c r="W125" s="4"/>
    </row>
    <row r="126" spans="1:23" s="5" customFormat="1" ht="15" customHeight="1" x14ac:dyDescent="0.25">
      <c r="A126" s="99">
        <v>45358</v>
      </c>
      <c r="B126" s="316" t="s">
        <v>163</v>
      </c>
      <c r="C126" s="101">
        <v>-11000</v>
      </c>
      <c r="D126" s="55">
        <f t="shared" si="7"/>
        <v>46866471</v>
      </c>
      <c r="E126" s="36" t="s">
        <v>530</v>
      </c>
      <c r="F126" s="67"/>
      <c r="G126" s="64"/>
      <c r="H126" s="64"/>
      <c r="I126" s="64"/>
      <c r="J126" s="64"/>
      <c r="K126" s="64">
        <f t="shared" si="11"/>
        <v>-11000</v>
      </c>
      <c r="L126" s="2">
        <f t="shared" si="8"/>
        <v>0</v>
      </c>
      <c r="M126" s="2"/>
      <c r="N126" s="2"/>
      <c r="O126" s="2"/>
      <c r="P126" s="2"/>
      <c r="Q126" s="2"/>
      <c r="R126" s="3"/>
      <c r="S126" s="3"/>
      <c r="T126" s="2"/>
      <c r="U126" s="2"/>
      <c r="V126" s="4"/>
      <c r="W126" s="4"/>
    </row>
    <row r="127" spans="1:23" s="5" customFormat="1" ht="15" customHeight="1" x14ac:dyDescent="0.25">
      <c r="B127" s="316" t="s">
        <v>264</v>
      </c>
      <c r="C127" s="101">
        <v>-118000</v>
      </c>
      <c r="D127" s="55">
        <f t="shared" si="7"/>
        <v>46748471</v>
      </c>
      <c r="E127" s="36" t="s">
        <v>530</v>
      </c>
      <c r="F127" s="67"/>
      <c r="G127" s="64"/>
      <c r="H127" s="64"/>
      <c r="I127" s="64"/>
      <c r="J127" s="64"/>
      <c r="K127" s="64">
        <f t="shared" si="11"/>
        <v>-118000</v>
      </c>
      <c r="L127" s="2">
        <f t="shared" si="8"/>
        <v>0</v>
      </c>
      <c r="M127" s="2"/>
      <c r="N127" s="2"/>
      <c r="O127" s="2"/>
      <c r="P127" s="2"/>
      <c r="Q127" s="2"/>
      <c r="R127" s="3"/>
      <c r="S127" s="3"/>
      <c r="T127" s="2"/>
      <c r="U127" s="2"/>
      <c r="V127" s="4"/>
      <c r="W127" s="4"/>
    </row>
    <row r="128" spans="1:23" s="5" customFormat="1" ht="15" customHeight="1" x14ac:dyDescent="0.25">
      <c r="B128" s="316" t="s">
        <v>671</v>
      </c>
      <c r="C128" s="101">
        <v>1500000</v>
      </c>
      <c r="D128" s="55">
        <f t="shared" si="7"/>
        <v>48248471</v>
      </c>
      <c r="E128" s="36" t="s">
        <v>61</v>
      </c>
      <c r="F128" s="67"/>
      <c r="G128" s="64"/>
      <c r="H128" s="64"/>
      <c r="I128" s="64">
        <f>C128</f>
        <v>1500000</v>
      </c>
      <c r="J128" s="64"/>
      <c r="K128" s="64"/>
      <c r="L128" s="2">
        <f t="shared" si="8"/>
        <v>0</v>
      </c>
      <c r="M128" s="2"/>
      <c r="N128" s="2"/>
      <c r="O128" s="2"/>
      <c r="P128" s="2"/>
      <c r="Q128" s="2"/>
      <c r="R128" s="3"/>
      <c r="S128" s="3"/>
      <c r="T128" s="2"/>
      <c r="U128" s="2"/>
      <c r="V128" s="4"/>
      <c r="W128" s="4"/>
    </row>
    <row r="129" spans="1:23" s="5" customFormat="1" ht="15" customHeight="1" x14ac:dyDescent="0.25">
      <c r="A129" s="389"/>
      <c r="B129" s="316" t="s">
        <v>672</v>
      </c>
      <c r="C129" s="101">
        <v>-46000</v>
      </c>
      <c r="D129" s="55">
        <f t="shared" si="7"/>
        <v>48202471</v>
      </c>
      <c r="E129" s="36" t="s">
        <v>530</v>
      </c>
      <c r="F129" s="67"/>
      <c r="G129" s="64"/>
      <c r="H129" s="64"/>
      <c r="I129" s="64"/>
      <c r="J129" s="64"/>
      <c r="K129" s="64">
        <f t="shared" ref="K129:K138" si="12">C129</f>
        <v>-46000</v>
      </c>
      <c r="L129" s="2">
        <f t="shared" si="8"/>
        <v>0</v>
      </c>
      <c r="M129" s="2"/>
      <c r="N129" s="2"/>
      <c r="O129" s="2"/>
      <c r="P129" s="2"/>
      <c r="Q129" s="2"/>
      <c r="R129" s="3"/>
      <c r="S129" s="3"/>
      <c r="T129" s="2"/>
      <c r="U129" s="2"/>
      <c r="V129" s="4"/>
      <c r="W129" s="4"/>
    </row>
    <row r="130" spans="1:23" s="5" customFormat="1" ht="15" customHeight="1" x14ac:dyDescent="0.25">
      <c r="A130" s="389"/>
      <c r="B130" s="316" t="s">
        <v>185</v>
      </c>
      <c r="C130" s="101">
        <v>-535000</v>
      </c>
      <c r="D130" s="55">
        <f t="shared" ref="D130:D193" si="13">SUM(D129,C130)</f>
        <v>47667471</v>
      </c>
      <c r="E130" s="36" t="s">
        <v>530</v>
      </c>
      <c r="F130" s="67"/>
      <c r="G130" s="64"/>
      <c r="H130" s="64"/>
      <c r="I130" s="64"/>
      <c r="J130" s="64"/>
      <c r="K130" s="64">
        <f t="shared" si="12"/>
        <v>-535000</v>
      </c>
      <c r="L130" s="2">
        <f t="shared" si="8"/>
        <v>0</v>
      </c>
      <c r="M130" s="2"/>
      <c r="N130" s="2"/>
      <c r="O130" s="2"/>
      <c r="P130" s="2"/>
      <c r="Q130" s="2"/>
      <c r="R130" s="3"/>
      <c r="S130" s="3"/>
      <c r="T130" s="2"/>
      <c r="U130" s="2"/>
      <c r="V130" s="4"/>
      <c r="W130" s="4"/>
    </row>
    <row r="131" spans="1:23" s="5" customFormat="1" ht="15" customHeight="1" x14ac:dyDescent="0.25">
      <c r="A131" s="389"/>
      <c r="B131" s="316" t="s">
        <v>264</v>
      </c>
      <c r="C131" s="101">
        <v>-14000</v>
      </c>
      <c r="D131" s="55">
        <f t="shared" si="13"/>
        <v>47653471</v>
      </c>
      <c r="E131" s="36" t="s">
        <v>530</v>
      </c>
      <c r="F131" s="67"/>
      <c r="G131" s="64"/>
      <c r="H131" s="64"/>
      <c r="I131" s="64"/>
      <c r="J131" s="64"/>
      <c r="K131" s="64">
        <f t="shared" si="12"/>
        <v>-14000</v>
      </c>
      <c r="L131" s="2">
        <f t="shared" ref="L131:L194" si="14">C131-F131-G131-H131-I131-J131-K131</f>
        <v>0</v>
      </c>
      <c r="M131" s="2"/>
      <c r="N131" s="2"/>
      <c r="O131" s="2"/>
      <c r="P131" s="2"/>
      <c r="Q131" s="2"/>
      <c r="R131" s="3"/>
      <c r="S131" s="3"/>
      <c r="T131" s="2"/>
      <c r="U131" s="2"/>
      <c r="V131" s="4"/>
      <c r="W131" s="4"/>
    </row>
    <row r="132" spans="1:23" s="5" customFormat="1" ht="15" customHeight="1" x14ac:dyDescent="0.25">
      <c r="A132" s="389"/>
      <c r="B132" s="316" t="s">
        <v>673</v>
      </c>
      <c r="C132" s="101">
        <v>-100000</v>
      </c>
      <c r="D132" s="55">
        <f t="shared" si="13"/>
        <v>47553471</v>
      </c>
      <c r="E132" s="36" t="s">
        <v>530</v>
      </c>
      <c r="F132" s="67"/>
      <c r="G132" s="64"/>
      <c r="H132" s="64"/>
      <c r="I132" s="64"/>
      <c r="J132" s="64"/>
      <c r="K132" s="64">
        <f t="shared" si="12"/>
        <v>-100000</v>
      </c>
      <c r="L132" s="2">
        <f t="shared" si="14"/>
        <v>0</v>
      </c>
      <c r="M132" s="2"/>
      <c r="N132" s="2"/>
      <c r="O132" s="2"/>
      <c r="P132" s="2"/>
      <c r="Q132" s="2"/>
      <c r="R132" s="3"/>
      <c r="S132" s="3"/>
      <c r="T132" s="2"/>
      <c r="U132" s="2"/>
      <c r="V132" s="4"/>
      <c r="W132" s="4"/>
    </row>
    <row r="133" spans="1:23" s="5" customFormat="1" ht="15" customHeight="1" x14ac:dyDescent="0.25">
      <c r="A133" s="390"/>
      <c r="B133" s="316" t="s">
        <v>674</v>
      </c>
      <c r="C133" s="101">
        <v>-1238258</v>
      </c>
      <c r="D133" s="55">
        <f t="shared" si="13"/>
        <v>46315213</v>
      </c>
      <c r="E133" s="36" t="s">
        <v>530</v>
      </c>
      <c r="F133" s="67"/>
      <c r="G133" s="64"/>
      <c r="H133" s="64"/>
      <c r="I133" s="64"/>
      <c r="J133" s="64"/>
      <c r="K133" s="64">
        <f t="shared" si="12"/>
        <v>-1238258</v>
      </c>
      <c r="L133" s="2">
        <f t="shared" si="14"/>
        <v>0</v>
      </c>
      <c r="M133" s="2"/>
      <c r="N133" s="2"/>
      <c r="O133" s="2"/>
      <c r="P133" s="2"/>
      <c r="Q133" s="2"/>
      <c r="R133" s="3"/>
      <c r="S133" s="3"/>
      <c r="T133" s="2"/>
      <c r="U133" s="2"/>
      <c r="V133" s="4"/>
      <c r="W133" s="4"/>
    </row>
    <row r="134" spans="1:23" s="5" customFormat="1" ht="15" customHeight="1" x14ac:dyDescent="0.25">
      <c r="B134" s="316" t="s">
        <v>675</v>
      </c>
      <c r="C134" s="101"/>
      <c r="D134" s="55">
        <f t="shared" si="13"/>
        <v>46315213</v>
      </c>
      <c r="E134" s="36" t="s">
        <v>61</v>
      </c>
      <c r="F134" s="67"/>
      <c r="G134" s="64"/>
      <c r="H134" s="64"/>
      <c r="I134" s="64"/>
      <c r="J134" s="64"/>
      <c r="K134" s="64">
        <f t="shared" si="12"/>
        <v>0</v>
      </c>
      <c r="L134" s="2">
        <f t="shared" si="14"/>
        <v>0</v>
      </c>
      <c r="M134" s="2"/>
      <c r="N134" s="2"/>
      <c r="O134" s="2"/>
      <c r="P134" s="2"/>
      <c r="Q134" s="2"/>
      <c r="R134" s="3"/>
      <c r="S134" s="3"/>
      <c r="T134" s="2"/>
      <c r="U134" s="2"/>
      <c r="V134" s="4"/>
      <c r="W134" s="4"/>
    </row>
    <row r="135" spans="1:23" s="5" customFormat="1" ht="15" customHeight="1" x14ac:dyDescent="0.25">
      <c r="A135" s="389"/>
      <c r="B135" s="316" t="s">
        <v>654</v>
      </c>
      <c r="C135" s="101">
        <v>-483000</v>
      </c>
      <c r="D135" s="55">
        <f t="shared" si="13"/>
        <v>45832213</v>
      </c>
      <c r="E135" s="36" t="s">
        <v>530</v>
      </c>
      <c r="F135" s="67"/>
      <c r="G135" s="64"/>
      <c r="H135" s="64"/>
      <c r="I135" s="64"/>
      <c r="J135" s="64"/>
      <c r="K135" s="64">
        <f t="shared" si="12"/>
        <v>-483000</v>
      </c>
      <c r="L135" s="2">
        <f t="shared" si="14"/>
        <v>0</v>
      </c>
      <c r="M135" s="2"/>
      <c r="N135" s="2"/>
      <c r="O135" s="2"/>
      <c r="P135" s="2"/>
      <c r="Q135" s="2"/>
      <c r="R135" s="3"/>
      <c r="S135" s="3"/>
      <c r="T135" s="2"/>
      <c r="U135" s="2"/>
      <c r="V135" s="4"/>
      <c r="W135" s="4"/>
    </row>
    <row r="136" spans="1:23" s="5" customFormat="1" ht="15" customHeight="1" x14ac:dyDescent="0.25">
      <c r="A136" s="389"/>
      <c r="B136" s="316" t="s">
        <v>267</v>
      </c>
      <c r="C136" s="101">
        <v>-100000</v>
      </c>
      <c r="D136" s="55">
        <f t="shared" si="13"/>
        <v>45732213</v>
      </c>
      <c r="E136" s="36" t="s">
        <v>530</v>
      </c>
      <c r="F136" s="67"/>
      <c r="G136" s="64"/>
      <c r="H136" s="64"/>
      <c r="I136" s="64"/>
      <c r="J136" s="64"/>
      <c r="K136" s="64">
        <f t="shared" si="12"/>
        <v>-100000</v>
      </c>
      <c r="L136" s="2">
        <f t="shared" si="14"/>
        <v>0</v>
      </c>
      <c r="M136" s="2"/>
      <c r="N136" s="2"/>
      <c r="O136" s="2"/>
      <c r="P136" s="2"/>
      <c r="Q136" s="2"/>
      <c r="R136" s="3"/>
      <c r="S136" s="3"/>
      <c r="T136" s="2"/>
      <c r="U136" s="2"/>
      <c r="V136" s="4"/>
      <c r="W136" s="4"/>
    </row>
    <row r="137" spans="1:23" s="5" customFormat="1" ht="15" customHeight="1" x14ac:dyDescent="0.25">
      <c r="A137" s="389"/>
      <c r="B137" s="316" t="s">
        <v>566</v>
      </c>
      <c r="C137" s="101">
        <v>-12000</v>
      </c>
      <c r="D137" s="55">
        <f t="shared" si="13"/>
        <v>45720213</v>
      </c>
      <c r="E137" s="36" t="s">
        <v>530</v>
      </c>
      <c r="F137" s="67"/>
      <c r="G137" s="64"/>
      <c r="H137" s="64"/>
      <c r="I137" s="64"/>
      <c r="J137" s="64"/>
      <c r="K137" s="64">
        <f t="shared" si="12"/>
        <v>-12000</v>
      </c>
      <c r="L137" s="2">
        <f t="shared" si="14"/>
        <v>0</v>
      </c>
      <c r="M137" s="2"/>
      <c r="N137" s="2"/>
      <c r="O137" s="2"/>
      <c r="P137" s="2"/>
      <c r="Q137" s="2"/>
      <c r="R137" s="3"/>
      <c r="S137" s="3"/>
      <c r="T137" s="2"/>
      <c r="U137" s="2"/>
      <c r="V137" s="4"/>
      <c r="W137" s="4"/>
    </row>
    <row r="138" spans="1:23" s="5" customFormat="1" ht="15" customHeight="1" x14ac:dyDescent="0.25">
      <c r="A138" s="390"/>
      <c r="B138" s="316" t="s">
        <v>676</v>
      </c>
      <c r="C138" s="101">
        <v>-1960000</v>
      </c>
      <c r="D138" s="55">
        <f t="shared" si="13"/>
        <v>43760213</v>
      </c>
      <c r="E138" s="36" t="s">
        <v>530</v>
      </c>
      <c r="F138" s="67"/>
      <c r="G138" s="64"/>
      <c r="H138" s="64"/>
      <c r="I138" s="64"/>
      <c r="J138" s="64"/>
      <c r="K138" s="64">
        <f t="shared" si="12"/>
        <v>-1960000</v>
      </c>
      <c r="L138" s="2">
        <f t="shared" si="14"/>
        <v>0</v>
      </c>
      <c r="M138" s="2"/>
      <c r="N138" s="2"/>
      <c r="O138" s="2"/>
      <c r="P138" s="2"/>
      <c r="Q138" s="2"/>
      <c r="R138" s="3"/>
      <c r="S138" s="3"/>
      <c r="T138" s="2"/>
      <c r="U138" s="2"/>
      <c r="V138" s="4"/>
      <c r="W138" s="4"/>
    </row>
    <row r="139" spans="1:23" s="5" customFormat="1" ht="15" customHeight="1" x14ac:dyDescent="0.25">
      <c r="B139" s="316" t="s">
        <v>18</v>
      </c>
      <c r="C139" s="101">
        <v>20000</v>
      </c>
      <c r="D139" s="55">
        <f t="shared" si="13"/>
        <v>43780213</v>
      </c>
      <c r="E139" s="36" t="s">
        <v>1</v>
      </c>
      <c r="F139" s="67"/>
      <c r="G139" s="64"/>
      <c r="H139" s="64">
        <f>C139</f>
        <v>20000</v>
      </c>
      <c r="I139" s="64"/>
      <c r="J139" s="64"/>
      <c r="K139" s="64"/>
      <c r="L139" s="2">
        <f t="shared" si="14"/>
        <v>0</v>
      </c>
      <c r="M139" s="2"/>
      <c r="N139" s="2"/>
      <c r="O139" s="2"/>
      <c r="P139" s="2"/>
      <c r="Q139" s="2"/>
      <c r="R139" s="3"/>
      <c r="S139" s="3"/>
      <c r="T139" s="2"/>
      <c r="U139" s="2"/>
      <c r="V139" s="4"/>
      <c r="W139" s="4"/>
    </row>
    <row r="140" spans="1:23" s="5" customFormat="1" ht="15" customHeight="1" x14ac:dyDescent="0.25">
      <c r="A140" s="389"/>
      <c r="B140" s="316" t="s">
        <v>677</v>
      </c>
      <c r="C140" s="101">
        <v>-75000</v>
      </c>
      <c r="D140" s="55">
        <f t="shared" si="13"/>
        <v>43705213</v>
      </c>
      <c r="E140" s="36" t="s">
        <v>530</v>
      </c>
      <c r="F140" s="67"/>
      <c r="G140" s="64"/>
      <c r="H140" s="64"/>
      <c r="I140" s="64"/>
      <c r="J140" s="64"/>
      <c r="K140" s="64">
        <f>C140</f>
        <v>-75000</v>
      </c>
      <c r="L140" s="2">
        <f t="shared" si="14"/>
        <v>0</v>
      </c>
      <c r="M140" s="2"/>
      <c r="N140" s="2"/>
      <c r="O140" s="2"/>
      <c r="P140" s="2"/>
      <c r="Q140" s="2"/>
      <c r="R140" s="3"/>
      <c r="S140" s="3"/>
      <c r="T140" s="2"/>
      <c r="U140" s="2"/>
      <c r="V140" s="4"/>
      <c r="W140" s="4"/>
    </row>
    <row r="141" spans="1:23" s="5" customFormat="1" ht="15" customHeight="1" x14ac:dyDescent="0.25">
      <c r="A141" s="390"/>
      <c r="B141" s="316" t="s">
        <v>678</v>
      </c>
      <c r="C141" s="101">
        <v>4100000</v>
      </c>
      <c r="D141" s="55">
        <f t="shared" si="13"/>
        <v>47805213</v>
      </c>
      <c r="E141" s="36" t="s">
        <v>214</v>
      </c>
      <c r="F141" s="67">
        <f>C141</f>
        <v>4100000</v>
      </c>
      <c r="G141" s="64"/>
      <c r="H141" s="64"/>
      <c r="I141" s="64"/>
      <c r="J141" s="64"/>
      <c r="K141" s="64"/>
      <c r="L141" s="2">
        <f t="shared" si="14"/>
        <v>0</v>
      </c>
      <c r="M141" s="2"/>
      <c r="N141" s="2"/>
      <c r="O141" s="2"/>
      <c r="P141" s="2"/>
      <c r="Q141" s="2"/>
      <c r="R141" s="3"/>
      <c r="S141" s="3"/>
      <c r="T141" s="2"/>
      <c r="U141" s="2"/>
      <c r="V141" s="4"/>
      <c r="W141" s="4"/>
    </row>
    <row r="142" spans="1:23" s="5" customFormat="1" ht="15" customHeight="1" x14ac:dyDescent="0.25">
      <c r="A142" s="389"/>
      <c r="B142" s="316" t="s">
        <v>528</v>
      </c>
      <c r="C142" s="101">
        <v>-555000</v>
      </c>
      <c r="D142" s="55">
        <f t="shared" si="13"/>
        <v>47250213</v>
      </c>
      <c r="E142" s="36" t="s">
        <v>530</v>
      </c>
      <c r="F142" s="67"/>
      <c r="G142" s="64"/>
      <c r="H142" s="64"/>
      <c r="I142" s="64"/>
      <c r="J142" s="64"/>
      <c r="K142" s="64">
        <f>C142</f>
        <v>-555000</v>
      </c>
      <c r="L142" s="2">
        <f t="shared" si="14"/>
        <v>0</v>
      </c>
      <c r="M142" s="2"/>
      <c r="N142" s="2"/>
      <c r="O142" s="2"/>
      <c r="P142" s="2"/>
      <c r="Q142" s="2"/>
      <c r="R142" s="3"/>
      <c r="S142" s="3"/>
      <c r="T142" s="2"/>
      <c r="U142" s="2"/>
      <c r="V142" s="4"/>
      <c r="W142" s="4"/>
    </row>
    <row r="143" spans="1:23" s="5" customFormat="1" ht="15" customHeight="1" x14ac:dyDescent="0.25">
      <c r="B143" s="316" t="s">
        <v>264</v>
      </c>
      <c r="C143" s="101">
        <v>-798000</v>
      </c>
      <c r="D143" s="55">
        <f t="shared" si="13"/>
        <v>46452213</v>
      </c>
      <c r="E143" s="36" t="s">
        <v>530</v>
      </c>
      <c r="F143" s="67"/>
      <c r="G143" s="64"/>
      <c r="H143" s="64"/>
      <c r="I143" s="64"/>
      <c r="J143" s="64"/>
      <c r="K143" s="64">
        <f>C143</f>
        <v>-798000</v>
      </c>
      <c r="L143" s="2">
        <f t="shared" si="14"/>
        <v>0</v>
      </c>
      <c r="M143" s="2"/>
      <c r="N143" s="2"/>
      <c r="O143" s="2"/>
      <c r="P143" s="2"/>
      <c r="Q143" s="2"/>
      <c r="R143" s="3"/>
      <c r="S143" s="3"/>
      <c r="T143" s="2"/>
      <c r="U143" s="2"/>
      <c r="V143" s="4"/>
      <c r="W143" s="4"/>
    </row>
    <row r="144" spans="1:23" s="5" customFormat="1" ht="15" customHeight="1" x14ac:dyDescent="0.25">
      <c r="A144" s="389"/>
      <c r="B144" s="316" t="s">
        <v>679</v>
      </c>
      <c r="C144" s="101">
        <v>200000</v>
      </c>
      <c r="D144" s="55">
        <f t="shared" si="13"/>
        <v>46652213</v>
      </c>
      <c r="E144" s="36" t="s">
        <v>59</v>
      </c>
      <c r="F144" s="67"/>
      <c r="G144" s="64">
        <f>C144</f>
        <v>200000</v>
      </c>
      <c r="H144" s="64"/>
      <c r="I144" s="64"/>
      <c r="J144" s="64"/>
      <c r="K144" s="64"/>
      <c r="L144" s="2">
        <f t="shared" si="14"/>
        <v>0</v>
      </c>
      <c r="M144" s="2"/>
      <c r="N144" s="2"/>
      <c r="O144" s="2"/>
      <c r="P144" s="2"/>
      <c r="Q144" s="2"/>
      <c r="R144" s="3"/>
      <c r="S144" s="3"/>
      <c r="T144" s="2"/>
      <c r="U144" s="2"/>
      <c r="V144" s="4"/>
      <c r="W144" s="4"/>
    </row>
    <row r="145" spans="1:23" s="5" customFormat="1" ht="15" customHeight="1" x14ac:dyDescent="0.25">
      <c r="A145" s="99">
        <v>45359</v>
      </c>
      <c r="B145" s="50" t="s">
        <v>163</v>
      </c>
      <c r="C145" s="101">
        <v>-11000</v>
      </c>
      <c r="D145" s="55">
        <f t="shared" si="13"/>
        <v>46641213</v>
      </c>
      <c r="E145" s="36" t="s">
        <v>530</v>
      </c>
      <c r="F145" s="67"/>
      <c r="G145" s="64"/>
      <c r="H145" s="64"/>
      <c r="I145" s="64"/>
      <c r="J145" s="64"/>
      <c r="K145" s="64">
        <f>C145</f>
        <v>-11000</v>
      </c>
      <c r="L145" s="2">
        <f t="shared" si="14"/>
        <v>0</v>
      </c>
      <c r="M145" s="2"/>
      <c r="N145" s="2"/>
      <c r="O145" s="2"/>
      <c r="P145" s="2"/>
      <c r="Q145" s="2"/>
      <c r="R145" s="3"/>
      <c r="S145" s="3"/>
      <c r="T145" s="2"/>
      <c r="U145" s="2"/>
      <c r="V145" s="4"/>
      <c r="W145" s="4"/>
    </row>
    <row r="146" spans="1:23" s="5" customFormat="1" ht="15" customHeight="1" x14ac:dyDescent="0.25">
      <c r="B146" s="50" t="s">
        <v>271</v>
      </c>
      <c r="C146" s="101">
        <v>-1045000</v>
      </c>
      <c r="D146" s="55">
        <f t="shared" si="13"/>
        <v>45596213</v>
      </c>
      <c r="E146" s="36" t="s">
        <v>530</v>
      </c>
      <c r="F146" s="101"/>
      <c r="G146" s="64"/>
      <c r="H146" s="64"/>
      <c r="I146" s="64"/>
      <c r="J146" s="64"/>
      <c r="K146" s="64">
        <f>C146</f>
        <v>-1045000</v>
      </c>
      <c r="L146" s="2">
        <f t="shared" si="14"/>
        <v>0</v>
      </c>
      <c r="M146" s="2"/>
      <c r="N146" s="2"/>
      <c r="O146" s="2"/>
      <c r="P146" s="2"/>
      <c r="Q146" s="2"/>
      <c r="R146" s="3"/>
      <c r="S146" s="3"/>
      <c r="T146" s="2"/>
      <c r="U146" s="2"/>
      <c r="V146" s="4"/>
      <c r="W146" s="4"/>
    </row>
    <row r="147" spans="1:23" s="5" customFormat="1" ht="15" customHeight="1" x14ac:dyDescent="0.25">
      <c r="B147" s="50" t="s">
        <v>680</v>
      </c>
      <c r="C147" s="101">
        <v>-693000</v>
      </c>
      <c r="D147" s="55">
        <f t="shared" si="13"/>
        <v>44903213</v>
      </c>
      <c r="E147" s="36" t="s">
        <v>530</v>
      </c>
      <c r="F147" s="67"/>
      <c r="G147" s="64"/>
      <c r="H147" s="64"/>
      <c r="I147" s="64"/>
      <c r="J147" s="64"/>
      <c r="K147" s="64">
        <f>C147</f>
        <v>-693000</v>
      </c>
      <c r="L147" s="2">
        <f t="shared" si="14"/>
        <v>0</v>
      </c>
      <c r="M147" s="2"/>
      <c r="N147" s="2"/>
      <c r="O147" s="2"/>
      <c r="P147" s="2"/>
      <c r="Q147" s="2"/>
      <c r="R147" s="3"/>
      <c r="S147" s="3"/>
      <c r="T147" s="2"/>
      <c r="U147" s="2"/>
      <c r="V147" s="4"/>
      <c r="W147" s="4"/>
    </row>
    <row r="148" spans="1:23" s="5" customFormat="1" ht="15" customHeight="1" x14ac:dyDescent="0.25">
      <c r="A148" s="6"/>
      <c r="B148" s="50" t="s">
        <v>681</v>
      </c>
      <c r="C148" s="101">
        <v>1200000</v>
      </c>
      <c r="D148" s="55">
        <f t="shared" si="13"/>
        <v>46103213</v>
      </c>
      <c r="E148" s="36" t="s">
        <v>61</v>
      </c>
      <c r="F148" s="67"/>
      <c r="G148" s="64"/>
      <c r="H148" s="64"/>
      <c r="I148" s="64">
        <f>C148</f>
        <v>1200000</v>
      </c>
      <c r="J148" s="64"/>
      <c r="K148" s="64"/>
      <c r="L148" s="2">
        <f t="shared" si="14"/>
        <v>0</v>
      </c>
      <c r="M148" s="2"/>
      <c r="N148" s="2"/>
      <c r="O148" s="2"/>
      <c r="P148" s="2"/>
      <c r="Q148" s="2"/>
      <c r="R148" s="3"/>
      <c r="S148" s="3"/>
      <c r="T148" s="2"/>
      <c r="U148" s="2"/>
      <c r="V148" s="4"/>
      <c r="W148" s="4"/>
    </row>
    <row r="149" spans="1:23" s="5" customFormat="1" ht="15" customHeight="1" x14ac:dyDescent="0.25">
      <c r="A149" s="389"/>
      <c r="B149" s="50" t="s">
        <v>682</v>
      </c>
      <c r="C149" s="101">
        <v>120000</v>
      </c>
      <c r="D149" s="55">
        <f t="shared" si="13"/>
        <v>46223213</v>
      </c>
      <c r="E149" s="36" t="s">
        <v>1</v>
      </c>
      <c r="F149" s="67"/>
      <c r="G149" s="64"/>
      <c r="H149" s="64">
        <f>C149</f>
        <v>120000</v>
      </c>
      <c r="I149" s="64"/>
      <c r="J149" s="64"/>
      <c r="K149" s="64"/>
      <c r="L149" s="2">
        <f t="shared" si="14"/>
        <v>0</v>
      </c>
      <c r="M149" s="2"/>
      <c r="N149" s="2"/>
      <c r="O149" s="2"/>
      <c r="P149" s="2"/>
      <c r="Q149" s="2"/>
      <c r="R149" s="3"/>
      <c r="S149" s="3"/>
      <c r="T149" s="2"/>
      <c r="U149" s="2"/>
      <c r="V149" s="4"/>
      <c r="W149" s="4"/>
    </row>
    <row r="150" spans="1:23" s="5" customFormat="1" ht="15" customHeight="1" x14ac:dyDescent="0.25">
      <c r="A150" s="390"/>
      <c r="B150" s="50" t="s">
        <v>683</v>
      </c>
      <c r="C150" s="101">
        <v>90000</v>
      </c>
      <c r="D150" s="55">
        <f t="shared" si="13"/>
        <v>46313213</v>
      </c>
      <c r="E150" s="36" t="s">
        <v>1</v>
      </c>
      <c r="F150" s="67"/>
      <c r="G150" s="64"/>
      <c r="H150" s="64">
        <f>C150</f>
        <v>90000</v>
      </c>
      <c r="I150" s="64"/>
      <c r="J150" s="64"/>
      <c r="K150" s="64"/>
      <c r="L150" s="2">
        <f t="shared" si="14"/>
        <v>0</v>
      </c>
      <c r="M150" s="2"/>
      <c r="N150" s="2"/>
      <c r="O150" s="2"/>
      <c r="P150" s="2"/>
      <c r="Q150" s="2"/>
      <c r="R150" s="3"/>
      <c r="S150" s="3"/>
      <c r="T150" s="2"/>
      <c r="U150" s="2"/>
      <c r="V150" s="4"/>
      <c r="W150" s="4"/>
    </row>
    <row r="151" spans="1:23" s="5" customFormat="1" ht="15" customHeight="1" x14ac:dyDescent="0.25">
      <c r="B151" s="50" t="s">
        <v>185</v>
      </c>
      <c r="C151" s="101">
        <v>-593000</v>
      </c>
      <c r="D151" s="55">
        <f t="shared" si="13"/>
        <v>45720213</v>
      </c>
      <c r="E151" s="36" t="s">
        <v>530</v>
      </c>
      <c r="F151" s="67"/>
      <c r="G151" s="64"/>
      <c r="H151" s="64"/>
      <c r="I151" s="64"/>
      <c r="J151" s="64"/>
      <c r="K151" s="64">
        <f>C151</f>
        <v>-593000</v>
      </c>
      <c r="L151" s="2">
        <f t="shared" si="14"/>
        <v>0</v>
      </c>
      <c r="M151" s="2"/>
      <c r="N151" s="2"/>
      <c r="O151" s="2"/>
      <c r="P151" s="2"/>
      <c r="Q151" s="2"/>
      <c r="R151" s="3"/>
      <c r="S151" s="3"/>
      <c r="T151" s="2"/>
      <c r="U151" s="2"/>
      <c r="V151" s="4"/>
      <c r="W151" s="4"/>
    </row>
    <row r="152" spans="1:23" s="5" customFormat="1" ht="15" customHeight="1" x14ac:dyDescent="0.25">
      <c r="A152" s="390"/>
      <c r="B152" s="50" t="s">
        <v>684</v>
      </c>
      <c r="C152" s="101">
        <v>-209000</v>
      </c>
      <c r="D152" s="55">
        <f t="shared" si="13"/>
        <v>45511213</v>
      </c>
      <c r="E152" s="36" t="s">
        <v>530</v>
      </c>
      <c r="F152" s="67"/>
      <c r="G152" s="64"/>
      <c r="H152" s="64"/>
      <c r="I152" s="64"/>
      <c r="J152" s="64"/>
      <c r="K152" s="64">
        <f>C152</f>
        <v>-209000</v>
      </c>
      <c r="L152" s="2">
        <f t="shared" si="14"/>
        <v>0</v>
      </c>
      <c r="M152" s="2"/>
      <c r="N152" s="2"/>
      <c r="O152" s="2"/>
      <c r="P152" s="2"/>
      <c r="Q152" s="2"/>
      <c r="R152" s="3"/>
      <c r="S152" s="3"/>
      <c r="T152" s="2"/>
      <c r="U152" s="2"/>
      <c r="V152" s="4"/>
      <c r="W152" s="4"/>
    </row>
    <row r="153" spans="1:23" s="5" customFormat="1" ht="15" customHeight="1" x14ac:dyDescent="0.25">
      <c r="B153" s="50" t="s">
        <v>685</v>
      </c>
      <c r="C153" s="101">
        <v>-75000</v>
      </c>
      <c r="D153" s="55">
        <f t="shared" si="13"/>
        <v>45436213</v>
      </c>
      <c r="E153" s="36" t="s">
        <v>530</v>
      </c>
      <c r="F153" s="67"/>
      <c r="G153" s="64"/>
      <c r="H153" s="64"/>
      <c r="I153" s="64"/>
      <c r="J153" s="64"/>
      <c r="K153" s="64">
        <f>C153</f>
        <v>-75000</v>
      </c>
      <c r="L153" s="2">
        <f t="shared" si="14"/>
        <v>0</v>
      </c>
      <c r="M153" s="2"/>
      <c r="N153" s="2"/>
      <c r="O153" s="2"/>
      <c r="P153" s="2"/>
      <c r="Q153" s="2"/>
      <c r="R153" s="3"/>
      <c r="S153" s="3"/>
      <c r="T153" s="2"/>
      <c r="U153" s="2"/>
      <c r="V153" s="4"/>
      <c r="W153" s="4"/>
    </row>
    <row r="154" spans="1:23" s="5" customFormat="1" ht="15" customHeight="1" x14ac:dyDescent="0.25">
      <c r="A154" s="389"/>
      <c r="B154" s="50" t="s">
        <v>567</v>
      </c>
      <c r="C154" s="101">
        <v>-375000</v>
      </c>
      <c r="D154" s="55">
        <f t="shared" si="13"/>
        <v>45061213</v>
      </c>
      <c r="E154" s="36" t="s">
        <v>530</v>
      </c>
      <c r="F154" s="67"/>
      <c r="G154" s="64"/>
      <c r="H154" s="64"/>
      <c r="I154" s="64"/>
      <c r="J154" s="64"/>
      <c r="K154" s="64">
        <f>C154</f>
        <v>-375000</v>
      </c>
      <c r="L154" s="2">
        <f t="shared" si="14"/>
        <v>0</v>
      </c>
      <c r="M154" s="2"/>
      <c r="N154" s="2"/>
      <c r="O154" s="2"/>
      <c r="P154" s="2"/>
      <c r="Q154" s="2"/>
      <c r="R154" s="3"/>
      <c r="S154" s="3"/>
      <c r="T154" s="2"/>
      <c r="U154" s="2"/>
      <c r="V154" s="4"/>
      <c r="W154" s="4"/>
    </row>
    <row r="155" spans="1:23" s="5" customFormat="1" ht="15" customHeight="1" x14ac:dyDescent="0.25">
      <c r="A155" s="389"/>
      <c r="B155" s="50" t="s">
        <v>18</v>
      </c>
      <c r="C155" s="101">
        <v>160000</v>
      </c>
      <c r="D155" s="55">
        <f t="shared" si="13"/>
        <v>45221213</v>
      </c>
      <c r="E155" s="36" t="s">
        <v>1</v>
      </c>
      <c r="F155" s="67"/>
      <c r="G155" s="64"/>
      <c r="H155" s="64">
        <f>C155</f>
        <v>160000</v>
      </c>
      <c r="I155" s="64"/>
      <c r="J155" s="64"/>
      <c r="K155" s="64"/>
      <c r="L155" s="2">
        <f t="shared" si="14"/>
        <v>0</v>
      </c>
      <c r="M155" s="2"/>
      <c r="N155" s="2"/>
      <c r="O155" s="2"/>
      <c r="P155" s="2"/>
      <c r="Q155" s="2"/>
      <c r="R155" s="3"/>
      <c r="S155" s="3"/>
      <c r="T155" s="2"/>
      <c r="U155" s="2"/>
      <c r="V155" s="4"/>
      <c r="W155" s="4"/>
    </row>
    <row r="156" spans="1:23" s="5" customFormat="1" ht="15" customHeight="1" x14ac:dyDescent="0.25">
      <c r="A156" s="389"/>
      <c r="B156" s="50" t="s">
        <v>262</v>
      </c>
      <c r="C156" s="101">
        <v>-447000</v>
      </c>
      <c r="D156" s="55">
        <f t="shared" si="13"/>
        <v>44774213</v>
      </c>
      <c r="E156" s="36" t="s">
        <v>530</v>
      </c>
      <c r="F156" s="67"/>
      <c r="G156" s="64"/>
      <c r="H156" s="64"/>
      <c r="I156" s="64"/>
      <c r="J156" s="64"/>
      <c r="K156" s="64">
        <f>C156</f>
        <v>-447000</v>
      </c>
      <c r="L156" s="2">
        <f t="shared" si="14"/>
        <v>0</v>
      </c>
      <c r="M156" s="2"/>
      <c r="N156" s="2"/>
      <c r="O156" s="2"/>
      <c r="P156" s="2"/>
      <c r="Q156" s="2"/>
      <c r="R156" s="3"/>
      <c r="S156" s="3"/>
      <c r="T156" s="2"/>
      <c r="U156" s="2"/>
      <c r="V156" s="4"/>
      <c r="W156" s="4"/>
    </row>
    <row r="157" spans="1:23" s="5" customFormat="1" ht="15" customHeight="1" x14ac:dyDescent="0.25">
      <c r="A157" s="389"/>
      <c r="B157" s="50" t="s">
        <v>686</v>
      </c>
      <c r="C157" s="101">
        <v>-55000</v>
      </c>
      <c r="D157" s="55">
        <f t="shared" si="13"/>
        <v>44719213</v>
      </c>
      <c r="E157" s="36" t="s">
        <v>530</v>
      </c>
      <c r="F157" s="67"/>
      <c r="G157" s="64"/>
      <c r="H157" s="64"/>
      <c r="I157" s="64"/>
      <c r="J157" s="64"/>
      <c r="K157" s="64">
        <f>C157</f>
        <v>-55000</v>
      </c>
      <c r="L157" s="2">
        <f t="shared" si="14"/>
        <v>0</v>
      </c>
      <c r="M157" s="2"/>
      <c r="N157" s="2"/>
      <c r="O157" s="2"/>
      <c r="P157" s="2"/>
      <c r="Q157" s="2"/>
      <c r="R157" s="3"/>
      <c r="S157" s="3"/>
      <c r="T157" s="2"/>
      <c r="U157" s="2"/>
      <c r="V157" s="4"/>
      <c r="W157" s="4"/>
    </row>
    <row r="158" spans="1:23" s="5" customFormat="1" ht="15" customHeight="1" x14ac:dyDescent="0.25">
      <c r="A158" s="390"/>
      <c r="B158" s="50" t="s">
        <v>687</v>
      </c>
      <c r="C158" s="101">
        <v>21775000</v>
      </c>
      <c r="D158" s="55">
        <f t="shared" si="13"/>
        <v>66494213</v>
      </c>
      <c r="E158" s="36" t="s">
        <v>214</v>
      </c>
      <c r="F158" s="67">
        <f>C158</f>
        <v>21775000</v>
      </c>
      <c r="G158" s="64"/>
      <c r="H158" s="64"/>
      <c r="I158" s="64"/>
      <c r="J158" s="64"/>
      <c r="K158" s="64"/>
      <c r="L158" s="2">
        <f t="shared" si="14"/>
        <v>0</v>
      </c>
      <c r="M158" s="2"/>
      <c r="N158" s="2"/>
      <c r="O158" s="2"/>
      <c r="P158" s="2"/>
      <c r="Q158" s="2"/>
      <c r="R158" s="3"/>
      <c r="S158" s="3"/>
      <c r="T158" s="2"/>
      <c r="U158" s="2"/>
      <c r="V158" s="4"/>
      <c r="W158" s="4"/>
    </row>
    <row r="159" spans="1:23" s="5" customFormat="1" ht="15" customHeight="1" x14ac:dyDescent="0.25">
      <c r="B159" s="50" t="s">
        <v>688</v>
      </c>
      <c r="C159" s="101">
        <v>-30000</v>
      </c>
      <c r="D159" s="55">
        <f t="shared" si="13"/>
        <v>66464213</v>
      </c>
      <c r="E159" s="36" t="s">
        <v>530</v>
      </c>
      <c r="F159" s="67"/>
      <c r="G159" s="64"/>
      <c r="H159" s="64"/>
      <c r="I159" s="64"/>
      <c r="J159" s="64"/>
      <c r="K159" s="64">
        <f t="shared" ref="K159:K175" si="15">C159</f>
        <v>-30000</v>
      </c>
      <c r="L159" s="2">
        <f t="shared" si="14"/>
        <v>0</v>
      </c>
      <c r="M159" s="2"/>
      <c r="N159" s="2"/>
      <c r="O159" s="2"/>
      <c r="P159" s="2"/>
      <c r="Q159" s="2"/>
      <c r="R159" s="3"/>
      <c r="S159" s="3"/>
      <c r="T159" s="2"/>
      <c r="U159" s="2"/>
      <c r="V159" s="4"/>
      <c r="W159" s="4"/>
    </row>
    <row r="160" spans="1:23" s="5" customFormat="1" ht="15" customHeight="1" x14ac:dyDescent="0.25">
      <c r="A160" s="99">
        <v>45360</v>
      </c>
      <c r="B160" s="50" t="s">
        <v>163</v>
      </c>
      <c r="C160" s="101">
        <v>-11000</v>
      </c>
      <c r="D160" s="55">
        <f t="shared" si="13"/>
        <v>66453213</v>
      </c>
      <c r="E160" s="36" t="s">
        <v>530</v>
      </c>
      <c r="F160" s="67"/>
      <c r="G160" s="64"/>
      <c r="H160" s="64"/>
      <c r="I160" s="64"/>
      <c r="J160" s="64"/>
      <c r="K160" s="64">
        <f t="shared" si="15"/>
        <v>-11000</v>
      </c>
      <c r="L160" s="2">
        <f t="shared" si="14"/>
        <v>0</v>
      </c>
      <c r="M160" s="2"/>
      <c r="N160" s="2"/>
      <c r="O160" s="2"/>
      <c r="P160" s="2"/>
      <c r="Q160" s="2"/>
      <c r="R160" s="3"/>
      <c r="S160" s="3"/>
      <c r="T160" s="2"/>
      <c r="U160" s="2"/>
      <c r="V160" s="4"/>
      <c r="W160" s="4"/>
    </row>
    <row r="161" spans="1:23" s="5" customFormat="1" ht="15" customHeight="1" x14ac:dyDescent="0.25">
      <c r="B161" s="50" t="s">
        <v>689</v>
      </c>
      <c r="C161" s="101">
        <v>-299600</v>
      </c>
      <c r="D161" s="55">
        <f t="shared" si="13"/>
        <v>66153613</v>
      </c>
      <c r="E161" s="36" t="s">
        <v>530</v>
      </c>
      <c r="F161" s="67"/>
      <c r="G161" s="64"/>
      <c r="H161" s="64"/>
      <c r="I161" s="64"/>
      <c r="J161" s="64"/>
      <c r="K161" s="64">
        <f t="shared" si="15"/>
        <v>-299600</v>
      </c>
      <c r="L161" s="2">
        <f t="shared" si="14"/>
        <v>0</v>
      </c>
      <c r="M161" s="2"/>
      <c r="N161" s="2"/>
      <c r="O161" s="2"/>
      <c r="P161" s="2"/>
      <c r="Q161" s="2"/>
      <c r="R161" s="3"/>
      <c r="S161" s="3"/>
      <c r="T161" s="2"/>
      <c r="U161" s="2"/>
      <c r="V161" s="4"/>
      <c r="W161" s="4"/>
    </row>
    <row r="162" spans="1:23" s="5" customFormat="1" ht="15" customHeight="1" x14ac:dyDescent="0.25">
      <c r="A162" s="390"/>
      <c r="B162" s="50" t="s">
        <v>264</v>
      </c>
      <c r="C162" s="101">
        <v>-242500</v>
      </c>
      <c r="D162" s="55">
        <f t="shared" si="13"/>
        <v>65911113</v>
      </c>
      <c r="E162" s="36" t="s">
        <v>530</v>
      </c>
      <c r="F162" s="67"/>
      <c r="G162" s="64"/>
      <c r="H162" s="64"/>
      <c r="I162" s="64"/>
      <c r="J162" s="64"/>
      <c r="K162" s="64">
        <f t="shared" si="15"/>
        <v>-242500</v>
      </c>
      <c r="L162" s="2">
        <f t="shared" si="14"/>
        <v>0</v>
      </c>
      <c r="M162" s="2"/>
      <c r="N162" s="2"/>
      <c r="O162" s="2"/>
      <c r="P162" s="2"/>
      <c r="Q162" s="2"/>
      <c r="R162" s="3"/>
      <c r="S162" s="3"/>
      <c r="T162" s="2"/>
      <c r="U162" s="2"/>
      <c r="V162" s="4"/>
      <c r="W162" s="4"/>
    </row>
    <row r="163" spans="1:23" s="5" customFormat="1" ht="15" customHeight="1" x14ac:dyDescent="0.25">
      <c r="A163" s="6"/>
      <c r="B163" s="50" t="s">
        <v>690</v>
      </c>
      <c r="C163" s="101">
        <v>-9000</v>
      </c>
      <c r="D163" s="55">
        <f t="shared" si="13"/>
        <v>65902113</v>
      </c>
      <c r="E163" s="36" t="s">
        <v>530</v>
      </c>
      <c r="F163" s="67"/>
      <c r="G163" s="64"/>
      <c r="H163" s="64"/>
      <c r="I163" s="64"/>
      <c r="J163" s="64"/>
      <c r="K163" s="64">
        <f t="shared" si="15"/>
        <v>-9000</v>
      </c>
      <c r="L163" s="2">
        <f t="shared" si="14"/>
        <v>0</v>
      </c>
      <c r="M163" s="2"/>
      <c r="N163" s="2"/>
      <c r="O163" s="2"/>
      <c r="P163" s="2"/>
      <c r="Q163" s="2"/>
      <c r="R163" s="3"/>
      <c r="S163" s="3"/>
      <c r="T163" s="2"/>
      <c r="U163" s="2"/>
      <c r="V163" s="4"/>
      <c r="W163" s="4"/>
    </row>
    <row r="164" spans="1:23" s="5" customFormat="1" ht="15" customHeight="1" x14ac:dyDescent="0.25">
      <c r="A164" s="390"/>
      <c r="B164" s="50" t="s">
        <v>691</v>
      </c>
      <c r="C164" s="101">
        <v>-539500</v>
      </c>
      <c r="D164" s="55">
        <f t="shared" si="13"/>
        <v>65362613</v>
      </c>
      <c r="E164" s="36" t="s">
        <v>530</v>
      </c>
      <c r="F164" s="67"/>
      <c r="G164" s="64"/>
      <c r="H164" s="64"/>
      <c r="I164" s="64"/>
      <c r="J164" s="64"/>
      <c r="K164" s="64">
        <f t="shared" si="15"/>
        <v>-539500</v>
      </c>
      <c r="L164" s="2">
        <f t="shared" si="14"/>
        <v>0</v>
      </c>
      <c r="M164" s="2"/>
      <c r="N164" s="2"/>
      <c r="O164" s="2"/>
      <c r="P164" s="2"/>
      <c r="Q164" s="2"/>
      <c r="R164" s="3"/>
      <c r="S164" s="3"/>
      <c r="T164" s="2"/>
      <c r="U164" s="2"/>
      <c r="V164" s="4"/>
      <c r="W164" s="4"/>
    </row>
    <row r="165" spans="1:23" s="5" customFormat="1" ht="15" customHeight="1" x14ac:dyDescent="0.25">
      <c r="B165" s="50" t="s">
        <v>692</v>
      </c>
      <c r="C165" s="101">
        <v>-180000</v>
      </c>
      <c r="D165" s="55">
        <f t="shared" si="13"/>
        <v>65182613</v>
      </c>
      <c r="E165" s="36" t="s">
        <v>530</v>
      </c>
      <c r="F165" s="67"/>
      <c r="G165" s="64"/>
      <c r="H165" s="64"/>
      <c r="I165" s="64"/>
      <c r="J165" s="64"/>
      <c r="K165" s="64">
        <f t="shared" si="15"/>
        <v>-180000</v>
      </c>
      <c r="L165" s="2">
        <f t="shared" si="14"/>
        <v>0</v>
      </c>
      <c r="M165" s="2"/>
      <c r="N165" s="2"/>
      <c r="O165" s="2"/>
      <c r="P165" s="2"/>
      <c r="Q165" s="2"/>
      <c r="R165" s="3"/>
      <c r="S165" s="3"/>
      <c r="T165" s="2"/>
      <c r="U165" s="2"/>
      <c r="V165" s="4"/>
      <c r="W165" s="4"/>
    </row>
    <row r="166" spans="1:23" s="5" customFormat="1" ht="15" customHeight="1" x14ac:dyDescent="0.25">
      <c r="A166" s="390"/>
      <c r="B166" s="50" t="s">
        <v>693</v>
      </c>
      <c r="C166" s="101">
        <v>-8000</v>
      </c>
      <c r="D166" s="55">
        <f t="shared" si="13"/>
        <v>65174613</v>
      </c>
      <c r="E166" s="36" t="s">
        <v>530</v>
      </c>
      <c r="F166" s="67"/>
      <c r="G166" s="64"/>
      <c r="H166" s="64"/>
      <c r="I166" s="64"/>
      <c r="J166" s="64"/>
      <c r="K166" s="64">
        <f t="shared" si="15"/>
        <v>-8000</v>
      </c>
      <c r="L166" s="2">
        <f t="shared" si="14"/>
        <v>0</v>
      </c>
      <c r="M166" s="2"/>
      <c r="N166" s="2"/>
      <c r="O166" s="2"/>
      <c r="P166" s="2"/>
      <c r="Q166" s="2"/>
      <c r="R166" s="3"/>
      <c r="S166" s="3"/>
      <c r="T166" s="2"/>
      <c r="U166" s="2"/>
      <c r="V166" s="4"/>
      <c r="W166" s="4"/>
    </row>
    <row r="167" spans="1:23" s="5" customFormat="1" ht="15" customHeight="1" x14ac:dyDescent="0.25">
      <c r="A167" s="390"/>
      <c r="B167" s="50" t="s">
        <v>694</v>
      </c>
      <c r="C167" s="101">
        <v>-3000</v>
      </c>
      <c r="D167" s="55">
        <f t="shared" si="13"/>
        <v>65171613</v>
      </c>
      <c r="E167" s="36" t="s">
        <v>530</v>
      </c>
      <c r="F167" s="67"/>
      <c r="G167" s="64"/>
      <c r="H167" s="64"/>
      <c r="I167" s="64"/>
      <c r="J167" s="64"/>
      <c r="K167" s="64">
        <f t="shared" si="15"/>
        <v>-3000</v>
      </c>
      <c r="L167" s="2">
        <f t="shared" si="14"/>
        <v>0</v>
      </c>
      <c r="M167" s="2"/>
      <c r="N167" s="2"/>
      <c r="O167" s="2"/>
      <c r="P167" s="2"/>
      <c r="Q167" s="2"/>
      <c r="R167" s="3"/>
      <c r="S167" s="3"/>
      <c r="T167" s="2"/>
      <c r="U167" s="2"/>
      <c r="V167" s="4"/>
      <c r="W167" s="4"/>
    </row>
    <row r="168" spans="1:23" s="5" customFormat="1" ht="15" customHeight="1" x14ac:dyDescent="0.25">
      <c r="A168" s="390"/>
      <c r="B168" s="50" t="s">
        <v>695</v>
      </c>
      <c r="C168" s="101">
        <v>-1080000</v>
      </c>
      <c r="D168" s="55">
        <f t="shared" si="13"/>
        <v>64091613</v>
      </c>
      <c r="E168" s="36" t="s">
        <v>530</v>
      </c>
      <c r="F168" s="67"/>
      <c r="G168" s="64"/>
      <c r="H168" s="64"/>
      <c r="I168" s="64"/>
      <c r="J168" s="64"/>
      <c r="K168" s="64">
        <f t="shared" si="15"/>
        <v>-1080000</v>
      </c>
      <c r="L168" s="2">
        <f t="shared" si="14"/>
        <v>0</v>
      </c>
      <c r="M168" s="2"/>
      <c r="N168" s="2"/>
      <c r="O168" s="2"/>
      <c r="P168" s="2"/>
      <c r="Q168" s="2"/>
      <c r="R168" s="3"/>
      <c r="S168" s="3"/>
      <c r="T168" s="2"/>
      <c r="U168" s="2"/>
      <c r="V168" s="4"/>
      <c r="W168" s="4"/>
    </row>
    <row r="169" spans="1:23" s="5" customFormat="1" ht="15" customHeight="1" x14ac:dyDescent="0.25">
      <c r="B169" s="50" t="s">
        <v>696</v>
      </c>
      <c r="C169" s="101">
        <v>-15000</v>
      </c>
      <c r="D169" s="55">
        <f t="shared" si="13"/>
        <v>64076613</v>
      </c>
      <c r="E169" s="36" t="s">
        <v>530</v>
      </c>
      <c r="F169" s="67"/>
      <c r="G169" s="64"/>
      <c r="H169" s="64"/>
      <c r="I169" s="64"/>
      <c r="J169" s="64"/>
      <c r="K169" s="64">
        <f t="shared" si="15"/>
        <v>-15000</v>
      </c>
      <c r="L169" s="2">
        <f t="shared" si="14"/>
        <v>0</v>
      </c>
      <c r="M169" s="2"/>
      <c r="N169" s="2"/>
      <c r="O169" s="2"/>
      <c r="P169" s="2"/>
      <c r="Q169" s="2"/>
      <c r="R169" s="3"/>
      <c r="S169" s="3"/>
      <c r="T169" s="2"/>
      <c r="U169" s="2"/>
      <c r="V169" s="4"/>
      <c r="W169" s="4"/>
    </row>
    <row r="170" spans="1:23" s="5" customFormat="1" ht="15" customHeight="1" x14ac:dyDescent="0.25">
      <c r="A170" s="389"/>
      <c r="B170" s="50" t="s">
        <v>275</v>
      </c>
      <c r="C170" s="101">
        <v>-219000</v>
      </c>
      <c r="D170" s="55">
        <f t="shared" si="13"/>
        <v>63857613</v>
      </c>
      <c r="E170" s="36" t="s">
        <v>530</v>
      </c>
      <c r="F170" s="67"/>
      <c r="G170" s="64"/>
      <c r="H170" s="64"/>
      <c r="I170" s="64"/>
      <c r="J170" s="64"/>
      <c r="K170" s="64">
        <f t="shared" si="15"/>
        <v>-219000</v>
      </c>
      <c r="L170" s="2">
        <f t="shared" si="14"/>
        <v>0</v>
      </c>
      <c r="M170" s="2"/>
      <c r="N170" s="2"/>
      <c r="O170" s="2"/>
      <c r="P170" s="2"/>
      <c r="Q170" s="2"/>
      <c r="R170" s="3"/>
      <c r="S170" s="3"/>
      <c r="T170" s="2"/>
      <c r="U170" s="2"/>
      <c r="V170" s="4"/>
      <c r="W170" s="4"/>
    </row>
    <row r="171" spans="1:23" s="5" customFormat="1" ht="15" customHeight="1" x14ac:dyDescent="0.25">
      <c r="A171" s="390"/>
      <c r="B171" s="50" t="s">
        <v>276</v>
      </c>
      <c r="C171" s="101">
        <v>-1250000</v>
      </c>
      <c r="D171" s="55">
        <f t="shared" si="13"/>
        <v>62607613</v>
      </c>
      <c r="E171" s="36" t="s">
        <v>530</v>
      </c>
      <c r="F171" s="67"/>
      <c r="G171" s="64"/>
      <c r="H171" s="64"/>
      <c r="I171" s="64"/>
      <c r="J171" s="64"/>
      <c r="K171" s="64">
        <f t="shared" si="15"/>
        <v>-1250000</v>
      </c>
      <c r="L171" s="2">
        <f t="shared" si="14"/>
        <v>0</v>
      </c>
      <c r="M171" s="2"/>
      <c r="N171" s="2"/>
      <c r="O171" s="2"/>
      <c r="P171" s="2"/>
      <c r="Q171" s="2"/>
      <c r="R171" s="3"/>
      <c r="S171" s="3"/>
      <c r="T171" s="2"/>
      <c r="U171" s="2"/>
      <c r="V171" s="4"/>
      <c r="W171" s="4"/>
    </row>
    <row r="172" spans="1:23" s="5" customFormat="1" ht="15" customHeight="1" x14ac:dyDescent="0.25">
      <c r="B172" s="50" t="s">
        <v>697</v>
      </c>
      <c r="C172" s="101"/>
      <c r="D172" s="55">
        <f t="shared" si="13"/>
        <v>62607613</v>
      </c>
      <c r="E172" s="36" t="s">
        <v>61</v>
      </c>
      <c r="F172" s="67"/>
      <c r="G172" s="64"/>
      <c r="H172" s="64"/>
      <c r="I172" s="64"/>
      <c r="J172" s="64"/>
      <c r="K172" s="64">
        <f t="shared" si="15"/>
        <v>0</v>
      </c>
      <c r="L172" s="2">
        <f t="shared" si="14"/>
        <v>0</v>
      </c>
      <c r="M172" s="2"/>
      <c r="N172" s="2"/>
      <c r="O172" s="2"/>
      <c r="P172" s="2"/>
      <c r="Q172" s="2"/>
      <c r="R172" s="3"/>
      <c r="S172" s="3"/>
      <c r="T172" s="2"/>
      <c r="U172" s="2"/>
      <c r="V172" s="4"/>
      <c r="W172" s="4"/>
    </row>
    <row r="173" spans="1:23" s="5" customFormat="1" ht="15" customHeight="1" x14ac:dyDescent="0.25">
      <c r="A173" s="389"/>
      <c r="B173" s="50" t="s">
        <v>698</v>
      </c>
      <c r="C173" s="101">
        <v>-65000</v>
      </c>
      <c r="D173" s="55">
        <f t="shared" si="13"/>
        <v>62542613</v>
      </c>
      <c r="E173" s="36" t="s">
        <v>530</v>
      </c>
      <c r="F173" s="67"/>
      <c r="G173" s="64"/>
      <c r="H173" s="64"/>
      <c r="I173" s="64"/>
      <c r="J173" s="64"/>
      <c r="K173" s="64">
        <f t="shared" si="15"/>
        <v>-65000</v>
      </c>
      <c r="L173" s="2">
        <f t="shared" si="14"/>
        <v>0</v>
      </c>
      <c r="M173" s="2"/>
      <c r="N173" s="2"/>
      <c r="O173" s="2"/>
      <c r="P173" s="2"/>
      <c r="Q173" s="2"/>
      <c r="R173" s="3"/>
      <c r="S173" s="3"/>
      <c r="T173" s="2"/>
      <c r="U173" s="2"/>
      <c r="V173" s="4"/>
      <c r="W173" s="4"/>
    </row>
    <row r="174" spans="1:23" s="5" customFormat="1" ht="15" customHeight="1" x14ac:dyDescent="0.25">
      <c r="A174" s="390"/>
      <c r="B174" s="50" t="s">
        <v>699</v>
      </c>
      <c r="C174" s="101"/>
      <c r="D174" s="55">
        <f t="shared" si="13"/>
        <v>62542613</v>
      </c>
      <c r="E174" s="36" t="s">
        <v>59</v>
      </c>
      <c r="F174" s="67"/>
      <c r="G174" s="64"/>
      <c r="H174" s="64"/>
      <c r="I174" s="64"/>
      <c r="J174" s="64"/>
      <c r="K174" s="64">
        <f t="shared" si="15"/>
        <v>0</v>
      </c>
      <c r="L174" s="2">
        <f t="shared" si="14"/>
        <v>0</v>
      </c>
      <c r="M174" s="2"/>
      <c r="N174" s="2"/>
      <c r="O174" s="2"/>
      <c r="P174" s="2"/>
      <c r="Q174" s="2"/>
      <c r="R174" s="3"/>
      <c r="S174" s="3"/>
      <c r="T174" s="2"/>
      <c r="U174" s="2"/>
      <c r="V174" s="4"/>
      <c r="W174" s="4"/>
    </row>
    <row r="175" spans="1:23" s="5" customFormat="1" ht="15" customHeight="1" x14ac:dyDescent="0.25">
      <c r="A175" s="6"/>
      <c r="B175" s="391" t="s">
        <v>700</v>
      </c>
      <c r="C175" s="101">
        <v>-900000</v>
      </c>
      <c r="D175" s="55">
        <f t="shared" si="13"/>
        <v>61642613</v>
      </c>
      <c r="E175" s="36" t="s">
        <v>530</v>
      </c>
      <c r="F175" s="67"/>
      <c r="G175" s="64"/>
      <c r="H175" s="64"/>
      <c r="I175" s="64"/>
      <c r="J175" s="64"/>
      <c r="K175" s="64">
        <f t="shared" si="15"/>
        <v>-900000</v>
      </c>
      <c r="L175" s="2">
        <f t="shared" si="14"/>
        <v>0</v>
      </c>
      <c r="M175" s="2"/>
      <c r="N175" s="2"/>
      <c r="O175" s="2"/>
      <c r="P175" s="2"/>
      <c r="Q175" s="2"/>
      <c r="R175" s="3"/>
      <c r="S175" s="3"/>
      <c r="T175" s="2"/>
      <c r="U175" s="2"/>
      <c r="V175" s="4"/>
      <c r="W175" s="4"/>
    </row>
    <row r="176" spans="1:23" s="5" customFormat="1" ht="15" customHeight="1" x14ac:dyDescent="0.25">
      <c r="A176" s="6"/>
      <c r="B176" s="50" t="s">
        <v>701</v>
      </c>
      <c r="C176" s="101">
        <v>220000</v>
      </c>
      <c r="D176" s="55">
        <f t="shared" si="13"/>
        <v>61862613</v>
      </c>
      <c r="E176" s="36" t="s">
        <v>59</v>
      </c>
      <c r="F176" s="67"/>
      <c r="G176" s="64">
        <f>C176</f>
        <v>220000</v>
      </c>
      <c r="H176" s="64"/>
      <c r="I176" s="64"/>
      <c r="J176" s="64"/>
      <c r="K176" s="64"/>
      <c r="L176" s="2">
        <f t="shared" si="14"/>
        <v>0</v>
      </c>
      <c r="M176" s="2"/>
      <c r="N176" s="2"/>
      <c r="O176" s="2"/>
      <c r="P176" s="2"/>
      <c r="Q176" s="2"/>
      <c r="R176" s="3"/>
      <c r="S176" s="3"/>
      <c r="T176" s="2"/>
      <c r="U176" s="2"/>
      <c r="V176" s="4"/>
      <c r="W176" s="4"/>
    </row>
    <row r="177" spans="1:23" s="5" customFormat="1" ht="15" customHeight="1" x14ac:dyDescent="0.25">
      <c r="A177" s="389"/>
      <c r="B177" s="50" t="s">
        <v>702</v>
      </c>
      <c r="C177" s="101">
        <v>-60000</v>
      </c>
      <c r="D177" s="55">
        <f t="shared" si="13"/>
        <v>61802613</v>
      </c>
      <c r="E177" s="36" t="s">
        <v>530</v>
      </c>
      <c r="F177" s="67"/>
      <c r="G177" s="64"/>
      <c r="H177" s="64"/>
      <c r="I177" s="64"/>
      <c r="J177" s="64"/>
      <c r="K177" s="64">
        <f>C177</f>
        <v>-60000</v>
      </c>
      <c r="L177" s="2">
        <f t="shared" si="14"/>
        <v>0</v>
      </c>
      <c r="M177" s="2"/>
      <c r="N177" s="2"/>
      <c r="O177" s="2"/>
      <c r="P177" s="2"/>
      <c r="Q177" s="2"/>
      <c r="R177" s="3"/>
      <c r="S177" s="3"/>
      <c r="T177" s="2"/>
      <c r="U177" s="2"/>
      <c r="V177" s="4"/>
      <c r="W177" s="4"/>
    </row>
    <row r="178" spans="1:23" s="5" customFormat="1" ht="15" customHeight="1" x14ac:dyDescent="0.25">
      <c r="A178" s="390"/>
      <c r="B178" s="50" t="s">
        <v>703</v>
      </c>
      <c r="C178" s="101">
        <v>-300000</v>
      </c>
      <c r="D178" s="55">
        <f t="shared" si="13"/>
        <v>61502613</v>
      </c>
      <c r="E178" s="36" t="s">
        <v>530</v>
      </c>
      <c r="F178" s="67"/>
      <c r="G178" s="64"/>
      <c r="H178" s="64"/>
      <c r="I178" s="64"/>
      <c r="J178" s="64"/>
      <c r="K178" s="64">
        <f>C178</f>
        <v>-300000</v>
      </c>
      <c r="L178" s="2">
        <f t="shared" si="14"/>
        <v>0</v>
      </c>
      <c r="M178" s="2"/>
      <c r="N178" s="2"/>
      <c r="O178" s="2"/>
      <c r="P178" s="2"/>
      <c r="Q178" s="2"/>
      <c r="R178" s="3"/>
      <c r="S178" s="3"/>
      <c r="T178" s="2"/>
      <c r="U178" s="2"/>
      <c r="V178" s="4"/>
      <c r="W178" s="4"/>
    </row>
    <row r="179" spans="1:23" s="5" customFormat="1" ht="15" customHeight="1" x14ac:dyDescent="0.25">
      <c r="A179" s="6"/>
      <c r="B179" s="50" t="s">
        <v>251</v>
      </c>
      <c r="C179" s="101">
        <v>190000</v>
      </c>
      <c r="D179" s="55">
        <f t="shared" si="13"/>
        <v>61692613</v>
      </c>
      <c r="E179" s="36" t="s">
        <v>1</v>
      </c>
      <c r="F179" s="67"/>
      <c r="G179" s="64"/>
      <c r="H179" s="64">
        <f>C179</f>
        <v>190000</v>
      </c>
      <c r="I179" s="64"/>
      <c r="J179" s="64"/>
      <c r="K179" s="64"/>
      <c r="L179" s="2">
        <f t="shared" si="14"/>
        <v>0</v>
      </c>
      <c r="M179" s="2"/>
      <c r="N179" s="2"/>
      <c r="O179" s="2"/>
      <c r="P179" s="2"/>
      <c r="Q179" s="2"/>
      <c r="R179" s="3"/>
      <c r="S179" s="3"/>
      <c r="T179" s="2"/>
      <c r="U179" s="2"/>
      <c r="V179" s="4"/>
      <c r="W179" s="4"/>
    </row>
    <row r="180" spans="1:23" s="5" customFormat="1" ht="15" customHeight="1" x14ac:dyDescent="0.25">
      <c r="A180" s="389"/>
      <c r="B180" s="50" t="s">
        <v>264</v>
      </c>
      <c r="C180" s="101">
        <v>-961000</v>
      </c>
      <c r="D180" s="55">
        <f t="shared" si="13"/>
        <v>60731613</v>
      </c>
      <c r="E180" s="36" t="s">
        <v>530</v>
      </c>
      <c r="F180" s="67"/>
      <c r="G180" s="64"/>
      <c r="H180" s="64"/>
      <c r="I180" s="64"/>
      <c r="J180" s="64"/>
      <c r="K180" s="64">
        <f t="shared" ref="K180:K191" si="16">C180</f>
        <v>-961000</v>
      </c>
      <c r="L180" s="2">
        <f t="shared" si="14"/>
        <v>0</v>
      </c>
      <c r="M180" s="2"/>
      <c r="N180" s="2"/>
      <c r="O180" s="2"/>
      <c r="P180" s="2"/>
      <c r="Q180" s="2"/>
      <c r="R180" s="3"/>
      <c r="S180" s="3"/>
      <c r="T180" s="2"/>
      <c r="U180" s="2"/>
      <c r="V180" s="4"/>
      <c r="W180" s="4"/>
    </row>
    <row r="181" spans="1:23" s="5" customFormat="1" ht="15" customHeight="1" x14ac:dyDescent="0.25">
      <c r="A181" s="389"/>
      <c r="B181" s="50" t="s">
        <v>704</v>
      </c>
      <c r="C181" s="101"/>
      <c r="D181" s="55">
        <f t="shared" si="13"/>
        <v>60731613</v>
      </c>
      <c r="E181" s="36" t="s">
        <v>59</v>
      </c>
      <c r="F181" s="67"/>
      <c r="G181" s="64"/>
      <c r="H181" s="64"/>
      <c r="I181" s="64"/>
      <c r="J181" s="64"/>
      <c r="K181" s="64">
        <f t="shared" si="16"/>
        <v>0</v>
      </c>
      <c r="L181" s="2">
        <f t="shared" si="14"/>
        <v>0</v>
      </c>
      <c r="M181" s="2"/>
      <c r="N181" s="2"/>
      <c r="O181" s="2"/>
      <c r="P181" s="2"/>
      <c r="Q181" s="2"/>
      <c r="R181" s="3"/>
      <c r="S181" s="3"/>
      <c r="T181" s="2"/>
      <c r="U181" s="2"/>
      <c r="V181" s="4"/>
      <c r="W181" s="4"/>
    </row>
    <row r="182" spans="1:23" s="5" customFormat="1" ht="15" customHeight="1" x14ac:dyDescent="0.25">
      <c r="A182" s="99">
        <v>45361</v>
      </c>
      <c r="B182" s="50" t="s">
        <v>163</v>
      </c>
      <c r="C182" s="101">
        <v>-11000</v>
      </c>
      <c r="D182" s="55">
        <f t="shared" si="13"/>
        <v>60720613</v>
      </c>
      <c r="E182" s="36" t="s">
        <v>530</v>
      </c>
      <c r="F182" s="67"/>
      <c r="G182" s="64"/>
      <c r="H182" s="64"/>
      <c r="I182" s="64"/>
      <c r="J182" s="64"/>
      <c r="K182" s="64">
        <f t="shared" si="16"/>
        <v>-11000</v>
      </c>
      <c r="L182" s="2">
        <f t="shared" si="14"/>
        <v>0</v>
      </c>
      <c r="M182" s="2"/>
      <c r="N182" s="2"/>
      <c r="O182" s="2"/>
      <c r="P182" s="2"/>
      <c r="Q182" s="2"/>
      <c r="R182" s="3"/>
      <c r="S182" s="3"/>
      <c r="T182" s="2"/>
      <c r="U182" s="2"/>
      <c r="V182" s="4"/>
      <c r="W182" s="4"/>
    </row>
    <row r="183" spans="1:23" s="5" customFormat="1" ht="15" customHeight="1" x14ac:dyDescent="0.25">
      <c r="B183" s="50" t="s">
        <v>654</v>
      </c>
      <c r="C183" s="101">
        <v>-9000</v>
      </c>
      <c r="D183" s="55">
        <f t="shared" si="13"/>
        <v>60711613</v>
      </c>
      <c r="E183" s="36" t="s">
        <v>530</v>
      </c>
      <c r="F183" s="67"/>
      <c r="G183" s="64"/>
      <c r="H183" s="64"/>
      <c r="I183" s="64"/>
      <c r="J183" s="64"/>
      <c r="K183" s="64">
        <f t="shared" si="16"/>
        <v>-9000</v>
      </c>
      <c r="L183" s="2">
        <f t="shared" si="14"/>
        <v>0</v>
      </c>
      <c r="M183" s="2"/>
      <c r="N183" s="2"/>
      <c r="O183" s="2"/>
      <c r="P183" s="2"/>
      <c r="Q183" s="2"/>
      <c r="R183" s="3"/>
      <c r="S183" s="3"/>
      <c r="T183" s="2"/>
      <c r="U183" s="2"/>
      <c r="V183" s="4"/>
      <c r="W183" s="4"/>
    </row>
    <row r="184" spans="1:23" s="5" customFormat="1" ht="15" customHeight="1" x14ac:dyDescent="0.25">
      <c r="A184" s="389"/>
      <c r="B184" s="50" t="s">
        <v>705</v>
      </c>
      <c r="C184" s="101">
        <v>-372000</v>
      </c>
      <c r="D184" s="55">
        <f t="shared" si="13"/>
        <v>60339613</v>
      </c>
      <c r="E184" s="36" t="s">
        <v>530</v>
      </c>
      <c r="F184" s="67"/>
      <c r="G184" s="64"/>
      <c r="H184" s="64"/>
      <c r="I184" s="64"/>
      <c r="J184" s="64"/>
      <c r="K184" s="64">
        <f t="shared" si="16"/>
        <v>-372000</v>
      </c>
      <c r="L184" s="2">
        <f t="shared" si="14"/>
        <v>0</v>
      </c>
      <c r="M184" s="2"/>
      <c r="N184" s="2"/>
      <c r="O184" s="2"/>
      <c r="P184" s="2"/>
      <c r="Q184" s="2"/>
      <c r="R184" s="3"/>
      <c r="S184" s="3"/>
      <c r="T184" s="2"/>
      <c r="U184" s="2"/>
      <c r="V184" s="4"/>
      <c r="W184" s="4"/>
    </row>
    <row r="185" spans="1:23" s="5" customFormat="1" ht="15" customHeight="1" x14ac:dyDescent="0.25">
      <c r="A185" s="389"/>
      <c r="B185" s="50" t="s">
        <v>706</v>
      </c>
      <c r="C185" s="101">
        <v>-24500</v>
      </c>
      <c r="D185" s="55">
        <f t="shared" si="13"/>
        <v>60315113</v>
      </c>
      <c r="E185" s="36" t="s">
        <v>530</v>
      </c>
      <c r="F185" s="67"/>
      <c r="G185" s="64"/>
      <c r="H185" s="64"/>
      <c r="I185" s="64"/>
      <c r="J185" s="64"/>
      <c r="K185" s="64">
        <f t="shared" si="16"/>
        <v>-24500</v>
      </c>
      <c r="L185" s="2">
        <f t="shared" si="14"/>
        <v>0</v>
      </c>
      <c r="M185" s="2"/>
      <c r="N185" s="2"/>
      <c r="O185" s="2"/>
      <c r="P185" s="2"/>
      <c r="Q185" s="2"/>
      <c r="R185" s="3"/>
      <c r="S185" s="3"/>
      <c r="T185" s="2"/>
      <c r="U185" s="2"/>
      <c r="V185" s="4"/>
      <c r="W185" s="4"/>
    </row>
    <row r="186" spans="1:23" s="5" customFormat="1" ht="15" customHeight="1" x14ac:dyDescent="0.25">
      <c r="A186" s="390"/>
      <c r="B186" s="50" t="s">
        <v>707</v>
      </c>
      <c r="C186" s="101">
        <v>-20000</v>
      </c>
      <c r="D186" s="55">
        <f t="shared" si="13"/>
        <v>60295113</v>
      </c>
      <c r="E186" s="36" t="s">
        <v>530</v>
      </c>
      <c r="F186" s="67"/>
      <c r="G186" s="64"/>
      <c r="H186" s="64"/>
      <c r="I186" s="64"/>
      <c r="J186" s="64"/>
      <c r="K186" s="64">
        <f t="shared" si="16"/>
        <v>-20000</v>
      </c>
      <c r="L186" s="2">
        <f t="shared" si="14"/>
        <v>0</v>
      </c>
      <c r="M186" s="2"/>
      <c r="N186" s="2"/>
      <c r="O186" s="2"/>
      <c r="P186" s="2"/>
      <c r="Q186" s="2"/>
      <c r="R186" s="3"/>
      <c r="S186" s="3"/>
      <c r="T186" s="2"/>
      <c r="U186" s="2"/>
      <c r="V186" s="4"/>
      <c r="W186" s="4"/>
    </row>
    <row r="187" spans="1:23" s="5" customFormat="1" ht="15" customHeight="1" x14ac:dyDescent="0.25">
      <c r="B187" s="50" t="s">
        <v>708</v>
      </c>
      <c r="C187" s="101">
        <v>-77500</v>
      </c>
      <c r="D187" s="55">
        <f t="shared" si="13"/>
        <v>60217613</v>
      </c>
      <c r="E187" s="36" t="s">
        <v>530</v>
      </c>
      <c r="F187" s="67"/>
      <c r="G187" s="64"/>
      <c r="H187" s="64"/>
      <c r="I187" s="64"/>
      <c r="J187" s="64"/>
      <c r="K187" s="64">
        <f t="shared" si="16"/>
        <v>-77500</v>
      </c>
      <c r="L187" s="2">
        <f t="shared" si="14"/>
        <v>0</v>
      </c>
      <c r="M187" s="2"/>
      <c r="N187" s="2"/>
      <c r="O187" s="2"/>
      <c r="P187" s="2"/>
      <c r="Q187" s="2"/>
      <c r="R187" s="3"/>
      <c r="S187" s="3"/>
      <c r="T187" s="2"/>
      <c r="U187" s="2"/>
      <c r="V187" s="4"/>
      <c r="W187" s="4"/>
    </row>
    <row r="188" spans="1:23" s="5" customFormat="1" ht="15" customHeight="1" x14ac:dyDescent="0.25">
      <c r="A188" s="389"/>
      <c r="B188" s="50" t="s">
        <v>709</v>
      </c>
      <c r="C188" s="101">
        <v>-40000</v>
      </c>
      <c r="D188" s="55">
        <f t="shared" si="13"/>
        <v>60177613</v>
      </c>
      <c r="E188" s="36" t="s">
        <v>530</v>
      </c>
      <c r="F188" s="67"/>
      <c r="G188" s="64"/>
      <c r="H188" s="64"/>
      <c r="I188" s="64"/>
      <c r="J188" s="64"/>
      <c r="K188" s="64">
        <f t="shared" si="16"/>
        <v>-40000</v>
      </c>
      <c r="L188" s="2">
        <f t="shared" si="14"/>
        <v>0</v>
      </c>
      <c r="M188" s="2"/>
      <c r="N188" s="2"/>
      <c r="O188" s="2"/>
      <c r="P188" s="2"/>
      <c r="Q188" s="2"/>
      <c r="R188" s="3"/>
      <c r="S188" s="3"/>
      <c r="T188" s="2"/>
      <c r="U188" s="2"/>
      <c r="V188" s="4"/>
      <c r="W188" s="4"/>
    </row>
    <row r="189" spans="1:23" s="5" customFormat="1" ht="15" customHeight="1" x14ac:dyDescent="0.25">
      <c r="A189" s="389"/>
      <c r="B189" s="50" t="s">
        <v>710</v>
      </c>
      <c r="C189" s="101">
        <v>-81000</v>
      </c>
      <c r="D189" s="55">
        <f t="shared" si="13"/>
        <v>60096613</v>
      </c>
      <c r="E189" s="36" t="s">
        <v>530</v>
      </c>
      <c r="F189" s="67"/>
      <c r="G189" s="64"/>
      <c r="H189" s="64"/>
      <c r="I189" s="64"/>
      <c r="J189" s="64"/>
      <c r="K189" s="64">
        <f t="shared" si="16"/>
        <v>-81000</v>
      </c>
      <c r="L189" s="2">
        <f t="shared" si="14"/>
        <v>0</v>
      </c>
      <c r="M189" s="2"/>
      <c r="N189" s="2"/>
      <c r="O189" s="2"/>
      <c r="P189" s="2"/>
      <c r="Q189" s="2"/>
      <c r="R189" s="3"/>
      <c r="S189" s="3"/>
      <c r="T189" s="2"/>
      <c r="U189" s="2"/>
      <c r="V189" s="4"/>
      <c r="W189" s="4"/>
    </row>
    <row r="190" spans="1:23" s="5" customFormat="1" ht="15" customHeight="1" x14ac:dyDescent="0.25">
      <c r="A190" s="389"/>
      <c r="B190" s="50" t="s">
        <v>711</v>
      </c>
      <c r="C190" s="101">
        <v>-30400</v>
      </c>
      <c r="D190" s="55">
        <f t="shared" si="13"/>
        <v>60066213</v>
      </c>
      <c r="E190" s="36" t="s">
        <v>530</v>
      </c>
      <c r="F190" s="67"/>
      <c r="G190" s="64"/>
      <c r="H190" s="64"/>
      <c r="I190" s="64"/>
      <c r="J190" s="64"/>
      <c r="K190" s="64">
        <f t="shared" si="16"/>
        <v>-30400</v>
      </c>
      <c r="L190" s="2">
        <f t="shared" si="14"/>
        <v>0</v>
      </c>
      <c r="M190" s="2"/>
      <c r="N190" s="2"/>
      <c r="O190" s="2"/>
      <c r="P190" s="2"/>
      <c r="Q190" s="2"/>
      <c r="R190" s="3"/>
      <c r="S190" s="3"/>
      <c r="T190" s="2"/>
      <c r="U190" s="2"/>
      <c r="V190" s="4"/>
      <c r="W190" s="4"/>
    </row>
    <row r="191" spans="1:23" s="5" customFormat="1" ht="15" customHeight="1" x14ac:dyDescent="0.25">
      <c r="A191" s="389"/>
      <c r="B191" s="50" t="s">
        <v>708</v>
      </c>
      <c r="C191" s="101">
        <v>-6500</v>
      </c>
      <c r="D191" s="55">
        <f t="shared" si="13"/>
        <v>60059713</v>
      </c>
      <c r="E191" s="36" t="s">
        <v>530</v>
      </c>
      <c r="F191" s="67"/>
      <c r="G191" s="64"/>
      <c r="H191" s="64"/>
      <c r="I191" s="64"/>
      <c r="J191" s="64"/>
      <c r="K191" s="64">
        <f t="shared" si="16"/>
        <v>-6500</v>
      </c>
      <c r="L191" s="2">
        <f t="shared" si="14"/>
        <v>0</v>
      </c>
      <c r="M191" s="2"/>
      <c r="N191" s="2"/>
      <c r="O191" s="2"/>
      <c r="P191" s="2"/>
      <c r="Q191" s="2"/>
      <c r="R191" s="3"/>
      <c r="S191" s="3"/>
      <c r="T191" s="2"/>
      <c r="U191" s="2"/>
      <c r="V191" s="4"/>
      <c r="W191" s="4"/>
    </row>
    <row r="192" spans="1:23" s="5" customFormat="1" ht="15" customHeight="1" x14ac:dyDescent="0.25">
      <c r="A192" s="389"/>
      <c r="B192" s="50" t="s">
        <v>712</v>
      </c>
      <c r="C192" s="101">
        <v>220000</v>
      </c>
      <c r="D192" s="55">
        <f t="shared" si="13"/>
        <v>60279713</v>
      </c>
      <c r="E192" s="36" t="s">
        <v>59</v>
      </c>
      <c r="F192" s="67"/>
      <c r="G192" s="64">
        <f>C192</f>
        <v>220000</v>
      </c>
      <c r="H192" s="64"/>
      <c r="I192" s="64"/>
      <c r="J192" s="64"/>
      <c r="K192" s="64"/>
      <c r="L192" s="2">
        <f t="shared" si="14"/>
        <v>0</v>
      </c>
      <c r="M192" s="2"/>
      <c r="N192" s="2"/>
      <c r="O192" s="2"/>
      <c r="P192" s="2"/>
      <c r="Q192" s="2"/>
      <c r="R192" s="3"/>
      <c r="S192" s="3"/>
      <c r="T192" s="2"/>
      <c r="U192" s="2"/>
      <c r="V192" s="4"/>
      <c r="W192" s="4"/>
    </row>
    <row r="193" spans="1:23" s="5" customFormat="1" ht="15" customHeight="1" x14ac:dyDescent="0.25">
      <c r="A193" s="390"/>
      <c r="B193" s="50" t="s">
        <v>594</v>
      </c>
      <c r="C193" s="101">
        <v>-48600</v>
      </c>
      <c r="D193" s="55">
        <f t="shared" si="13"/>
        <v>60231113</v>
      </c>
      <c r="E193" s="36" t="s">
        <v>530</v>
      </c>
      <c r="F193" s="67"/>
      <c r="G193" s="64"/>
      <c r="H193" s="64"/>
      <c r="I193" s="64"/>
      <c r="J193" s="64"/>
      <c r="K193" s="64">
        <f>C193</f>
        <v>-48600</v>
      </c>
      <c r="L193" s="2">
        <f t="shared" si="14"/>
        <v>0</v>
      </c>
      <c r="M193" s="2"/>
      <c r="N193" s="2"/>
      <c r="O193" s="2"/>
      <c r="P193" s="2"/>
      <c r="Q193" s="2"/>
      <c r="R193" s="3"/>
      <c r="S193" s="3"/>
      <c r="T193" s="2"/>
      <c r="U193" s="2"/>
      <c r="V193" s="4"/>
      <c r="W193" s="4"/>
    </row>
    <row r="194" spans="1:23" s="5" customFormat="1" ht="15" customHeight="1" x14ac:dyDescent="0.25">
      <c r="B194" s="50" t="s">
        <v>713</v>
      </c>
      <c r="C194" s="101">
        <v>-197670</v>
      </c>
      <c r="D194" s="55">
        <f t="shared" ref="D194:D257" si="17">SUM(D193,C194)</f>
        <v>60033443</v>
      </c>
      <c r="E194" s="36" t="s">
        <v>530</v>
      </c>
      <c r="F194" s="67"/>
      <c r="G194" s="64"/>
      <c r="H194" s="64"/>
      <c r="I194" s="64"/>
      <c r="J194" s="64"/>
      <c r="K194" s="64">
        <f>C194</f>
        <v>-197670</v>
      </c>
      <c r="L194" s="2">
        <f t="shared" si="14"/>
        <v>0</v>
      </c>
      <c r="M194" s="2"/>
      <c r="N194" s="2"/>
      <c r="O194" s="2"/>
      <c r="P194" s="2"/>
      <c r="Q194" s="2"/>
      <c r="R194" s="3"/>
      <c r="S194" s="3"/>
      <c r="T194" s="2"/>
      <c r="U194" s="2"/>
      <c r="V194" s="4"/>
      <c r="W194" s="4"/>
    </row>
    <row r="195" spans="1:23" s="5" customFormat="1" ht="15" customHeight="1" x14ac:dyDescent="0.25">
      <c r="A195" s="389"/>
      <c r="B195" s="50" t="s">
        <v>708</v>
      </c>
      <c r="C195" s="101">
        <v>-9000</v>
      </c>
      <c r="D195" s="55">
        <f t="shared" si="17"/>
        <v>60024443</v>
      </c>
      <c r="E195" s="36" t="s">
        <v>530</v>
      </c>
      <c r="F195" s="67"/>
      <c r="G195" s="64"/>
      <c r="H195" s="64"/>
      <c r="I195" s="64"/>
      <c r="J195" s="64"/>
      <c r="K195" s="64">
        <f>C195</f>
        <v>-9000</v>
      </c>
      <c r="L195" s="2">
        <f t="shared" ref="L195:L258" si="18">C195-F195-G195-H195-I195-J195-K195</f>
        <v>0</v>
      </c>
      <c r="M195" s="2"/>
      <c r="N195" s="2"/>
      <c r="O195" s="2"/>
      <c r="P195" s="2"/>
      <c r="Q195" s="2"/>
      <c r="R195" s="3"/>
      <c r="S195" s="3"/>
      <c r="T195" s="2"/>
      <c r="U195" s="2"/>
      <c r="V195" s="4"/>
      <c r="W195" s="4"/>
    </row>
    <row r="196" spans="1:23" s="5" customFormat="1" ht="15" customHeight="1" x14ac:dyDescent="0.25">
      <c r="B196" s="50" t="s">
        <v>714</v>
      </c>
      <c r="C196" s="101">
        <v>220000</v>
      </c>
      <c r="D196" s="55">
        <f t="shared" si="17"/>
        <v>60244443</v>
      </c>
      <c r="E196" s="36" t="s">
        <v>59</v>
      </c>
      <c r="F196" s="67"/>
      <c r="G196" s="64">
        <f>C196</f>
        <v>220000</v>
      </c>
      <c r="H196" s="64"/>
      <c r="I196" s="64"/>
      <c r="J196" s="64"/>
      <c r="K196" s="64"/>
      <c r="L196" s="2">
        <f t="shared" si="18"/>
        <v>0</v>
      </c>
      <c r="M196" s="2"/>
      <c r="N196" s="2"/>
      <c r="O196" s="2"/>
      <c r="P196" s="2"/>
      <c r="Q196" s="2"/>
      <c r="R196" s="3"/>
      <c r="S196" s="3"/>
      <c r="T196" s="2"/>
      <c r="U196" s="2"/>
      <c r="V196" s="4"/>
      <c r="W196" s="4"/>
    </row>
    <row r="197" spans="1:23" s="5" customFormat="1" ht="15" customHeight="1" x14ac:dyDescent="0.25">
      <c r="A197" s="6"/>
      <c r="B197" s="50" t="s">
        <v>654</v>
      </c>
      <c r="C197" s="101">
        <v>-35000</v>
      </c>
      <c r="D197" s="55">
        <f t="shared" si="17"/>
        <v>60209443</v>
      </c>
      <c r="E197" s="36" t="s">
        <v>530</v>
      </c>
      <c r="F197" s="67"/>
      <c r="G197" s="64"/>
      <c r="H197" s="64"/>
      <c r="I197" s="64"/>
      <c r="J197" s="64"/>
      <c r="K197" s="64">
        <f>C197</f>
        <v>-35000</v>
      </c>
      <c r="L197" s="2">
        <f t="shared" si="18"/>
        <v>0</v>
      </c>
      <c r="M197" s="2"/>
      <c r="N197" s="2"/>
      <c r="O197" s="2"/>
      <c r="P197" s="2"/>
      <c r="Q197" s="2"/>
      <c r="R197" s="3"/>
      <c r="S197" s="3"/>
      <c r="T197" s="2"/>
      <c r="U197" s="2"/>
      <c r="V197" s="4"/>
      <c r="W197" s="4"/>
    </row>
    <row r="198" spans="1:23" s="5" customFormat="1" ht="15" customHeight="1" x14ac:dyDescent="0.25">
      <c r="A198" s="390"/>
      <c r="B198" s="50" t="s">
        <v>715</v>
      </c>
      <c r="C198" s="101">
        <v>150000</v>
      </c>
      <c r="D198" s="55">
        <f t="shared" si="17"/>
        <v>60359443</v>
      </c>
      <c r="E198" s="36" t="s">
        <v>59</v>
      </c>
      <c r="F198" s="67"/>
      <c r="G198" s="64">
        <f>C198</f>
        <v>150000</v>
      </c>
      <c r="H198" s="64"/>
      <c r="I198" s="64"/>
      <c r="J198" s="64"/>
      <c r="K198" s="64"/>
      <c r="L198" s="2">
        <f t="shared" si="18"/>
        <v>0</v>
      </c>
      <c r="M198" s="2"/>
      <c r="N198" s="2"/>
      <c r="O198" s="2"/>
      <c r="P198" s="2"/>
      <c r="Q198" s="2"/>
      <c r="R198" s="3"/>
      <c r="S198" s="3"/>
      <c r="T198" s="2"/>
      <c r="U198" s="2"/>
      <c r="V198" s="4"/>
      <c r="W198" s="4"/>
    </row>
    <row r="199" spans="1:23" s="5" customFormat="1" ht="15" customHeight="1" x14ac:dyDescent="0.25">
      <c r="B199" s="50" t="s">
        <v>716</v>
      </c>
      <c r="C199" s="101"/>
      <c r="D199" s="55">
        <f t="shared" si="17"/>
        <v>60359443</v>
      </c>
      <c r="E199" s="36" t="s">
        <v>59</v>
      </c>
      <c r="F199" s="67"/>
      <c r="G199" s="64"/>
      <c r="H199" s="64"/>
      <c r="I199" s="64"/>
      <c r="J199" s="64"/>
      <c r="K199" s="64">
        <f>C199</f>
        <v>0</v>
      </c>
      <c r="L199" s="2">
        <f t="shared" si="18"/>
        <v>0</v>
      </c>
      <c r="M199" s="2"/>
      <c r="N199" s="2"/>
      <c r="O199" s="2"/>
      <c r="P199" s="2"/>
      <c r="Q199" s="2"/>
      <c r="R199" s="3"/>
      <c r="S199" s="3"/>
      <c r="T199" s="2"/>
      <c r="U199" s="2"/>
      <c r="V199" s="4"/>
      <c r="W199" s="4"/>
    </row>
    <row r="200" spans="1:23" s="5" customFormat="1" ht="15" customHeight="1" x14ac:dyDescent="0.25">
      <c r="A200" s="389"/>
      <c r="B200" s="50" t="s">
        <v>717</v>
      </c>
      <c r="C200" s="101">
        <v>180000</v>
      </c>
      <c r="D200" s="55">
        <f t="shared" si="17"/>
        <v>60539443</v>
      </c>
      <c r="E200" s="36" t="s">
        <v>61</v>
      </c>
      <c r="F200" s="67"/>
      <c r="G200" s="64"/>
      <c r="H200" s="64"/>
      <c r="I200" s="64">
        <f>C200</f>
        <v>180000</v>
      </c>
      <c r="J200" s="64"/>
      <c r="K200" s="64"/>
      <c r="L200" s="2">
        <f t="shared" si="18"/>
        <v>0</v>
      </c>
      <c r="M200" s="2"/>
      <c r="N200" s="2"/>
      <c r="O200" s="2"/>
      <c r="P200" s="2"/>
      <c r="Q200" s="2"/>
      <c r="R200" s="3"/>
      <c r="S200" s="3"/>
      <c r="T200" s="2"/>
      <c r="U200" s="2"/>
      <c r="V200" s="4"/>
      <c r="W200" s="4"/>
    </row>
    <row r="201" spans="1:23" s="5" customFormat="1" ht="15" customHeight="1" x14ac:dyDescent="0.25">
      <c r="A201" s="389"/>
      <c r="B201" s="50" t="s">
        <v>718</v>
      </c>
      <c r="C201" s="101">
        <v>1090000</v>
      </c>
      <c r="D201" s="55">
        <f t="shared" si="17"/>
        <v>61629443</v>
      </c>
      <c r="E201" s="36" t="s">
        <v>1</v>
      </c>
      <c r="F201" s="67"/>
      <c r="G201" s="64"/>
      <c r="H201" s="64">
        <f>C201</f>
        <v>1090000</v>
      </c>
      <c r="I201" s="64"/>
      <c r="J201" s="64"/>
      <c r="K201" s="64"/>
      <c r="L201" s="2">
        <f t="shared" si="18"/>
        <v>0</v>
      </c>
      <c r="M201" s="2"/>
      <c r="N201" s="2"/>
      <c r="O201" s="2"/>
      <c r="P201" s="2"/>
      <c r="Q201" s="2"/>
      <c r="R201" s="3"/>
      <c r="S201" s="3"/>
      <c r="T201" s="2"/>
      <c r="U201" s="2"/>
      <c r="V201" s="4"/>
      <c r="W201" s="4"/>
    </row>
    <row r="202" spans="1:23" s="5" customFormat="1" ht="15" customHeight="1" x14ac:dyDescent="0.25">
      <c r="A202" s="390"/>
      <c r="B202" s="50" t="s">
        <v>719</v>
      </c>
      <c r="C202" s="101"/>
      <c r="D202" s="55">
        <f t="shared" si="17"/>
        <v>61629443</v>
      </c>
      <c r="E202" s="36" t="s">
        <v>59</v>
      </c>
      <c r="F202" s="67"/>
      <c r="G202" s="64"/>
      <c r="H202" s="64"/>
      <c r="I202" s="64"/>
      <c r="J202" s="64"/>
      <c r="K202" s="64">
        <f>C202</f>
        <v>0</v>
      </c>
      <c r="L202" s="2">
        <f t="shared" si="18"/>
        <v>0</v>
      </c>
      <c r="M202" s="2"/>
      <c r="N202" s="2"/>
      <c r="O202" s="2"/>
      <c r="P202" s="2"/>
      <c r="Q202" s="2"/>
      <c r="R202" s="3"/>
      <c r="S202" s="3"/>
      <c r="T202" s="2"/>
      <c r="U202" s="2"/>
      <c r="V202" s="4"/>
      <c r="W202" s="4"/>
    </row>
    <row r="203" spans="1:23" s="5" customFormat="1" ht="15" customHeight="1" x14ac:dyDescent="0.25">
      <c r="B203" s="50" t="s">
        <v>720</v>
      </c>
      <c r="C203" s="101">
        <v>150000</v>
      </c>
      <c r="D203" s="55">
        <f t="shared" si="17"/>
        <v>61779443</v>
      </c>
      <c r="E203" s="36" t="s">
        <v>59</v>
      </c>
      <c r="F203" s="67"/>
      <c r="G203" s="64">
        <f>C203</f>
        <v>150000</v>
      </c>
      <c r="H203" s="64"/>
      <c r="I203" s="64"/>
      <c r="J203" s="64"/>
      <c r="K203" s="64"/>
      <c r="L203" s="2">
        <f t="shared" si="18"/>
        <v>0</v>
      </c>
      <c r="M203" s="2"/>
      <c r="N203" s="2"/>
      <c r="O203" s="2"/>
      <c r="P203" s="2"/>
      <c r="Q203" s="2"/>
      <c r="R203" s="3"/>
      <c r="S203" s="3"/>
      <c r="T203" s="2"/>
      <c r="U203" s="2"/>
      <c r="V203" s="4"/>
      <c r="W203" s="4"/>
    </row>
    <row r="204" spans="1:23" s="5" customFormat="1" ht="15" customHeight="1" x14ac:dyDescent="0.25">
      <c r="A204" s="389"/>
      <c r="B204" s="50" t="s">
        <v>264</v>
      </c>
      <c r="C204" s="101">
        <v>-230000</v>
      </c>
      <c r="D204" s="55">
        <f t="shared" si="17"/>
        <v>61549443</v>
      </c>
      <c r="E204" s="36" t="s">
        <v>530</v>
      </c>
      <c r="F204" s="67"/>
      <c r="G204" s="64"/>
      <c r="H204" s="64"/>
      <c r="I204" s="64"/>
      <c r="J204" s="64"/>
      <c r="K204" s="64">
        <f>C204</f>
        <v>-230000</v>
      </c>
      <c r="L204" s="2">
        <f t="shared" si="18"/>
        <v>0</v>
      </c>
      <c r="M204" s="2"/>
      <c r="N204" s="2"/>
      <c r="O204" s="2"/>
      <c r="P204" s="2"/>
      <c r="Q204" s="2"/>
      <c r="R204" s="3"/>
      <c r="S204" s="3"/>
      <c r="T204" s="2"/>
      <c r="U204" s="2"/>
      <c r="V204" s="4"/>
      <c r="W204" s="4"/>
    </row>
    <row r="205" spans="1:23" s="5" customFormat="1" ht="15" customHeight="1" x14ac:dyDescent="0.25">
      <c r="A205" s="389"/>
      <c r="B205" s="50" t="s">
        <v>721</v>
      </c>
      <c r="C205" s="101"/>
      <c r="D205" s="55">
        <f t="shared" si="17"/>
        <v>61549443</v>
      </c>
      <c r="E205" s="36" t="s">
        <v>59</v>
      </c>
      <c r="F205" s="67"/>
      <c r="G205" s="64"/>
      <c r="H205" s="64"/>
      <c r="I205" s="64"/>
      <c r="J205" s="64"/>
      <c r="K205" s="64">
        <f>C205</f>
        <v>0</v>
      </c>
      <c r="L205" s="2">
        <f t="shared" si="18"/>
        <v>0</v>
      </c>
      <c r="M205" s="2"/>
      <c r="N205" s="2"/>
      <c r="O205" s="2"/>
      <c r="P205" s="2"/>
      <c r="Q205" s="2"/>
      <c r="R205" s="3"/>
      <c r="S205" s="3"/>
      <c r="T205" s="2"/>
      <c r="U205" s="2"/>
      <c r="V205" s="4"/>
      <c r="W205" s="4"/>
    </row>
    <row r="206" spans="1:23" s="5" customFormat="1" ht="15" customHeight="1" x14ac:dyDescent="0.25">
      <c r="A206" s="389"/>
      <c r="B206" s="50" t="s">
        <v>722</v>
      </c>
      <c r="C206" s="101"/>
      <c r="D206" s="55">
        <f t="shared" si="17"/>
        <v>61549443</v>
      </c>
      <c r="E206" s="36" t="s">
        <v>59</v>
      </c>
      <c r="F206" s="67"/>
      <c r="G206" s="64"/>
      <c r="H206" s="64"/>
      <c r="I206" s="64"/>
      <c r="J206" s="64"/>
      <c r="K206" s="64">
        <f>C206</f>
        <v>0</v>
      </c>
      <c r="L206" s="2">
        <f t="shared" si="18"/>
        <v>0</v>
      </c>
      <c r="M206" s="2"/>
      <c r="N206" s="2"/>
      <c r="O206" s="2"/>
      <c r="P206" s="2"/>
      <c r="Q206" s="2"/>
      <c r="R206" s="3"/>
      <c r="S206" s="3"/>
      <c r="T206" s="2"/>
      <c r="U206" s="2"/>
      <c r="V206" s="4"/>
      <c r="W206" s="4"/>
    </row>
    <row r="207" spans="1:23" s="5" customFormat="1" ht="15" customHeight="1" x14ac:dyDescent="0.25">
      <c r="A207" s="99">
        <v>45362</v>
      </c>
      <c r="B207" s="50" t="s">
        <v>163</v>
      </c>
      <c r="C207" s="101">
        <v>-11000</v>
      </c>
      <c r="D207" s="55">
        <f t="shared" si="17"/>
        <v>61538443</v>
      </c>
      <c r="E207" s="36" t="s">
        <v>530</v>
      </c>
      <c r="F207" s="67"/>
      <c r="G207" s="64"/>
      <c r="H207" s="64"/>
      <c r="I207" s="64"/>
      <c r="J207" s="64"/>
      <c r="K207" s="64">
        <f>C207</f>
        <v>-11000</v>
      </c>
      <c r="L207" s="2">
        <f t="shared" si="18"/>
        <v>0</v>
      </c>
      <c r="M207" s="2"/>
      <c r="N207" s="2"/>
      <c r="O207" s="2"/>
      <c r="P207" s="2"/>
      <c r="Q207" s="2"/>
      <c r="R207" s="3"/>
      <c r="S207" s="3"/>
      <c r="T207" s="2"/>
      <c r="U207" s="2"/>
      <c r="V207" s="4"/>
      <c r="W207" s="4"/>
    </row>
    <row r="208" spans="1:23" s="5" customFormat="1" ht="15" customHeight="1" x14ac:dyDescent="0.25">
      <c r="B208" s="50" t="s">
        <v>723</v>
      </c>
      <c r="C208" s="101">
        <v>-153000</v>
      </c>
      <c r="D208" s="55">
        <f t="shared" si="17"/>
        <v>61385443</v>
      </c>
      <c r="E208" s="36" t="s">
        <v>530</v>
      </c>
      <c r="F208" s="67"/>
      <c r="G208" s="64"/>
      <c r="H208" s="64"/>
      <c r="I208" s="64"/>
      <c r="J208" s="64"/>
      <c r="K208" s="64">
        <f>C208</f>
        <v>-153000</v>
      </c>
      <c r="L208" s="2">
        <f t="shared" si="18"/>
        <v>0</v>
      </c>
      <c r="M208" s="2"/>
      <c r="N208" s="2"/>
      <c r="O208" s="2"/>
      <c r="P208" s="2"/>
      <c r="Q208" s="2"/>
      <c r="R208" s="3"/>
      <c r="S208" s="3"/>
      <c r="T208" s="2"/>
      <c r="U208" s="2"/>
      <c r="V208" s="4"/>
      <c r="W208" s="4"/>
    </row>
    <row r="209" spans="1:23" s="5" customFormat="1" ht="15" customHeight="1" x14ac:dyDescent="0.25">
      <c r="A209" s="389"/>
      <c r="B209" s="50" t="s">
        <v>724</v>
      </c>
      <c r="C209" s="101">
        <v>3000000</v>
      </c>
      <c r="D209" s="55">
        <f t="shared" si="17"/>
        <v>64385443</v>
      </c>
      <c r="E209" s="36" t="s">
        <v>61</v>
      </c>
      <c r="F209" s="67"/>
      <c r="G209" s="64"/>
      <c r="H209" s="64"/>
      <c r="I209" s="64">
        <f>C209</f>
        <v>3000000</v>
      </c>
      <c r="J209" s="64"/>
      <c r="K209" s="64"/>
      <c r="L209" s="2">
        <f t="shared" si="18"/>
        <v>0</v>
      </c>
      <c r="M209" s="2"/>
      <c r="N209" s="2"/>
      <c r="O209" s="2"/>
      <c r="P209" s="2"/>
      <c r="Q209" s="2"/>
      <c r="R209" s="3"/>
      <c r="S209" s="3"/>
      <c r="T209" s="2"/>
      <c r="U209" s="2"/>
      <c r="V209" s="4"/>
      <c r="W209" s="4"/>
    </row>
    <row r="210" spans="1:23" s="5" customFormat="1" ht="15" customHeight="1" x14ac:dyDescent="0.25">
      <c r="A210" s="390"/>
      <c r="B210" s="50" t="s">
        <v>725</v>
      </c>
      <c r="C210" s="101"/>
      <c r="D210" s="55">
        <f t="shared" si="17"/>
        <v>64385443</v>
      </c>
      <c r="E210" s="36" t="s">
        <v>59</v>
      </c>
      <c r="F210" s="67"/>
      <c r="G210" s="64"/>
      <c r="H210" s="64"/>
      <c r="I210" s="64"/>
      <c r="J210" s="64"/>
      <c r="K210" s="64">
        <f>C210</f>
        <v>0</v>
      </c>
      <c r="L210" s="2">
        <f t="shared" si="18"/>
        <v>0</v>
      </c>
      <c r="M210" s="2"/>
      <c r="N210" s="2"/>
      <c r="O210" s="2"/>
      <c r="P210" s="2"/>
      <c r="Q210" s="2"/>
      <c r="R210" s="3"/>
      <c r="S210" s="3"/>
      <c r="T210" s="2"/>
      <c r="U210" s="2"/>
      <c r="V210" s="4"/>
      <c r="W210" s="4"/>
    </row>
    <row r="211" spans="1:23" s="5" customFormat="1" ht="15" customHeight="1" x14ac:dyDescent="0.25">
      <c r="B211" s="50" t="s">
        <v>726</v>
      </c>
      <c r="C211" s="101">
        <v>-152500</v>
      </c>
      <c r="D211" s="55">
        <f t="shared" si="17"/>
        <v>64232943</v>
      </c>
      <c r="E211" s="36" t="s">
        <v>530</v>
      </c>
      <c r="F211" s="67"/>
      <c r="G211" s="64"/>
      <c r="H211" s="64"/>
      <c r="I211" s="64"/>
      <c r="J211" s="64"/>
      <c r="K211" s="64">
        <f>C211</f>
        <v>-152500</v>
      </c>
      <c r="L211" s="2">
        <f t="shared" si="18"/>
        <v>0</v>
      </c>
      <c r="M211" s="2"/>
      <c r="N211" s="2"/>
      <c r="O211" s="2"/>
      <c r="P211" s="2"/>
      <c r="Q211" s="2"/>
      <c r="R211" s="3"/>
      <c r="S211" s="3"/>
      <c r="T211" s="2"/>
      <c r="U211" s="2"/>
      <c r="V211" s="4"/>
      <c r="W211" s="4"/>
    </row>
    <row r="212" spans="1:23" s="5" customFormat="1" ht="15" customHeight="1" x14ac:dyDescent="0.25">
      <c r="A212" s="389"/>
      <c r="B212" s="50" t="s">
        <v>267</v>
      </c>
      <c r="C212" s="101">
        <v>-1250000</v>
      </c>
      <c r="D212" s="55">
        <f t="shared" si="17"/>
        <v>62982943</v>
      </c>
      <c r="E212" s="36" t="s">
        <v>530</v>
      </c>
      <c r="F212" s="67"/>
      <c r="G212" s="64"/>
      <c r="H212" s="64"/>
      <c r="I212" s="64"/>
      <c r="J212" s="64"/>
      <c r="K212" s="64">
        <f>C212</f>
        <v>-1250000</v>
      </c>
      <c r="L212" s="2">
        <f t="shared" si="18"/>
        <v>0</v>
      </c>
      <c r="M212" s="2"/>
      <c r="N212" s="2"/>
      <c r="O212" s="2"/>
      <c r="P212" s="2"/>
      <c r="Q212" s="2"/>
      <c r="R212" s="3"/>
      <c r="S212" s="3"/>
      <c r="T212" s="2"/>
      <c r="U212" s="2"/>
      <c r="V212" s="4"/>
      <c r="W212" s="4"/>
    </row>
    <row r="213" spans="1:23" s="5" customFormat="1" ht="15" customHeight="1" x14ac:dyDescent="0.25">
      <c r="A213" s="390"/>
      <c r="B213" s="50" t="s">
        <v>727</v>
      </c>
      <c r="C213" s="101"/>
      <c r="D213" s="55">
        <f t="shared" si="17"/>
        <v>62982943</v>
      </c>
      <c r="E213" s="36" t="s">
        <v>59</v>
      </c>
      <c r="F213" s="67"/>
      <c r="G213" s="64"/>
      <c r="H213" s="64"/>
      <c r="I213" s="64"/>
      <c r="J213" s="64"/>
      <c r="K213" s="64">
        <f>C213</f>
        <v>0</v>
      </c>
      <c r="L213" s="2">
        <f t="shared" si="18"/>
        <v>0</v>
      </c>
      <c r="M213" s="2"/>
      <c r="N213" s="2"/>
      <c r="O213" s="2"/>
      <c r="P213" s="2"/>
      <c r="Q213" s="2"/>
      <c r="R213" s="3"/>
      <c r="S213" s="3"/>
      <c r="T213" s="2"/>
      <c r="U213" s="2"/>
      <c r="V213" s="4"/>
      <c r="W213" s="4"/>
    </row>
    <row r="214" spans="1:23" s="5" customFormat="1" ht="15" customHeight="1" x14ac:dyDescent="0.25">
      <c r="B214" s="50" t="s">
        <v>18</v>
      </c>
      <c r="C214" s="101">
        <v>30000</v>
      </c>
      <c r="D214" s="55">
        <f t="shared" si="17"/>
        <v>63012943</v>
      </c>
      <c r="E214" s="36" t="s">
        <v>1</v>
      </c>
      <c r="F214" s="67"/>
      <c r="G214" s="64"/>
      <c r="H214" s="64">
        <f>C214</f>
        <v>30000</v>
      </c>
      <c r="I214" s="64"/>
      <c r="J214" s="64"/>
      <c r="K214" s="64"/>
      <c r="L214" s="2">
        <f t="shared" si="18"/>
        <v>0</v>
      </c>
      <c r="M214" s="2"/>
      <c r="N214" s="2"/>
      <c r="O214" s="2"/>
      <c r="P214" s="2"/>
      <c r="Q214" s="2"/>
      <c r="R214" s="3"/>
      <c r="S214" s="3"/>
      <c r="T214" s="2"/>
      <c r="U214" s="2"/>
      <c r="V214" s="4"/>
      <c r="W214" s="4"/>
    </row>
    <row r="215" spans="1:23" s="5" customFormat="1" ht="15" customHeight="1" x14ac:dyDescent="0.25">
      <c r="A215" s="390"/>
      <c r="B215" s="50" t="s">
        <v>728</v>
      </c>
      <c r="C215" s="101">
        <v>500000</v>
      </c>
      <c r="D215" s="55">
        <f t="shared" si="17"/>
        <v>63512943</v>
      </c>
      <c r="E215" s="36" t="s">
        <v>61</v>
      </c>
      <c r="F215" s="67"/>
      <c r="G215" s="64"/>
      <c r="H215" s="64"/>
      <c r="I215" s="64">
        <f>C215</f>
        <v>500000</v>
      </c>
      <c r="J215" s="64"/>
      <c r="K215" s="64"/>
      <c r="L215" s="2">
        <f t="shared" si="18"/>
        <v>0</v>
      </c>
      <c r="M215" s="2"/>
      <c r="N215" s="2"/>
      <c r="O215" s="2"/>
      <c r="P215" s="2"/>
      <c r="Q215" s="2"/>
      <c r="R215" s="3"/>
      <c r="S215" s="3"/>
      <c r="T215" s="2"/>
      <c r="U215" s="2"/>
      <c r="V215" s="4"/>
      <c r="W215" s="4"/>
    </row>
    <row r="216" spans="1:23" s="5" customFormat="1" ht="15" customHeight="1" x14ac:dyDescent="0.25">
      <c r="B216" s="50" t="s">
        <v>729</v>
      </c>
      <c r="C216" s="101"/>
      <c r="D216" s="55">
        <f t="shared" si="17"/>
        <v>63512943</v>
      </c>
      <c r="E216" s="36" t="s">
        <v>59</v>
      </c>
      <c r="F216" s="67"/>
      <c r="G216" s="64"/>
      <c r="H216" s="64"/>
      <c r="I216" s="64"/>
      <c r="J216" s="64"/>
      <c r="K216" s="64">
        <f>C216</f>
        <v>0</v>
      </c>
      <c r="L216" s="2">
        <f t="shared" si="18"/>
        <v>0</v>
      </c>
      <c r="M216" s="2"/>
      <c r="N216" s="2"/>
      <c r="O216" s="2"/>
      <c r="P216" s="2"/>
      <c r="Q216" s="2"/>
      <c r="R216" s="3"/>
      <c r="S216" s="3"/>
      <c r="T216" s="2"/>
      <c r="U216" s="2"/>
      <c r="V216" s="4"/>
      <c r="W216" s="4"/>
    </row>
    <row r="217" spans="1:23" s="5" customFormat="1" ht="15" customHeight="1" x14ac:dyDescent="0.25">
      <c r="A217" s="99">
        <v>45363</v>
      </c>
      <c r="B217" s="50" t="s">
        <v>163</v>
      </c>
      <c r="C217" s="101">
        <v>-11000</v>
      </c>
      <c r="D217" s="55">
        <f t="shared" si="17"/>
        <v>63501943</v>
      </c>
      <c r="E217" s="36" t="s">
        <v>530</v>
      </c>
      <c r="F217" s="67"/>
      <c r="G217" s="64"/>
      <c r="H217" s="64"/>
      <c r="I217" s="64"/>
      <c r="J217" s="64"/>
      <c r="K217" s="64">
        <f>C217</f>
        <v>-11000</v>
      </c>
      <c r="L217" s="2">
        <f t="shared" si="18"/>
        <v>0</v>
      </c>
      <c r="M217" s="2"/>
      <c r="N217" s="2"/>
      <c r="O217" s="2"/>
      <c r="P217" s="2"/>
      <c r="Q217" s="2"/>
      <c r="R217" s="3"/>
      <c r="S217" s="3"/>
      <c r="T217" s="2"/>
      <c r="U217" s="2"/>
      <c r="V217" s="4"/>
      <c r="W217" s="4"/>
    </row>
    <row r="218" spans="1:23" s="5" customFormat="1" ht="15" customHeight="1" x14ac:dyDescent="0.25">
      <c r="B218" s="50" t="s">
        <v>730</v>
      </c>
      <c r="C218" s="101">
        <v>1700000</v>
      </c>
      <c r="D218" s="55">
        <f t="shared" si="17"/>
        <v>65201943</v>
      </c>
      <c r="E218" s="36" t="s">
        <v>61</v>
      </c>
      <c r="F218" s="67"/>
      <c r="G218" s="64"/>
      <c r="H218" s="64"/>
      <c r="I218" s="64">
        <f>C218</f>
        <v>1700000</v>
      </c>
      <c r="J218" s="64"/>
      <c r="K218" s="64"/>
      <c r="L218" s="2">
        <f t="shared" si="18"/>
        <v>0</v>
      </c>
      <c r="M218" s="2"/>
      <c r="N218" s="2"/>
      <c r="O218" s="2"/>
      <c r="P218" s="2"/>
      <c r="Q218" s="2"/>
      <c r="R218" s="3"/>
      <c r="S218" s="3"/>
      <c r="T218" s="2"/>
      <c r="U218" s="2"/>
      <c r="V218" s="4"/>
      <c r="W218" s="4"/>
    </row>
    <row r="219" spans="1:23" s="5" customFormat="1" ht="15" customHeight="1" x14ac:dyDescent="0.25">
      <c r="A219" s="389"/>
      <c r="B219" s="50" t="s">
        <v>731</v>
      </c>
      <c r="C219" s="101">
        <v>-289000</v>
      </c>
      <c r="D219" s="55">
        <f t="shared" si="17"/>
        <v>64912943</v>
      </c>
      <c r="E219" s="36" t="s">
        <v>530</v>
      </c>
      <c r="F219" s="67"/>
      <c r="G219" s="64"/>
      <c r="H219" s="64"/>
      <c r="I219" s="64"/>
      <c r="J219" s="64"/>
      <c r="K219" s="64">
        <f t="shared" ref="K219:K227" si="19">C219</f>
        <v>-289000</v>
      </c>
      <c r="L219" s="2">
        <f t="shared" si="18"/>
        <v>0</v>
      </c>
      <c r="M219" s="2"/>
      <c r="N219" s="2"/>
      <c r="O219" s="2"/>
      <c r="P219" s="2"/>
      <c r="Q219" s="2"/>
      <c r="R219" s="3"/>
      <c r="S219" s="3"/>
      <c r="T219" s="2"/>
      <c r="U219" s="2"/>
      <c r="V219" s="4"/>
      <c r="W219" s="4"/>
    </row>
    <row r="220" spans="1:23" s="5" customFormat="1" ht="15" customHeight="1" x14ac:dyDescent="0.25">
      <c r="A220" s="6"/>
      <c r="B220" s="50" t="s">
        <v>732</v>
      </c>
      <c r="C220" s="101"/>
      <c r="D220" s="55">
        <f t="shared" si="17"/>
        <v>64912943</v>
      </c>
      <c r="E220" s="36" t="s">
        <v>59</v>
      </c>
      <c r="F220" s="67"/>
      <c r="G220" s="64"/>
      <c r="H220" s="64"/>
      <c r="I220" s="64"/>
      <c r="J220" s="64"/>
      <c r="K220" s="64">
        <f t="shared" si="19"/>
        <v>0</v>
      </c>
      <c r="L220" s="2">
        <f t="shared" si="18"/>
        <v>0</v>
      </c>
      <c r="M220" s="2"/>
      <c r="N220" s="2"/>
      <c r="O220" s="2"/>
      <c r="P220" s="2"/>
      <c r="Q220" s="2"/>
      <c r="R220" s="3"/>
      <c r="S220" s="3"/>
      <c r="T220" s="2"/>
      <c r="U220" s="2"/>
      <c r="V220" s="4"/>
      <c r="W220" s="4"/>
    </row>
    <row r="221" spans="1:23" s="5" customFormat="1" ht="15" customHeight="1" x14ac:dyDescent="0.25">
      <c r="A221" s="389"/>
      <c r="B221" s="50" t="s">
        <v>733</v>
      </c>
      <c r="C221" s="101">
        <v>-100000</v>
      </c>
      <c r="D221" s="55">
        <f t="shared" si="17"/>
        <v>64812943</v>
      </c>
      <c r="E221" s="36" t="s">
        <v>530</v>
      </c>
      <c r="F221" s="67"/>
      <c r="G221" s="64"/>
      <c r="H221" s="64"/>
      <c r="I221" s="64"/>
      <c r="J221" s="64"/>
      <c r="K221" s="64">
        <f t="shared" si="19"/>
        <v>-100000</v>
      </c>
      <c r="L221" s="2">
        <f t="shared" si="18"/>
        <v>0</v>
      </c>
      <c r="M221" s="2"/>
      <c r="N221" s="2"/>
      <c r="O221" s="2"/>
      <c r="P221" s="2"/>
      <c r="Q221" s="2"/>
      <c r="R221" s="3"/>
      <c r="S221" s="3"/>
      <c r="T221" s="2"/>
      <c r="U221" s="2"/>
      <c r="V221" s="4"/>
      <c r="W221" s="4"/>
    </row>
    <row r="222" spans="1:23" s="5" customFormat="1" ht="15" customHeight="1" x14ac:dyDescent="0.25">
      <c r="A222" s="390"/>
      <c r="B222" s="50" t="s">
        <v>734</v>
      </c>
      <c r="C222" s="101"/>
      <c r="D222" s="55">
        <f t="shared" si="17"/>
        <v>64812943</v>
      </c>
      <c r="E222" s="36" t="s">
        <v>59</v>
      </c>
      <c r="F222" s="67"/>
      <c r="G222" s="64"/>
      <c r="H222" s="64"/>
      <c r="I222" s="64"/>
      <c r="J222" s="64"/>
      <c r="K222" s="64">
        <f t="shared" si="19"/>
        <v>0</v>
      </c>
      <c r="L222" s="2">
        <f t="shared" si="18"/>
        <v>0</v>
      </c>
      <c r="M222" s="2"/>
      <c r="N222" s="2"/>
      <c r="O222" s="2"/>
      <c r="P222" s="2"/>
      <c r="Q222" s="2"/>
      <c r="R222" s="3"/>
      <c r="S222" s="3"/>
      <c r="T222" s="2"/>
      <c r="U222" s="2"/>
      <c r="V222" s="4"/>
      <c r="W222" s="4"/>
    </row>
    <row r="223" spans="1:23" s="5" customFormat="1" ht="15" customHeight="1" x14ac:dyDescent="0.25">
      <c r="B223" s="50" t="s">
        <v>735</v>
      </c>
      <c r="C223" s="101">
        <v>-1246500</v>
      </c>
      <c r="D223" s="55">
        <f t="shared" si="17"/>
        <v>63566443</v>
      </c>
      <c r="E223" s="36" t="s">
        <v>530</v>
      </c>
      <c r="F223" s="67"/>
      <c r="G223" s="64"/>
      <c r="H223" s="64"/>
      <c r="I223" s="64"/>
      <c r="J223" s="64"/>
      <c r="K223" s="64">
        <f t="shared" si="19"/>
        <v>-1246500</v>
      </c>
      <c r="L223" s="2">
        <f t="shared" si="18"/>
        <v>0</v>
      </c>
      <c r="M223" s="2"/>
      <c r="N223" s="2"/>
      <c r="O223" s="2"/>
      <c r="P223" s="2"/>
      <c r="Q223" s="2"/>
      <c r="R223" s="3"/>
      <c r="S223" s="3"/>
      <c r="T223" s="2"/>
      <c r="U223" s="2"/>
      <c r="V223" s="4"/>
      <c r="W223" s="4"/>
    </row>
    <row r="224" spans="1:23" s="5" customFormat="1" ht="15" customHeight="1" x14ac:dyDescent="0.25">
      <c r="A224" s="389"/>
      <c r="B224" s="50" t="s">
        <v>736</v>
      </c>
      <c r="C224" s="101">
        <v>-1650000</v>
      </c>
      <c r="D224" s="55">
        <f t="shared" si="17"/>
        <v>61916443</v>
      </c>
      <c r="E224" s="36" t="s">
        <v>530</v>
      </c>
      <c r="F224" s="67"/>
      <c r="G224" s="64"/>
      <c r="H224" s="64"/>
      <c r="I224" s="64"/>
      <c r="J224" s="64"/>
      <c r="K224" s="64">
        <f t="shared" si="19"/>
        <v>-1650000</v>
      </c>
      <c r="L224" s="2">
        <f t="shared" si="18"/>
        <v>0</v>
      </c>
      <c r="M224" s="2"/>
      <c r="N224" s="2"/>
      <c r="O224" s="2"/>
      <c r="P224" s="2"/>
      <c r="Q224" s="2"/>
      <c r="R224" s="3"/>
      <c r="S224" s="3"/>
      <c r="T224" s="2"/>
      <c r="U224" s="2"/>
      <c r="V224" s="4"/>
      <c r="W224" s="4"/>
    </row>
    <row r="225" spans="1:23" s="5" customFormat="1" ht="15" customHeight="1" x14ac:dyDescent="0.25">
      <c r="A225" s="389"/>
      <c r="B225" s="50" t="s">
        <v>737</v>
      </c>
      <c r="C225" s="101">
        <v>-460000</v>
      </c>
      <c r="D225" s="55">
        <f t="shared" si="17"/>
        <v>61456443</v>
      </c>
      <c r="E225" s="36" t="s">
        <v>530</v>
      </c>
      <c r="F225" s="67"/>
      <c r="G225" s="64"/>
      <c r="H225" s="64"/>
      <c r="I225" s="64"/>
      <c r="J225" s="64"/>
      <c r="K225" s="64">
        <f t="shared" si="19"/>
        <v>-460000</v>
      </c>
      <c r="L225" s="2">
        <f t="shared" si="18"/>
        <v>0</v>
      </c>
      <c r="M225" s="2"/>
      <c r="N225" s="2"/>
      <c r="O225" s="2"/>
      <c r="P225" s="2"/>
      <c r="Q225" s="2"/>
      <c r="R225" s="3"/>
      <c r="S225" s="3"/>
      <c r="T225" s="2"/>
      <c r="U225" s="2"/>
      <c r="V225" s="4"/>
      <c r="W225" s="4"/>
    </row>
    <row r="226" spans="1:23" s="5" customFormat="1" ht="15" customHeight="1" x14ac:dyDescent="0.25">
      <c r="B226" s="50" t="s">
        <v>267</v>
      </c>
      <c r="C226" s="101">
        <v>-720000</v>
      </c>
      <c r="D226" s="55">
        <f t="shared" si="17"/>
        <v>60736443</v>
      </c>
      <c r="E226" s="36" t="s">
        <v>530</v>
      </c>
      <c r="F226" s="67"/>
      <c r="G226" s="64"/>
      <c r="H226" s="64"/>
      <c r="I226" s="64"/>
      <c r="J226" s="64"/>
      <c r="K226" s="64">
        <f t="shared" si="19"/>
        <v>-720000</v>
      </c>
      <c r="L226" s="2">
        <f t="shared" si="18"/>
        <v>0</v>
      </c>
      <c r="M226" s="2"/>
      <c r="N226" s="2"/>
      <c r="O226" s="2"/>
      <c r="P226" s="2"/>
      <c r="Q226" s="2"/>
      <c r="R226" s="3"/>
      <c r="S226" s="3"/>
      <c r="T226" s="2"/>
      <c r="U226" s="2"/>
      <c r="V226" s="4"/>
      <c r="W226" s="4"/>
    </row>
    <row r="227" spans="1:23" s="5" customFormat="1" ht="15" customHeight="1" x14ac:dyDescent="0.25">
      <c r="A227" s="389"/>
      <c r="B227" s="50" t="s">
        <v>304</v>
      </c>
      <c r="C227" s="101">
        <v>-297000</v>
      </c>
      <c r="D227" s="55">
        <f t="shared" si="17"/>
        <v>60439443</v>
      </c>
      <c r="E227" s="36" t="s">
        <v>530</v>
      </c>
      <c r="F227" s="67"/>
      <c r="G227" s="64"/>
      <c r="H227" s="64"/>
      <c r="I227" s="64"/>
      <c r="J227" s="64"/>
      <c r="K227" s="64">
        <f t="shared" si="19"/>
        <v>-297000</v>
      </c>
      <c r="L227" s="2">
        <f t="shared" si="18"/>
        <v>0</v>
      </c>
      <c r="M227" s="2"/>
      <c r="N227" s="2"/>
      <c r="O227" s="2"/>
      <c r="P227" s="2"/>
      <c r="Q227" s="2"/>
      <c r="R227" s="3"/>
      <c r="S227" s="3"/>
      <c r="T227" s="2"/>
      <c r="U227" s="2"/>
      <c r="V227" s="4"/>
      <c r="W227" s="4"/>
    </row>
    <row r="228" spans="1:23" s="5" customFormat="1" ht="15" customHeight="1" x14ac:dyDescent="0.25">
      <c r="A228" s="389"/>
      <c r="B228" s="50" t="s">
        <v>738</v>
      </c>
      <c r="C228" s="101">
        <v>150000</v>
      </c>
      <c r="D228" s="55">
        <f t="shared" si="17"/>
        <v>60589443</v>
      </c>
      <c r="E228" s="36" t="s">
        <v>59</v>
      </c>
      <c r="F228" s="67"/>
      <c r="G228" s="64">
        <f>C228</f>
        <v>150000</v>
      </c>
      <c r="H228" s="64"/>
      <c r="I228" s="64"/>
      <c r="J228" s="64"/>
      <c r="K228" s="64"/>
      <c r="L228" s="2">
        <f t="shared" si="18"/>
        <v>0</v>
      </c>
      <c r="M228" s="2"/>
      <c r="N228" s="2"/>
      <c r="O228" s="2"/>
      <c r="P228" s="2"/>
      <c r="Q228" s="2"/>
      <c r="R228" s="3"/>
      <c r="S228" s="3"/>
      <c r="T228" s="2"/>
      <c r="U228" s="2"/>
      <c r="V228" s="4"/>
      <c r="W228" s="4"/>
    </row>
    <row r="229" spans="1:23" s="5" customFormat="1" ht="15" customHeight="1" x14ac:dyDescent="0.25">
      <c r="B229" s="50" t="s">
        <v>18</v>
      </c>
      <c r="C229" s="101">
        <v>30000</v>
      </c>
      <c r="D229" s="55">
        <f t="shared" si="17"/>
        <v>60619443</v>
      </c>
      <c r="E229" s="36" t="s">
        <v>1</v>
      </c>
      <c r="F229" s="67"/>
      <c r="G229" s="64"/>
      <c r="H229" s="64">
        <f>C229</f>
        <v>30000</v>
      </c>
      <c r="I229" s="64"/>
      <c r="J229" s="64"/>
      <c r="K229" s="64"/>
      <c r="L229" s="2">
        <f t="shared" si="18"/>
        <v>0</v>
      </c>
      <c r="M229" s="2"/>
      <c r="N229" s="2"/>
      <c r="O229" s="2"/>
      <c r="P229" s="2"/>
      <c r="Q229" s="2"/>
      <c r="R229" s="3"/>
      <c r="S229" s="3"/>
      <c r="T229" s="2"/>
      <c r="U229" s="2"/>
      <c r="V229" s="4"/>
      <c r="W229" s="4"/>
    </row>
    <row r="230" spans="1:23" s="5" customFormat="1" ht="15" customHeight="1" x14ac:dyDescent="0.25">
      <c r="A230" s="390"/>
      <c r="B230" s="50" t="s">
        <v>739</v>
      </c>
      <c r="C230" s="101">
        <v>-9000</v>
      </c>
      <c r="D230" s="55">
        <f t="shared" si="17"/>
        <v>60610443</v>
      </c>
      <c r="E230" s="36" t="s">
        <v>530</v>
      </c>
      <c r="F230" s="67"/>
      <c r="G230" s="64"/>
      <c r="H230" s="64"/>
      <c r="I230" s="64"/>
      <c r="J230" s="64"/>
      <c r="K230" s="64">
        <f>C230</f>
        <v>-9000</v>
      </c>
      <c r="L230" s="2">
        <f t="shared" si="18"/>
        <v>0</v>
      </c>
      <c r="M230" s="2"/>
      <c r="N230" s="2"/>
      <c r="O230" s="2"/>
      <c r="P230" s="2"/>
      <c r="Q230" s="2"/>
      <c r="R230" s="3"/>
      <c r="S230" s="3"/>
      <c r="T230" s="2"/>
      <c r="U230" s="2"/>
      <c r="V230" s="4"/>
      <c r="W230" s="4"/>
    </row>
    <row r="231" spans="1:23" s="5" customFormat="1" ht="15" customHeight="1" x14ac:dyDescent="0.25">
      <c r="A231" s="390"/>
      <c r="B231" s="50" t="s">
        <v>740</v>
      </c>
      <c r="C231" s="101"/>
      <c r="D231" s="55">
        <f t="shared" si="17"/>
        <v>60610443</v>
      </c>
      <c r="E231" s="36" t="s">
        <v>59</v>
      </c>
      <c r="F231" s="67"/>
      <c r="G231" s="64"/>
      <c r="H231" s="64"/>
      <c r="I231" s="64"/>
      <c r="J231" s="64"/>
      <c r="K231" s="64">
        <f>C231</f>
        <v>0</v>
      </c>
      <c r="L231" s="2">
        <f t="shared" si="18"/>
        <v>0</v>
      </c>
      <c r="M231" s="2"/>
      <c r="N231" s="2"/>
      <c r="O231" s="2"/>
      <c r="P231" s="2"/>
      <c r="Q231" s="2"/>
      <c r="R231" s="3"/>
      <c r="S231" s="3"/>
      <c r="T231" s="2"/>
      <c r="U231" s="2"/>
      <c r="V231" s="4"/>
      <c r="W231" s="4"/>
    </row>
    <row r="232" spans="1:23" s="5" customFormat="1" ht="15" customHeight="1" x14ac:dyDescent="0.25">
      <c r="B232" s="50" t="s">
        <v>262</v>
      </c>
      <c r="C232" s="101">
        <v>-639000</v>
      </c>
      <c r="D232" s="55">
        <f t="shared" si="17"/>
        <v>59971443</v>
      </c>
      <c r="E232" s="36" t="s">
        <v>530</v>
      </c>
      <c r="F232" s="67"/>
      <c r="G232" s="64"/>
      <c r="H232" s="64"/>
      <c r="I232" s="64"/>
      <c r="J232" s="64"/>
      <c r="K232" s="64">
        <f>C232</f>
        <v>-639000</v>
      </c>
      <c r="L232" s="2">
        <f t="shared" si="18"/>
        <v>0</v>
      </c>
      <c r="M232" s="2"/>
      <c r="N232" s="2"/>
      <c r="O232" s="2"/>
      <c r="P232" s="2"/>
      <c r="Q232" s="2"/>
      <c r="R232" s="3"/>
      <c r="S232" s="3"/>
      <c r="T232" s="2"/>
      <c r="U232" s="2"/>
      <c r="V232" s="4"/>
      <c r="W232" s="4"/>
    </row>
    <row r="233" spans="1:23" s="5" customFormat="1" ht="15" customHeight="1" x14ac:dyDescent="0.25">
      <c r="A233" s="99">
        <v>45364</v>
      </c>
      <c r="B233" s="50" t="s">
        <v>163</v>
      </c>
      <c r="C233" s="101">
        <v>-11000</v>
      </c>
      <c r="D233" s="55">
        <f t="shared" si="17"/>
        <v>59960443</v>
      </c>
      <c r="E233" s="36" t="s">
        <v>530</v>
      </c>
      <c r="F233" s="67"/>
      <c r="G233" s="64"/>
      <c r="H233" s="64"/>
      <c r="I233" s="64"/>
      <c r="J233" s="64"/>
      <c r="K233" s="64">
        <f>C233</f>
        <v>-11000</v>
      </c>
      <c r="L233" s="2">
        <f t="shared" si="18"/>
        <v>0</v>
      </c>
      <c r="M233" s="2"/>
      <c r="N233" s="2"/>
      <c r="O233" s="2"/>
      <c r="P233" s="2"/>
      <c r="Q233" s="2"/>
      <c r="R233" s="3"/>
      <c r="S233" s="3"/>
      <c r="T233" s="2"/>
      <c r="U233" s="2"/>
      <c r="V233" s="4"/>
      <c r="W233" s="4"/>
    </row>
    <row r="234" spans="1:23" s="5" customFormat="1" ht="15" customHeight="1" x14ac:dyDescent="0.25">
      <c r="B234" s="50" t="s">
        <v>741</v>
      </c>
      <c r="C234" s="101">
        <v>1000000</v>
      </c>
      <c r="D234" s="55">
        <f t="shared" si="17"/>
        <v>60960443</v>
      </c>
      <c r="E234" s="36" t="s">
        <v>61</v>
      </c>
      <c r="F234" s="67"/>
      <c r="G234" s="64"/>
      <c r="H234" s="64"/>
      <c r="I234" s="64">
        <f>C234</f>
        <v>1000000</v>
      </c>
      <c r="J234" s="64"/>
      <c r="K234" s="64"/>
      <c r="L234" s="2">
        <f t="shared" si="18"/>
        <v>0</v>
      </c>
      <c r="M234" s="2"/>
      <c r="N234" s="2"/>
      <c r="O234" s="2"/>
      <c r="P234" s="2"/>
      <c r="Q234" s="2"/>
      <c r="R234" s="3"/>
      <c r="S234" s="3"/>
      <c r="T234" s="2"/>
      <c r="U234" s="2"/>
      <c r="V234" s="4"/>
      <c r="W234" s="4"/>
    </row>
    <row r="235" spans="1:23" s="5" customFormat="1" ht="15" customHeight="1" x14ac:dyDescent="0.25">
      <c r="A235" s="6"/>
      <c r="B235" s="50" t="s">
        <v>737</v>
      </c>
      <c r="C235" s="101">
        <v>-312000</v>
      </c>
      <c r="D235" s="55">
        <f t="shared" si="17"/>
        <v>60648443</v>
      </c>
      <c r="E235" s="36" t="s">
        <v>530</v>
      </c>
      <c r="F235" s="67"/>
      <c r="G235" s="64"/>
      <c r="H235" s="64"/>
      <c r="I235" s="64"/>
      <c r="J235" s="64"/>
      <c r="K235" s="64">
        <f t="shared" ref="K235:K247" si="20">C235</f>
        <v>-312000</v>
      </c>
      <c r="L235" s="2">
        <f t="shared" si="18"/>
        <v>0</v>
      </c>
      <c r="M235" s="2"/>
      <c r="N235" s="2"/>
      <c r="O235" s="2"/>
      <c r="P235" s="2"/>
      <c r="Q235" s="2"/>
      <c r="R235" s="3"/>
      <c r="S235" s="3"/>
      <c r="T235" s="2"/>
      <c r="U235" s="2"/>
      <c r="V235" s="4"/>
      <c r="W235" s="4"/>
    </row>
    <row r="236" spans="1:23" s="5" customFormat="1" ht="15" customHeight="1" x14ac:dyDescent="0.25">
      <c r="A236" s="389"/>
      <c r="B236" s="50" t="s">
        <v>274</v>
      </c>
      <c r="C236" s="101">
        <v>-98000</v>
      </c>
      <c r="D236" s="55">
        <f t="shared" si="17"/>
        <v>60550443</v>
      </c>
      <c r="E236" s="36" t="s">
        <v>530</v>
      </c>
      <c r="F236" s="67"/>
      <c r="G236" s="64"/>
      <c r="H236" s="64"/>
      <c r="I236" s="64"/>
      <c r="J236" s="64"/>
      <c r="K236" s="64">
        <f t="shared" si="20"/>
        <v>-98000</v>
      </c>
      <c r="L236" s="2">
        <f t="shared" si="18"/>
        <v>0</v>
      </c>
      <c r="M236" s="2"/>
      <c r="N236" s="2"/>
      <c r="O236" s="2"/>
      <c r="P236" s="2"/>
      <c r="Q236" s="2"/>
      <c r="R236" s="3"/>
      <c r="S236" s="3"/>
      <c r="T236" s="2"/>
      <c r="U236" s="2"/>
      <c r="V236" s="4"/>
      <c r="W236" s="4"/>
    </row>
    <row r="237" spans="1:23" s="5" customFormat="1" ht="15" customHeight="1" x14ac:dyDescent="0.25">
      <c r="A237" s="389"/>
      <c r="B237" s="50" t="s">
        <v>742</v>
      </c>
      <c r="C237" s="101">
        <v>-5781417</v>
      </c>
      <c r="D237" s="55">
        <f t="shared" si="17"/>
        <v>54769026</v>
      </c>
      <c r="E237" s="36" t="s">
        <v>530</v>
      </c>
      <c r="F237" s="67"/>
      <c r="G237" s="64"/>
      <c r="H237" s="64"/>
      <c r="I237" s="64"/>
      <c r="J237" s="64"/>
      <c r="K237" s="64">
        <f t="shared" si="20"/>
        <v>-5781417</v>
      </c>
      <c r="L237" s="2">
        <f t="shared" si="18"/>
        <v>0</v>
      </c>
      <c r="M237" s="2"/>
      <c r="N237" s="2"/>
      <c r="O237" s="2"/>
      <c r="P237" s="2"/>
      <c r="Q237" s="2"/>
      <c r="R237" s="3"/>
      <c r="S237" s="3"/>
      <c r="T237" s="2"/>
      <c r="U237" s="2"/>
      <c r="V237" s="4"/>
      <c r="W237" s="4"/>
    </row>
    <row r="238" spans="1:23" s="5" customFormat="1" ht="15" customHeight="1" x14ac:dyDescent="0.25">
      <c r="A238" s="389"/>
      <c r="B238" s="50" t="s">
        <v>743</v>
      </c>
      <c r="C238" s="101">
        <v>-24025822</v>
      </c>
      <c r="D238" s="55">
        <f t="shared" si="17"/>
        <v>30743204</v>
      </c>
      <c r="E238" s="36" t="s">
        <v>530</v>
      </c>
      <c r="F238" s="67"/>
      <c r="G238" s="64"/>
      <c r="H238" s="64"/>
      <c r="I238" s="64"/>
      <c r="J238" s="64"/>
      <c r="K238" s="64">
        <f t="shared" si="20"/>
        <v>-24025822</v>
      </c>
      <c r="L238" s="2">
        <f t="shared" si="18"/>
        <v>0</v>
      </c>
      <c r="M238" s="2"/>
      <c r="N238" s="2"/>
      <c r="O238" s="2"/>
      <c r="P238" s="2"/>
      <c r="Q238" s="2"/>
      <c r="R238" s="3"/>
      <c r="S238" s="3"/>
      <c r="T238" s="2"/>
      <c r="U238" s="2"/>
      <c r="V238" s="4"/>
      <c r="W238" s="4"/>
    </row>
    <row r="239" spans="1:23" s="5" customFormat="1" ht="15" customHeight="1" x14ac:dyDescent="0.25">
      <c r="A239" s="390"/>
      <c r="B239" s="50" t="s">
        <v>744</v>
      </c>
      <c r="C239" s="101">
        <v>-568600</v>
      </c>
      <c r="D239" s="55">
        <f t="shared" si="17"/>
        <v>30174604</v>
      </c>
      <c r="E239" s="36" t="s">
        <v>530</v>
      </c>
      <c r="F239" s="67"/>
      <c r="G239" s="64"/>
      <c r="H239" s="64"/>
      <c r="I239" s="64"/>
      <c r="J239" s="64"/>
      <c r="K239" s="64">
        <f t="shared" si="20"/>
        <v>-568600</v>
      </c>
      <c r="L239" s="2">
        <f t="shared" si="18"/>
        <v>0</v>
      </c>
      <c r="M239" s="2"/>
      <c r="N239" s="2"/>
      <c r="O239" s="2"/>
      <c r="P239" s="2"/>
      <c r="Q239" s="2"/>
      <c r="R239" s="3"/>
      <c r="S239" s="3"/>
      <c r="T239" s="2"/>
      <c r="U239" s="2"/>
      <c r="V239" s="4"/>
      <c r="W239" s="4"/>
    </row>
    <row r="240" spans="1:23" s="5" customFormat="1" ht="15" customHeight="1" x14ac:dyDescent="0.25">
      <c r="B240" s="50" t="s">
        <v>745</v>
      </c>
      <c r="C240" s="101">
        <v>-63386</v>
      </c>
      <c r="D240" s="55">
        <f t="shared" si="17"/>
        <v>30111218</v>
      </c>
      <c r="E240" s="36" t="s">
        <v>530</v>
      </c>
      <c r="F240" s="67"/>
      <c r="G240" s="64"/>
      <c r="H240" s="64"/>
      <c r="I240" s="64"/>
      <c r="J240" s="64"/>
      <c r="K240" s="64">
        <f t="shared" si="20"/>
        <v>-63386</v>
      </c>
      <c r="L240" s="2">
        <f t="shared" si="18"/>
        <v>0</v>
      </c>
      <c r="M240" s="2"/>
      <c r="N240" s="2"/>
      <c r="O240" s="2"/>
      <c r="P240" s="2"/>
      <c r="Q240" s="2"/>
      <c r="R240" s="3"/>
      <c r="S240" s="3"/>
      <c r="T240" s="2"/>
      <c r="U240" s="2"/>
      <c r="V240" s="4"/>
      <c r="W240" s="4"/>
    </row>
    <row r="241" spans="1:23" s="5" customFormat="1" ht="15" customHeight="1" x14ac:dyDescent="0.25">
      <c r="A241" s="389"/>
      <c r="B241" s="50" t="s">
        <v>280</v>
      </c>
      <c r="C241" s="101">
        <v>-1014267</v>
      </c>
      <c r="D241" s="55">
        <f t="shared" si="17"/>
        <v>29096951</v>
      </c>
      <c r="E241" s="36" t="s">
        <v>530</v>
      </c>
      <c r="F241" s="67"/>
      <c r="G241" s="64"/>
      <c r="H241" s="64"/>
      <c r="I241" s="64"/>
      <c r="J241" s="64"/>
      <c r="K241" s="64">
        <f t="shared" si="20"/>
        <v>-1014267</v>
      </c>
      <c r="L241" s="2">
        <f t="shared" si="18"/>
        <v>0</v>
      </c>
      <c r="M241" s="2"/>
      <c r="N241" s="2"/>
      <c r="O241" s="2"/>
      <c r="P241" s="2"/>
      <c r="Q241" s="2"/>
      <c r="R241" s="3"/>
      <c r="S241" s="3"/>
      <c r="T241" s="2"/>
      <c r="U241" s="2"/>
      <c r="V241" s="4"/>
      <c r="W241" s="4"/>
    </row>
    <row r="242" spans="1:23" s="5" customFormat="1" ht="15" customHeight="1" x14ac:dyDescent="0.25">
      <c r="B242" s="50" t="s">
        <v>746</v>
      </c>
      <c r="C242" s="101">
        <v>-2500000</v>
      </c>
      <c r="D242" s="55">
        <f t="shared" si="17"/>
        <v>26596951</v>
      </c>
      <c r="E242" s="36" t="s">
        <v>530</v>
      </c>
      <c r="F242" s="67"/>
      <c r="G242" s="64"/>
      <c r="H242" s="64"/>
      <c r="I242" s="64"/>
      <c r="J242" s="64"/>
      <c r="K242" s="64">
        <f t="shared" si="20"/>
        <v>-2500000</v>
      </c>
      <c r="L242" s="2">
        <f t="shared" si="18"/>
        <v>0</v>
      </c>
      <c r="M242" s="2"/>
      <c r="N242" s="2"/>
      <c r="O242" s="2"/>
      <c r="P242" s="2"/>
      <c r="Q242" s="2"/>
      <c r="R242" s="3"/>
      <c r="S242" s="3"/>
      <c r="T242" s="2"/>
      <c r="U242" s="2"/>
      <c r="V242" s="4"/>
      <c r="W242" s="4"/>
    </row>
    <row r="243" spans="1:23" s="5" customFormat="1" ht="15" customHeight="1" x14ac:dyDescent="0.25">
      <c r="A243" s="390"/>
      <c r="B243" s="50" t="s">
        <v>747</v>
      </c>
      <c r="C243" s="101">
        <v>-275734</v>
      </c>
      <c r="D243" s="55">
        <f t="shared" si="17"/>
        <v>26321217</v>
      </c>
      <c r="E243" s="36" t="s">
        <v>530</v>
      </c>
      <c r="F243" s="67"/>
      <c r="G243" s="64"/>
      <c r="H243" s="64"/>
      <c r="I243" s="64"/>
      <c r="J243" s="64"/>
      <c r="K243" s="64">
        <f t="shared" si="20"/>
        <v>-275734</v>
      </c>
      <c r="L243" s="2">
        <f t="shared" si="18"/>
        <v>0</v>
      </c>
      <c r="M243" s="2"/>
      <c r="N243" s="2"/>
      <c r="O243" s="2"/>
      <c r="P243" s="2"/>
      <c r="Q243" s="2"/>
      <c r="R243" s="3"/>
      <c r="S243" s="3"/>
      <c r="T243" s="2"/>
      <c r="U243" s="2"/>
      <c r="V243" s="4"/>
      <c r="W243" s="4"/>
    </row>
    <row r="244" spans="1:23" s="5" customFormat="1" ht="15" customHeight="1" x14ac:dyDescent="0.25">
      <c r="B244" s="50" t="s">
        <v>748</v>
      </c>
      <c r="C244" s="101">
        <v>-1121850</v>
      </c>
      <c r="D244" s="55">
        <f t="shared" si="17"/>
        <v>25199367</v>
      </c>
      <c r="E244" s="36" t="s">
        <v>530</v>
      </c>
      <c r="F244" s="67"/>
      <c r="G244" s="64"/>
      <c r="H244" s="64"/>
      <c r="I244" s="64"/>
      <c r="J244" s="64"/>
      <c r="K244" s="64">
        <f t="shared" si="20"/>
        <v>-1121850</v>
      </c>
      <c r="L244" s="2">
        <f t="shared" si="18"/>
        <v>0</v>
      </c>
      <c r="M244" s="2"/>
      <c r="N244" s="2"/>
      <c r="O244" s="2"/>
      <c r="P244" s="2"/>
      <c r="Q244" s="2"/>
      <c r="R244" s="3"/>
      <c r="S244" s="3"/>
      <c r="T244" s="2"/>
      <c r="U244" s="2"/>
      <c r="V244" s="4"/>
      <c r="W244" s="4"/>
    </row>
    <row r="245" spans="1:23" s="5" customFormat="1" ht="15" customHeight="1" x14ac:dyDescent="0.25">
      <c r="A245" s="389"/>
      <c r="B245" s="50" t="s">
        <v>749</v>
      </c>
      <c r="C245" s="101">
        <v>-2282588</v>
      </c>
      <c r="D245" s="55">
        <f t="shared" si="17"/>
        <v>22916779</v>
      </c>
      <c r="E245" s="36" t="s">
        <v>530</v>
      </c>
      <c r="F245" s="67"/>
      <c r="G245" s="64"/>
      <c r="H245" s="64"/>
      <c r="I245" s="64"/>
      <c r="J245" s="64"/>
      <c r="K245" s="64">
        <f t="shared" si="20"/>
        <v>-2282588</v>
      </c>
      <c r="L245" s="2">
        <f t="shared" si="18"/>
        <v>0</v>
      </c>
      <c r="M245" s="2"/>
      <c r="N245" s="2"/>
      <c r="O245" s="2"/>
      <c r="P245" s="2"/>
      <c r="Q245" s="2"/>
      <c r="R245" s="3"/>
      <c r="S245" s="3"/>
      <c r="T245" s="2"/>
      <c r="U245" s="2"/>
      <c r="V245" s="4"/>
      <c r="W245" s="4"/>
    </row>
    <row r="246" spans="1:23" s="5" customFormat="1" ht="15" customHeight="1" x14ac:dyDescent="0.25">
      <c r="A246" s="6"/>
      <c r="B246" s="50" t="s">
        <v>750</v>
      </c>
      <c r="C246" s="101">
        <v>-2000</v>
      </c>
      <c r="D246" s="55">
        <f t="shared" si="17"/>
        <v>22914779</v>
      </c>
      <c r="E246" s="36" t="s">
        <v>530</v>
      </c>
      <c r="F246" s="67"/>
      <c r="G246" s="64"/>
      <c r="H246" s="64"/>
      <c r="I246" s="64"/>
      <c r="J246" s="64"/>
      <c r="K246" s="64">
        <f t="shared" si="20"/>
        <v>-2000</v>
      </c>
      <c r="L246" s="2">
        <f t="shared" si="18"/>
        <v>0</v>
      </c>
      <c r="M246" s="2"/>
      <c r="N246" s="2"/>
      <c r="O246" s="2"/>
      <c r="P246" s="2"/>
      <c r="Q246" s="2"/>
      <c r="R246" s="3"/>
      <c r="S246" s="3"/>
      <c r="T246" s="2"/>
      <c r="U246" s="2"/>
      <c r="V246" s="4"/>
      <c r="W246" s="4"/>
    </row>
    <row r="247" spans="1:23" s="5" customFormat="1" ht="15" customHeight="1" x14ac:dyDescent="0.25">
      <c r="A247" s="389"/>
      <c r="B247" s="50" t="s">
        <v>190</v>
      </c>
      <c r="C247" s="101">
        <v>-230000</v>
      </c>
      <c r="D247" s="55">
        <f t="shared" si="17"/>
        <v>22684779</v>
      </c>
      <c r="E247" s="36" t="s">
        <v>530</v>
      </c>
      <c r="F247" s="67"/>
      <c r="G247" s="64"/>
      <c r="H247" s="64"/>
      <c r="I247" s="64"/>
      <c r="J247" s="64"/>
      <c r="K247" s="64">
        <f t="shared" si="20"/>
        <v>-230000</v>
      </c>
      <c r="L247" s="2">
        <f t="shared" si="18"/>
        <v>0</v>
      </c>
      <c r="M247" s="2"/>
      <c r="N247" s="2"/>
      <c r="O247" s="2"/>
      <c r="P247" s="2"/>
      <c r="Q247" s="2"/>
      <c r="R247" s="3"/>
      <c r="S247" s="3"/>
      <c r="T247" s="2"/>
      <c r="U247" s="2"/>
      <c r="V247" s="4"/>
      <c r="W247" s="4"/>
    </row>
    <row r="248" spans="1:23" s="5" customFormat="1" ht="15" customHeight="1" x14ac:dyDescent="0.25">
      <c r="B248" s="50" t="s">
        <v>751</v>
      </c>
      <c r="C248" s="101">
        <v>30375</v>
      </c>
      <c r="D248" s="55">
        <f t="shared" si="17"/>
        <v>22715154</v>
      </c>
      <c r="E248" s="36" t="s">
        <v>59</v>
      </c>
      <c r="F248" s="67"/>
      <c r="G248" s="64">
        <f>C248</f>
        <v>30375</v>
      </c>
      <c r="H248" s="64"/>
      <c r="I248" s="64"/>
      <c r="J248" s="64"/>
      <c r="K248" s="64"/>
      <c r="L248" s="2">
        <f t="shared" si="18"/>
        <v>0</v>
      </c>
      <c r="M248" s="2"/>
      <c r="N248" s="2"/>
      <c r="O248" s="2"/>
      <c r="P248" s="2"/>
      <c r="Q248" s="2"/>
      <c r="R248" s="3"/>
      <c r="S248" s="3"/>
      <c r="T248" s="2"/>
      <c r="U248" s="2"/>
      <c r="V248" s="4"/>
      <c r="W248" s="4"/>
    </row>
    <row r="249" spans="1:23" s="5" customFormat="1" ht="15" customHeight="1" x14ac:dyDescent="0.25">
      <c r="A249" s="389"/>
      <c r="B249" s="50" t="s">
        <v>752</v>
      </c>
      <c r="C249" s="101">
        <v>-150000</v>
      </c>
      <c r="D249" s="55">
        <f t="shared" si="17"/>
        <v>22565154</v>
      </c>
      <c r="E249" s="36" t="s">
        <v>530</v>
      </c>
      <c r="F249" s="67"/>
      <c r="G249" s="64"/>
      <c r="H249" s="64"/>
      <c r="I249" s="64"/>
      <c r="J249" s="64"/>
      <c r="K249" s="64">
        <f>C249</f>
        <v>-150000</v>
      </c>
      <c r="L249" s="2">
        <f t="shared" si="18"/>
        <v>0</v>
      </c>
      <c r="M249" s="2"/>
      <c r="N249" s="2"/>
      <c r="O249" s="2"/>
      <c r="P249" s="2"/>
      <c r="Q249" s="2"/>
      <c r="R249" s="3"/>
      <c r="S249" s="3"/>
      <c r="T249" s="2"/>
      <c r="U249" s="2"/>
      <c r="V249" s="4"/>
      <c r="W249" s="4"/>
    </row>
    <row r="250" spans="1:23" s="5" customFormat="1" ht="15" customHeight="1" x14ac:dyDescent="0.25">
      <c r="A250" s="389"/>
      <c r="B250" s="50" t="s">
        <v>753</v>
      </c>
      <c r="C250" s="101">
        <v>-20000</v>
      </c>
      <c r="D250" s="55">
        <f t="shared" si="17"/>
        <v>22545154</v>
      </c>
      <c r="E250" s="36" t="s">
        <v>530</v>
      </c>
      <c r="F250" s="67"/>
      <c r="G250" s="64"/>
      <c r="H250" s="64"/>
      <c r="I250" s="64"/>
      <c r="J250" s="64"/>
      <c r="K250" s="64">
        <f>C250</f>
        <v>-20000</v>
      </c>
      <c r="L250" s="2">
        <f t="shared" si="18"/>
        <v>0</v>
      </c>
      <c r="M250" s="2"/>
      <c r="N250" s="2"/>
      <c r="O250" s="2"/>
      <c r="P250" s="2"/>
      <c r="Q250" s="2"/>
      <c r="R250" s="3"/>
      <c r="S250" s="3"/>
      <c r="T250" s="2"/>
      <c r="U250" s="2"/>
      <c r="V250" s="4"/>
      <c r="W250" s="4"/>
    </row>
    <row r="251" spans="1:23" s="5" customFormat="1" ht="15" customHeight="1" x14ac:dyDescent="0.25">
      <c r="A251" s="389"/>
      <c r="B251" s="50" t="s">
        <v>654</v>
      </c>
      <c r="C251" s="101">
        <v>-126810</v>
      </c>
      <c r="D251" s="55">
        <f t="shared" si="17"/>
        <v>22418344</v>
      </c>
      <c r="E251" s="36" t="s">
        <v>530</v>
      </c>
      <c r="F251" s="67"/>
      <c r="G251" s="64"/>
      <c r="H251" s="64"/>
      <c r="I251" s="64"/>
      <c r="J251" s="64"/>
      <c r="K251" s="64">
        <f>C251</f>
        <v>-126810</v>
      </c>
      <c r="L251" s="2">
        <f t="shared" si="18"/>
        <v>0</v>
      </c>
      <c r="M251" s="2"/>
      <c r="N251" s="2"/>
      <c r="O251" s="2"/>
      <c r="P251" s="2"/>
      <c r="Q251" s="2"/>
      <c r="R251" s="3"/>
      <c r="S251" s="3"/>
      <c r="T251" s="2"/>
      <c r="U251" s="2"/>
      <c r="V251" s="4"/>
      <c r="W251" s="4"/>
    </row>
    <row r="252" spans="1:23" s="5" customFormat="1" ht="15" customHeight="1" x14ac:dyDescent="0.25">
      <c r="A252" s="6"/>
      <c r="B252" s="50" t="s">
        <v>754</v>
      </c>
      <c r="C252" s="101">
        <v>-500000</v>
      </c>
      <c r="D252" s="55">
        <f t="shared" si="17"/>
        <v>21918344</v>
      </c>
      <c r="E252" s="36" t="s">
        <v>530</v>
      </c>
      <c r="F252" s="67"/>
      <c r="G252" s="64"/>
      <c r="H252" s="64"/>
      <c r="I252" s="64"/>
      <c r="J252" s="64"/>
      <c r="K252" s="64">
        <f>C252</f>
        <v>-500000</v>
      </c>
      <c r="L252" s="2">
        <f t="shared" si="18"/>
        <v>0</v>
      </c>
      <c r="M252" s="2"/>
      <c r="N252" s="2"/>
      <c r="O252" s="2"/>
      <c r="P252" s="2"/>
      <c r="Q252" s="2"/>
      <c r="R252" s="3"/>
      <c r="S252" s="3"/>
      <c r="T252" s="2"/>
      <c r="U252" s="2"/>
      <c r="V252" s="4"/>
      <c r="W252" s="4"/>
    </row>
    <row r="253" spans="1:23" s="5" customFormat="1" ht="15" customHeight="1" x14ac:dyDescent="0.25">
      <c r="A253" s="389"/>
      <c r="B253" s="50" t="s">
        <v>755</v>
      </c>
      <c r="C253" s="101">
        <v>150000</v>
      </c>
      <c r="D253" s="55">
        <f t="shared" si="17"/>
        <v>22068344</v>
      </c>
      <c r="E253" s="36" t="s">
        <v>59</v>
      </c>
      <c r="F253" s="67"/>
      <c r="G253" s="64">
        <f>C253</f>
        <v>150000</v>
      </c>
      <c r="H253" s="64"/>
      <c r="I253" s="64"/>
      <c r="J253" s="64"/>
      <c r="K253" s="64"/>
      <c r="L253" s="2">
        <f t="shared" si="18"/>
        <v>0</v>
      </c>
      <c r="M253" s="2"/>
      <c r="N253" s="2"/>
      <c r="O253" s="2"/>
      <c r="P253" s="2"/>
      <c r="Q253" s="2"/>
      <c r="R253" s="3"/>
      <c r="S253" s="3"/>
      <c r="T253" s="2"/>
      <c r="U253" s="2"/>
      <c r="V253" s="4"/>
      <c r="W253" s="4"/>
    </row>
    <row r="254" spans="1:23" s="5" customFormat="1" ht="15" customHeight="1" x14ac:dyDescent="0.25">
      <c r="A254" s="389"/>
      <c r="B254" s="50" t="s">
        <v>654</v>
      </c>
      <c r="C254" s="101">
        <v>-19000</v>
      </c>
      <c r="D254" s="55">
        <f t="shared" si="17"/>
        <v>22049344</v>
      </c>
      <c r="E254" s="36" t="s">
        <v>530</v>
      </c>
      <c r="F254" s="67"/>
      <c r="G254" s="64"/>
      <c r="H254" s="64"/>
      <c r="I254" s="64"/>
      <c r="J254" s="64"/>
      <c r="K254" s="64">
        <f>C254</f>
        <v>-19000</v>
      </c>
      <c r="L254" s="2">
        <f t="shared" si="18"/>
        <v>0</v>
      </c>
      <c r="M254" s="2"/>
      <c r="N254" s="2"/>
      <c r="O254" s="2"/>
      <c r="P254" s="2"/>
      <c r="Q254" s="2"/>
      <c r="R254" s="3"/>
      <c r="S254" s="3"/>
      <c r="T254" s="2"/>
      <c r="U254" s="2"/>
      <c r="V254" s="4"/>
      <c r="W254" s="4"/>
    </row>
    <row r="255" spans="1:23" s="5" customFormat="1" ht="15" customHeight="1" x14ac:dyDescent="0.25">
      <c r="B255" s="50" t="s">
        <v>756</v>
      </c>
      <c r="C255" s="101"/>
      <c r="D255" s="55">
        <f t="shared" si="17"/>
        <v>22049344</v>
      </c>
      <c r="E255" s="36" t="s">
        <v>59</v>
      </c>
      <c r="F255" s="67"/>
      <c r="G255" s="64"/>
      <c r="H255" s="64"/>
      <c r="I255" s="64"/>
      <c r="J255" s="64"/>
      <c r="K255" s="64">
        <f>C255</f>
        <v>0</v>
      </c>
      <c r="L255" s="2">
        <f t="shared" si="18"/>
        <v>0</v>
      </c>
      <c r="M255" s="2"/>
      <c r="N255" s="2"/>
      <c r="O255" s="2"/>
      <c r="P255" s="2"/>
      <c r="Q255" s="2"/>
      <c r="R255" s="3"/>
      <c r="S255" s="3"/>
      <c r="T255" s="2"/>
      <c r="U255" s="2"/>
      <c r="V255" s="4"/>
      <c r="W255" s="4"/>
    </row>
    <row r="256" spans="1:23" s="5" customFormat="1" ht="15" customHeight="1" x14ac:dyDescent="0.25">
      <c r="A256" s="390"/>
      <c r="B256" s="50" t="s">
        <v>737</v>
      </c>
      <c r="C256" s="101">
        <v>-335500</v>
      </c>
      <c r="D256" s="55">
        <f t="shared" si="17"/>
        <v>21713844</v>
      </c>
      <c r="E256" s="36" t="s">
        <v>530</v>
      </c>
      <c r="F256" s="67"/>
      <c r="G256" s="64"/>
      <c r="H256" s="64"/>
      <c r="I256" s="64"/>
      <c r="J256" s="64"/>
      <c r="K256" s="64">
        <f>C256</f>
        <v>-335500</v>
      </c>
      <c r="L256" s="2">
        <f t="shared" si="18"/>
        <v>0</v>
      </c>
      <c r="M256" s="2"/>
      <c r="N256" s="2"/>
      <c r="O256" s="2"/>
      <c r="P256" s="2"/>
      <c r="Q256" s="2"/>
      <c r="R256" s="3"/>
      <c r="S256" s="3"/>
      <c r="T256" s="2"/>
      <c r="U256" s="2"/>
      <c r="V256" s="4"/>
      <c r="W256" s="4"/>
    </row>
    <row r="257" spans="1:23" s="5" customFormat="1" ht="15" customHeight="1" x14ac:dyDescent="0.25">
      <c r="B257" s="50" t="s">
        <v>757</v>
      </c>
      <c r="C257" s="101">
        <v>430000</v>
      </c>
      <c r="D257" s="55">
        <f t="shared" si="17"/>
        <v>22143844</v>
      </c>
      <c r="E257" s="36" t="s">
        <v>214</v>
      </c>
      <c r="F257" s="67">
        <f>C257</f>
        <v>430000</v>
      </c>
      <c r="G257" s="64"/>
      <c r="H257" s="64"/>
      <c r="I257" s="64"/>
      <c r="J257" s="64"/>
      <c r="K257" s="64"/>
      <c r="L257" s="2">
        <f t="shared" si="18"/>
        <v>0</v>
      </c>
      <c r="M257" s="2"/>
      <c r="N257" s="2"/>
      <c r="O257" s="2"/>
      <c r="P257" s="2"/>
      <c r="Q257" s="2"/>
      <c r="R257" s="3"/>
      <c r="S257" s="3"/>
      <c r="T257" s="2"/>
      <c r="U257" s="2"/>
      <c r="V257" s="4"/>
      <c r="W257" s="4"/>
    </row>
    <row r="258" spans="1:23" s="5" customFormat="1" ht="15" customHeight="1" x14ac:dyDescent="0.25">
      <c r="A258" s="99">
        <v>45365</v>
      </c>
      <c r="B258" s="50" t="s">
        <v>163</v>
      </c>
      <c r="C258" s="101">
        <v>-11000</v>
      </c>
      <c r="D258" s="55">
        <f t="shared" ref="D258:D321" si="21">SUM(D257,C258)</f>
        <v>22132844</v>
      </c>
      <c r="E258" s="36" t="s">
        <v>530</v>
      </c>
      <c r="F258" s="67"/>
      <c r="G258" s="64"/>
      <c r="H258" s="64"/>
      <c r="I258" s="64"/>
      <c r="J258" s="64"/>
      <c r="K258" s="64">
        <f>C258</f>
        <v>-11000</v>
      </c>
      <c r="L258" s="2">
        <f t="shared" si="18"/>
        <v>0</v>
      </c>
      <c r="M258" s="2"/>
      <c r="N258" s="2"/>
      <c r="O258" s="2"/>
      <c r="P258" s="2"/>
      <c r="Q258" s="2"/>
      <c r="R258" s="3"/>
      <c r="S258" s="3"/>
      <c r="T258" s="2"/>
      <c r="U258" s="2"/>
      <c r="V258" s="4"/>
      <c r="W258" s="4"/>
    </row>
    <row r="259" spans="1:23" s="5" customFormat="1" ht="15" customHeight="1" x14ac:dyDescent="0.25">
      <c r="B259" s="50" t="s">
        <v>758</v>
      </c>
      <c r="C259" s="101">
        <v>1000000</v>
      </c>
      <c r="D259" s="55">
        <f t="shared" si="21"/>
        <v>23132844</v>
      </c>
      <c r="E259" s="36" t="s">
        <v>61</v>
      </c>
      <c r="F259" s="67"/>
      <c r="G259" s="64"/>
      <c r="H259" s="64"/>
      <c r="I259" s="64">
        <f>C259</f>
        <v>1000000</v>
      </c>
      <c r="J259" s="64"/>
      <c r="K259" s="64"/>
      <c r="L259" s="2">
        <f t="shared" ref="L259:L322" si="22">C259-F259-G259-H259-I259-J259-K259</f>
        <v>0</v>
      </c>
      <c r="M259" s="2"/>
      <c r="N259" s="2"/>
      <c r="O259" s="2"/>
      <c r="P259" s="2"/>
      <c r="Q259" s="2"/>
      <c r="R259" s="3"/>
      <c r="S259" s="3"/>
      <c r="T259" s="2"/>
      <c r="U259" s="2"/>
      <c r="V259" s="4"/>
      <c r="W259" s="4"/>
    </row>
    <row r="260" spans="1:23" s="5" customFormat="1" ht="15" customHeight="1" x14ac:dyDescent="0.25">
      <c r="A260" s="390"/>
      <c r="B260" s="50" t="s">
        <v>264</v>
      </c>
      <c r="C260" s="101">
        <v>-33500</v>
      </c>
      <c r="D260" s="55">
        <f t="shared" si="21"/>
        <v>23099344</v>
      </c>
      <c r="E260" s="36" t="s">
        <v>530</v>
      </c>
      <c r="F260" s="67"/>
      <c r="G260" s="64"/>
      <c r="H260" s="64"/>
      <c r="I260" s="64"/>
      <c r="J260" s="64"/>
      <c r="K260" s="64">
        <f>C260</f>
        <v>-33500</v>
      </c>
      <c r="L260" s="2">
        <f t="shared" si="22"/>
        <v>0</v>
      </c>
      <c r="M260" s="2"/>
      <c r="N260" s="2"/>
      <c r="O260" s="2"/>
      <c r="P260" s="2"/>
      <c r="Q260" s="2"/>
      <c r="R260" s="3"/>
      <c r="S260" s="3"/>
      <c r="T260" s="2"/>
      <c r="U260" s="2"/>
      <c r="V260" s="4"/>
      <c r="W260" s="4"/>
    </row>
    <row r="261" spans="1:23" s="5" customFormat="1" ht="15" customHeight="1" x14ac:dyDescent="0.25">
      <c r="B261" s="50" t="s">
        <v>184</v>
      </c>
      <c r="C261" s="101">
        <v>-680000</v>
      </c>
      <c r="D261" s="55">
        <f t="shared" si="21"/>
        <v>22419344</v>
      </c>
      <c r="E261" s="36" t="s">
        <v>530</v>
      </c>
      <c r="F261" s="67"/>
      <c r="G261" s="64"/>
      <c r="H261" s="64"/>
      <c r="I261" s="64"/>
      <c r="J261" s="64"/>
      <c r="K261" s="64">
        <f>C261</f>
        <v>-680000</v>
      </c>
      <c r="L261" s="2">
        <f t="shared" si="22"/>
        <v>0</v>
      </c>
      <c r="M261" s="2"/>
      <c r="N261" s="2"/>
      <c r="O261" s="2"/>
      <c r="P261" s="2"/>
      <c r="Q261" s="2"/>
      <c r="R261" s="3"/>
      <c r="S261" s="3"/>
      <c r="T261" s="2"/>
      <c r="U261" s="2"/>
      <c r="V261" s="4"/>
      <c r="W261" s="4"/>
    </row>
    <row r="262" spans="1:23" s="5" customFormat="1" ht="15" customHeight="1" x14ac:dyDescent="0.25">
      <c r="A262" s="390"/>
      <c r="B262" s="50" t="s">
        <v>759</v>
      </c>
      <c r="C262" s="101">
        <v>-1000000</v>
      </c>
      <c r="D262" s="55">
        <f t="shared" si="21"/>
        <v>21419344</v>
      </c>
      <c r="E262" s="36" t="s">
        <v>530</v>
      </c>
      <c r="F262" s="67"/>
      <c r="G262" s="64"/>
      <c r="H262" s="64"/>
      <c r="I262" s="64"/>
      <c r="J262" s="64"/>
      <c r="K262" s="64">
        <f>C262</f>
        <v>-1000000</v>
      </c>
      <c r="L262" s="2">
        <f t="shared" si="22"/>
        <v>0</v>
      </c>
      <c r="M262" s="2"/>
      <c r="N262" s="2"/>
      <c r="O262" s="2"/>
      <c r="P262" s="2"/>
      <c r="Q262" s="2"/>
      <c r="R262" s="3"/>
      <c r="S262" s="3"/>
      <c r="T262" s="2"/>
      <c r="U262" s="2"/>
      <c r="V262" s="4"/>
      <c r="W262" s="4"/>
    </row>
    <row r="263" spans="1:23" s="5" customFormat="1" ht="15" customHeight="1" x14ac:dyDescent="0.25">
      <c r="A263" s="389"/>
      <c r="B263" s="50" t="s">
        <v>760</v>
      </c>
      <c r="C263" s="101">
        <v>1000000</v>
      </c>
      <c r="D263" s="55">
        <f t="shared" si="21"/>
        <v>22419344</v>
      </c>
      <c r="E263" s="36" t="s">
        <v>61</v>
      </c>
      <c r="F263" s="67"/>
      <c r="G263" s="64"/>
      <c r="H263" s="64"/>
      <c r="I263" s="64">
        <f>C263</f>
        <v>1000000</v>
      </c>
      <c r="J263" s="64"/>
      <c r="K263" s="64"/>
      <c r="L263" s="2">
        <f t="shared" si="22"/>
        <v>0</v>
      </c>
      <c r="M263" s="2"/>
      <c r="N263" s="2"/>
      <c r="O263" s="2"/>
      <c r="P263" s="2"/>
      <c r="Q263" s="2"/>
      <c r="R263" s="3"/>
      <c r="S263" s="3"/>
      <c r="T263" s="2"/>
      <c r="U263" s="2"/>
      <c r="V263" s="4"/>
      <c r="W263" s="4"/>
    </row>
    <row r="264" spans="1:23" s="5" customFormat="1" ht="15" customHeight="1" x14ac:dyDescent="0.25">
      <c r="A264" s="390"/>
      <c r="B264" s="50" t="s">
        <v>761</v>
      </c>
      <c r="C264" s="101">
        <v>150000</v>
      </c>
      <c r="D264" s="55">
        <f t="shared" si="21"/>
        <v>22569344</v>
      </c>
      <c r="E264" s="36" t="s">
        <v>59</v>
      </c>
      <c r="F264" s="67"/>
      <c r="G264" s="64">
        <f>C264</f>
        <v>150000</v>
      </c>
      <c r="H264" s="64"/>
      <c r="I264" s="64"/>
      <c r="J264" s="64"/>
      <c r="K264" s="64"/>
      <c r="L264" s="2">
        <f t="shared" si="22"/>
        <v>0</v>
      </c>
      <c r="M264" s="2"/>
      <c r="N264" s="2"/>
      <c r="O264" s="2"/>
      <c r="P264" s="2"/>
      <c r="Q264" s="2"/>
      <c r="R264" s="3"/>
      <c r="S264" s="3"/>
      <c r="T264" s="2"/>
      <c r="U264" s="2"/>
      <c r="V264" s="4"/>
      <c r="W264" s="4"/>
    </row>
    <row r="265" spans="1:23" s="5" customFormat="1" ht="15" customHeight="1" x14ac:dyDescent="0.25">
      <c r="A265" s="390"/>
      <c r="B265" s="50" t="s">
        <v>762</v>
      </c>
      <c r="C265" s="101">
        <v>-285000</v>
      </c>
      <c r="D265" s="55">
        <f t="shared" si="21"/>
        <v>22284344</v>
      </c>
      <c r="E265" s="36" t="s">
        <v>530</v>
      </c>
      <c r="F265" s="67"/>
      <c r="G265" s="64"/>
      <c r="H265" s="64"/>
      <c r="I265" s="64"/>
      <c r="J265" s="64"/>
      <c r="K265" s="64">
        <f>C265</f>
        <v>-285000</v>
      </c>
      <c r="L265" s="2">
        <f t="shared" si="22"/>
        <v>0</v>
      </c>
      <c r="M265" s="2"/>
      <c r="N265" s="2"/>
      <c r="O265" s="2"/>
      <c r="P265" s="2"/>
      <c r="Q265" s="2"/>
      <c r="R265" s="3"/>
      <c r="S265" s="3"/>
      <c r="T265" s="2"/>
      <c r="U265" s="2"/>
      <c r="V265" s="4"/>
      <c r="W265" s="4"/>
    </row>
    <row r="266" spans="1:23" s="5" customFormat="1" ht="15" customHeight="1" x14ac:dyDescent="0.25">
      <c r="B266" s="50" t="s">
        <v>763</v>
      </c>
      <c r="C266" s="101">
        <v>-12000000</v>
      </c>
      <c r="D266" s="55">
        <f t="shared" si="21"/>
        <v>10284344</v>
      </c>
      <c r="E266" s="36" t="s">
        <v>530</v>
      </c>
      <c r="F266" s="67"/>
      <c r="G266" s="64"/>
      <c r="H266" s="64"/>
      <c r="I266" s="64"/>
      <c r="J266" s="64"/>
      <c r="K266" s="64">
        <f>C266</f>
        <v>-12000000</v>
      </c>
      <c r="L266" s="2">
        <f t="shared" si="22"/>
        <v>0</v>
      </c>
      <c r="M266" s="2"/>
      <c r="N266" s="2"/>
      <c r="O266" s="2"/>
      <c r="P266" s="2"/>
      <c r="Q266" s="2"/>
      <c r="R266" s="3"/>
      <c r="S266" s="3"/>
      <c r="T266" s="2"/>
      <c r="U266" s="2"/>
      <c r="V266" s="4"/>
      <c r="W266" s="4"/>
    </row>
    <row r="267" spans="1:23" s="5" customFormat="1" ht="15" customHeight="1" x14ac:dyDescent="0.25">
      <c r="A267" s="389"/>
      <c r="B267" s="50" t="s">
        <v>764</v>
      </c>
      <c r="C267" s="101">
        <v>-500000</v>
      </c>
      <c r="D267" s="55">
        <f t="shared" si="21"/>
        <v>9784344</v>
      </c>
      <c r="E267" s="36" t="s">
        <v>530</v>
      </c>
      <c r="F267" s="67"/>
      <c r="G267" s="64"/>
      <c r="H267" s="64"/>
      <c r="I267" s="64"/>
      <c r="J267" s="64"/>
      <c r="K267" s="64">
        <f>C267</f>
        <v>-500000</v>
      </c>
      <c r="L267" s="2">
        <f t="shared" si="22"/>
        <v>0</v>
      </c>
      <c r="M267" s="2"/>
      <c r="N267" s="2"/>
      <c r="O267" s="2"/>
      <c r="P267" s="2"/>
      <c r="Q267" s="2"/>
      <c r="R267" s="3"/>
      <c r="S267" s="3"/>
      <c r="T267" s="2"/>
      <c r="U267" s="2"/>
      <c r="V267" s="4"/>
      <c r="W267" s="4"/>
    </row>
    <row r="268" spans="1:23" s="5" customFormat="1" ht="15" customHeight="1" x14ac:dyDescent="0.25">
      <c r="A268" s="6"/>
      <c r="B268" s="50" t="s">
        <v>765</v>
      </c>
      <c r="C268" s="101">
        <v>4000000</v>
      </c>
      <c r="D268" s="55">
        <f t="shared" si="21"/>
        <v>13784344</v>
      </c>
      <c r="E268" s="36" t="s">
        <v>61</v>
      </c>
      <c r="F268" s="67"/>
      <c r="G268" s="64"/>
      <c r="H268" s="64">
        <f>C268</f>
        <v>4000000</v>
      </c>
      <c r="I268" s="64"/>
      <c r="J268" s="64"/>
      <c r="K268" s="64"/>
      <c r="L268" s="2">
        <f t="shared" si="22"/>
        <v>0</v>
      </c>
      <c r="M268" s="2"/>
      <c r="N268" s="2"/>
      <c r="O268" s="2"/>
      <c r="P268" s="2"/>
      <c r="Q268" s="2"/>
      <c r="R268" s="3"/>
      <c r="S268" s="3"/>
      <c r="T268" s="2"/>
      <c r="U268" s="2"/>
      <c r="V268" s="4"/>
      <c r="W268" s="4"/>
    </row>
    <row r="269" spans="1:23" s="5" customFormat="1" ht="15" customHeight="1" x14ac:dyDescent="0.25">
      <c r="A269" s="390"/>
      <c r="B269" s="50" t="s">
        <v>766</v>
      </c>
      <c r="C269" s="101">
        <v>-500000</v>
      </c>
      <c r="D269" s="55">
        <f t="shared" si="21"/>
        <v>13284344</v>
      </c>
      <c r="E269" s="36" t="s">
        <v>530</v>
      </c>
      <c r="F269" s="67"/>
      <c r="G269" s="64"/>
      <c r="H269" s="64"/>
      <c r="I269" s="64"/>
      <c r="J269" s="64"/>
      <c r="K269" s="64">
        <f t="shared" ref="K269:K280" si="23">C269</f>
        <v>-500000</v>
      </c>
      <c r="L269" s="2">
        <f t="shared" si="22"/>
        <v>0</v>
      </c>
      <c r="M269" s="2"/>
      <c r="N269" s="2"/>
      <c r="O269" s="2"/>
      <c r="P269" s="2"/>
      <c r="Q269" s="2"/>
      <c r="R269" s="3"/>
      <c r="S269" s="3"/>
      <c r="T269" s="2"/>
      <c r="U269" s="2"/>
      <c r="V269" s="4"/>
      <c r="W269" s="4"/>
    </row>
    <row r="270" spans="1:23" s="5" customFormat="1" ht="15" customHeight="1" x14ac:dyDescent="0.25">
      <c r="A270" s="99">
        <v>45366</v>
      </c>
      <c r="B270" s="50" t="s">
        <v>163</v>
      </c>
      <c r="C270" s="101">
        <v>-11000</v>
      </c>
      <c r="D270" s="55">
        <f t="shared" si="21"/>
        <v>13273344</v>
      </c>
      <c r="E270" s="36" t="s">
        <v>530</v>
      </c>
      <c r="F270" s="67"/>
      <c r="G270" s="64"/>
      <c r="H270" s="64"/>
      <c r="I270" s="64"/>
      <c r="J270" s="64"/>
      <c r="K270" s="64">
        <f t="shared" si="23"/>
        <v>-11000</v>
      </c>
      <c r="L270" s="2">
        <f t="shared" si="22"/>
        <v>0</v>
      </c>
      <c r="M270" s="2"/>
      <c r="N270" s="2"/>
      <c r="O270" s="2"/>
      <c r="P270" s="2"/>
      <c r="Q270" s="2"/>
      <c r="R270" s="3"/>
      <c r="S270" s="3"/>
      <c r="T270" s="2"/>
      <c r="U270" s="2"/>
      <c r="V270" s="4"/>
      <c r="W270" s="4"/>
    </row>
    <row r="271" spans="1:23" s="5" customFormat="1" ht="15" customHeight="1" x14ac:dyDescent="0.25">
      <c r="B271" s="50" t="s">
        <v>264</v>
      </c>
      <c r="C271" s="101">
        <v>-356000</v>
      </c>
      <c r="D271" s="55">
        <f t="shared" si="21"/>
        <v>12917344</v>
      </c>
      <c r="E271" s="36" t="s">
        <v>530</v>
      </c>
      <c r="F271" s="67"/>
      <c r="G271" s="64"/>
      <c r="H271" s="64"/>
      <c r="I271" s="64"/>
      <c r="J271" s="64"/>
      <c r="K271" s="64">
        <f t="shared" si="23"/>
        <v>-356000</v>
      </c>
      <c r="L271" s="2">
        <f t="shared" si="22"/>
        <v>0</v>
      </c>
      <c r="M271" s="2"/>
      <c r="N271" s="2"/>
      <c r="O271" s="2"/>
      <c r="P271" s="2"/>
      <c r="Q271" s="2"/>
      <c r="R271" s="3"/>
      <c r="S271" s="3"/>
      <c r="T271" s="2"/>
      <c r="U271" s="2"/>
      <c r="V271" s="4"/>
      <c r="W271" s="4"/>
    </row>
    <row r="272" spans="1:23" s="5" customFormat="1" ht="15" customHeight="1" x14ac:dyDescent="0.25">
      <c r="A272" s="6"/>
      <c r="B272" s="50" t="s">
        <v>767</v>
      </c>
      <c r="C272" s="101">
        <v>-432000</v>
      </c>
      <c r="D272" s="55">
        <f t="shared" si="21"/>
        <v>12485344</v>
      </c>
      <c r="E272" s="36" t="s">
        <v>530</v>
      </c>
      <c r="F272" s="67"/>
      <c r="G272" s="64"/>
      <c r="H272" s="64"/>
      <c r="I272" s="64"/>
      <c r="J272" s="64"/>
      <c r="K272" s="64">
        <f t="shared" si="23"/>
        <v>-432000</v>
      </c>
      <c r="L272" s="2">
        <f t="shared" si="22"/>
        <v>0</v>
      </c>
      <c r="M272" s="2"/>
      <c r="N272" s="2"/>
      <c r="O272" s="2"/>
      <c r="P272" s="2"/>
      <c r="Q272" s="2"/>
      <c r="R272" s="3"/>
      <c r="S272" s="3"/>
      <c r="T272" s="2"/>
      <c r="U272" s="2"/>
      <c r="V272" s="4"/>
      <c r="W272" s="4"/>
    </row>
    <row r="273" spans="1:23" s="5" customFormat="1" ht="15" customHeight="1" x14ac:dyDescent="0.25">
      <c r="A273" s="389"/>
      <c r="B273" s="50" t="s">
        <v>526</v>
      </c>
      <c r="C273" s="101">
        <v>-38000</v>
      </c>
      <c r="D273" s="55">
        <f t="shared" si="21"/>
        <v>12447344</v>
      </c>
      <c r="E273" s="36" t="s">
        <v>530</v>
      </c>
      <c r="F273" s="67"/>
      <c r="G273" s="64"/>
      <c r="H273" s="64"/>
      <c r="I273" s="64"/>
      <c r="J273" s="64"/>
      <c r="K273" s="64">
        <f t="shared" si="23"/>
        <v>-38000</v>
      </c>
      <c r="L273" s="2">
        <f t="shared" si="22"/>
        <v>0</v>
      </c>
      <c r="M273" s="2"/>
      <c r="N273" s="2"/>
      <c r="O273" s="2"/>
      <c r="P273" s="2"/>
      <c r="Q273" s="2"/>
      <c r="R273" s="3"/>
      <c r="S273" s="3"/>
      <c r="T273" s="2"/>
      <c r="U273" s="2"/>
      <c r="V273" s="4"/>
      <c r="W273" s="4"/>
    </row>
    <row r="274" spans="1:23" s="5" customFormat="1" ht="15" customHeight="1" x14ac:dyDescent="0.25">
      <c r="A274" s="389"/>
      <c r="B274" s="50" t="s">
        <v>768</v>
      </c>
      <c r="C274" s="101">
        <v>-507500</v>
      </c>
      <c r="D274" s="55">
        <f t="shared" si="21"/>
        <v>11939844</v>
      </c>
      <c r="E274" s="36" t="s">
        <v>530</v>
      </c>
      <c r="F274" s="67"/>
      <c r="G274" s="64"/>
      <c r="H274" s="64"/>
      <c r="I274" s="64"/>
      <c r="J274" s="64"/>
      <c r="K274" s="64">
        <f t="shared" si="23"/>
        <v>-507500</v>
      </c>
      <c r="L274" s="2">
        <f t="shared" si="22"/>
        <v>0</v>
      </c>
      <c r="M274" s="2"/>
      <c r="N274" s="2"/>
      <c r="O274" s="2"/>
      <c r="P274" s="2"/>
      <c r="Q274" s="2"/>
      <c r="R274" s="3"/>
      <c r="S274" s="3"/>
      <c r="T274" s="2"/>
      <c r="U274" s="2"/>
      <c r="V274" s="4"/>
      <c r="W274" s="4"/>
    </row>
    <row r="275" spans="1:23" s="5" customFormat="1" ht="15" customHeight="1" x14ac:dyDescent="0.25">
      <c r="A275" s="390"/>
      <c r="B275" s="50" t="s">
        <v>769</v>
      </c>
      <c r="C275" s="101"/>
      <c r="D275" s="55">
        <f t="shared" si="21"/>
        <v>11939844</v>
      </c>
      <c r="E275" s="36" t="s">
        <v>61</v>
      </c>
      <c r="F275" s="67"/>
      <c r="G275" s="64"/>
      <c r="H275" s="64"/>
      <c r="I275" s="64"/>
      <c r="J275" s="64"/>
      <c r="K275" s="64">
        <f t="shared" si="23"/>
        <v>0</v>
      </c>
      <c r="L275" s="2">
        <f t="shared" si="22"/>
        <v>0</v>
      </c>
      <c r="M275" s="2"/>
      <c r="N275" s="2"/>
      <c r="O275" s="2"/>
      <c r="P275" s="2"/>
      <c r="Q275" s="2"/>
      <c r="R275" s="3"/>
      <c r="S275" s="3"/>
      <c r="T275" s="2"/>
      <c r="U275" s="2"/>
      <c r="V275" s="4"/>
      <c r="W275" s="4"/>
    </row>
    <row r="276" spans="1:23" s="5" customFormat="1" ht="15" customHeight="1" x14ac:dyDescent="0.25">
      <c r="A276" s="390"/>
      <c r="B276" s="50" t="s">
        <v>770</v>
      </c>
      <c r="C276" s="101">
        <v>-650000</v>
      </c>
      <c r="D276" s="55">
        <f t="shared" si="21"/>
        <v>11289844</v>
      </c>
      <c r="E276" s="36" t="s">
        <v>530</v>
      </c>
      <c r="F276" s="67"/>
      <c r="G276" s="64"/>
      <c r="H276" s="64"/>
      <c r="I276" s="64"/>
      <c r="J276" s="64"/>
      <c r="K276" s="64">
        <f t="shared" si="23"/>
        <v>-650000</v>
      </c>
      <c r="L276" s="2">
        <f t="shared" si="22"/>
        <v>0</v>
      </c>
      <c r="M276" s="2"/>
      <c r="N276" s="2"/>
      <c r="O276" s="2"/>
      <c r="P276" s="2"/>
      <c r="Q276" s="2"/>
      <c r="R276" s="3"/>
      <c r="S276" s="3"/>
      <c r="T276" s="2"/>
      <c r="U276" s="2"/>
      <c r="V276" s="4"/>
      <c r="W276" s="4"/>
    </row>
    <row r="277" spans="1:23" s="5" customFormat="1" ht="15" customHeight="1" x14ac:dyDescent="0.25">
      <c r="A277" s="390"/>
      <c r="B277" s="50" t="s">
        <v>771</v>
      </c>
      <c r="C277" s="101">
        <v>-300000</v>
      </c>
      <c r="D277" s="55">
        <f t="shared" si="21"/>
        <v>10989844</v>
      </c>
      <c r="E277" s="36" t="s">
        <v>530</v>
      </c>
      <c r="F277" s="67"/>
      <c r="G277" s="64"/>
      <c r="H277" s="64"/>
      <c r="I277" s="64"/>
      <c r="J277" s="64"/>
      <c r="K277" s="64">
        <f t="shared" si="23"/>
        <v>-300000</v>
      </c>
      <c r="L277" s="2">
        <f t="shared" si="22"/>
        <v>0</v>
      </c>
      <c r="M277" s="2"/>
      <c r="N277" s="2"/>
      <c r="O277" s="2"/>
      <c r="P277" s="2"/>
      <c r="Q277" s="2"/>
      <c r="R277" s="3"/>
      <c r="S277" s="3"/>
      <c r="T277" s="2"/>
      <c r="U277" s="2"/>
      <c r="V277" s="4"/>
      <c r="W277" s="4"/>
    </row>
    <row r="278" spans="1:23" s="5" customFormat="1" ht="15" customHeight="1" x14ac:dyDescent="0.25">
      <c r="B278" s="50" t="s">
        <v>772</v>
      </c>
      <c r="C278" s="101">
        <v>-300000</v>
      </c>
      <c r="D278" s="55">
        <f t="shared" si="21"/>
        <v>10689844</v>
      </c>
      <c r="E278" s="36" t="s">
        <v>530</v>
      </c>
      <c r="F278" s="67"/>
      <c r="G278" s="64"/>
      <c r="H278" s="64"/>
      <c r="I278" s="64"/>
      <c r="J278" s="64"/>
      <c r="K278" s="64">
        <f t="shared" si="23"/>
        <v>-300000</v>
      </c>
      <c r="L278" s="2">
        <f t="shared" si="22"/>
        <v>0</v>
      </c>
      <c r="M278" s="2"/>
      <c r="N278" s="2"/>
      <c r="O278" s="2"/>
      <c r="P278" s="2"/>
      <c r="Q278" s="2"/>
      <c r="R278" s="3"/>
      <c r="S278" s="3"/>
      <c r="T278" s="2"/>
      <c r="U278" s="2"/>
      <c r="V278" s="4"/>
      <c r="W278" s="4"/>
    </row>
    <row r="279" spans="1:23" s="5" customFormat="1" ht="15" customHeight="1" x14ac:dyDescent="0.25">
      <c r="A279" s="389"/>
      <c r="B279" s="50" t="s">
        <v>773</v>
      </c>
      <c r="C279" s="101">
        <v>-2000000</v>
      </c>
      <c r="D279" s="55">
        <f t="shared" si="21"/>
        <v>8689844</v>
      </c>
      <c r="E279" s="36" t="s">
        <v>530</v>
      </c>
      <c r="F279" s="67"/>
      <c r="G279" s="64"/>
      <c r="H279" s="64"/>
      <c r="I279" s="64"/>
      <c r="J279" s="64"/>
      <c r="K279" s="64">
        <f t="shared" si="23"/>
        <v>-2000000</v>
      </c>
      <c r="L279" s="2">
        <f t="shared" si="22"/>
        <v>0</v>
      </c>
      <c r="M279" s="2"/>
      <c r="N279" s="2"/>
      <c r="O279" s="2"/>
      <c r="P279" s="2"/>
      <c r="Q279" s="2"/>
      <c r="R279" s="3"/>
      <c r="S279" s="3"/>
      <c r="T279" s="2"/>
      <c r="U279" s="2"/>
      <c r="V279" s="4"/>
      <c r="W279" s="4"/>
    </row>
    <row r="280" spans="1:23" s="5" customFormat="1" ht="15" customHeight="1" x14ac:dyDescent="0.25">
      <c r="A280" s="389"/>
      <c r="B280" s="50" t="s">
        <v>640</v>
      </c>
      <c r="C280" s="101">
        <v>-1390000</v>
      </c>
      <c r="D280" s="55">
        <f t="shared" si="21"/>
        <v>7299844</v>
      </c>
      <c r="E280" s="36" t="s">
        <v>530</v>
      </c>
      <c r="F280" s="67"/>
      <c r="G280" s="64"/>
      <c r="H280" s="64"/>
      <c r="I280" s="64"/>
      <c r="J280" s="64"/>
      <c r="K280" s="64">
        <f t="shared" si="23"/>
        <v>-1390000</v>
      </c>
      <c r="L280" s="2">
        <f t="shared" si="22"/>
        <v>0</v>
      </c>
      <c r="M280" s="2"/>
      <c r="N280" s="2"/>
      <c r="O280" s="2"/>
      <c r="P280" s="2"/>
      <c r="Q280" s="2"/>
      <c r="R280" s="3"/>
      <c r="S280" s="3"/>
      <c r="T280" s="2"/>
      <c r="U280" s="2"/>
      <c r="V280" s="4"/>
      <c r="W280" s="4"/>
    </row>
    <row r="281" spans="1:23" s="5" customFormat="1" ht="15" customHeight="1" x14ac:dyDescent="0.25">
      <c r="A281" s="389"/>
      <c r="B281" s="50" t="s">
        <v>18</v>
      </c>
      <c r="C281" s="101">
        <v>80000</v>
      </c>
      <c r="D281" s="55">
        <f t="shared" si="21"/>
        <v>7379844</v>
      </c>
      <c r="E281" s="36" t="s">
        <v>1</v>
      </c>
      <c r="F281" s="67"/>
      <c r="G281" s="64"/>
      <c r="H281" s="64">
        <f>C281</f>
        <v>80000</v>
      </c>
      <c r="I281" s="64"/>
      <c r="J281" s="64"/>
      <c r="K281" s="64"/>
      <c r="L281" s="2">
        <f t="shared" si="22"/>
        <v>0</v>
      </c>
      <c r="M281" s="2"/>
      <c r="N281" s="2"/>
      <c r="O281" s="2"/>
      <c r="P281" s="2"/>
      <c r="Q281" s="2"/>
      <c r="R281" s="3"/>
      <c r="S281" s="3"/>
      <c r="T281" s="2"/>
      <c r="U281" s="2"/>
      <c r="V281" s="4"/>
      <c r="W281" s="4"/>
    </row>
    <row r="282" spans="1:23" s="5" customFormat="1" ht="15" customHeight="1" x14ac:dyDescent="0.25">
      <c r="A282" s="389"/>
      <c r="B282" s="50" t="s">
        <v>774</v>
      </c>
      <c r="C282" s="101"/>
      <c r="D282" s="55">
        <f t="shared" si="21"/>
        <v>7379844</v>
      </c>
      <c r="E282" s="36" t="s">
        <v>59</v>
      </c>
      <c r="F282" s="67"/>
      <c r="G282" s="64"/>
      <c r="H282" s="64"/>
      <c r="I282" s="64"/>
      <c r="J282" s="64"/>
      <c r="K282" s="64">
        <f t="shared" ref="K282:K288" si="24">C282</f>
        <v>0</v>
      </c>
      <c r="L282" s="2">
        <f t="shared" si="22"/>
        <v>0</v>
      </c>
      <c r="M282" s="2"/>
      <c r="N282" s="2"/>
      <c r="O282" s="2"/>
      <c r="P282" s="2"/>
      <c r="Q282" s="2"/>
      <c r="R282" s="3"/>
      <c r="S282" s="3"/>
      <c r="T282" s="2"/>
      <c r="U282" s="2"/>
      <c r="V282" s="4"/>
      <c r="W282" s="4"/>
    </row>
    <row r="283" spans="1:23" s="5" customFormat="1" ht="15" customHeight="1" x14ac:dyDescent="0.25">
      <c r="A283" s="99">
        <v>45367</v>
      </c>
      <c r="B283" s="316" t="s">
        <v>163</v>
      </c>
      <c r="C283" s="101">
        <v>-11000</v>
      </c>
      <c r="D283" s="55">
        <f t="shared" si="21"/>
        <v>7368844</v>
      </c>
      <c r="E283" s="36" t="s">
        <v>530</v>
      </c>
      <c r="F283" s="67"/>
      <c r="G283" s="64"/>
      <c r="H283" s="64"/>
      <c r="I283" s="64"/>
      <c r="J283" s="64"/>
      <c r="K283" s="64">
        <f t="shared" si="24"/>
        <v>-11000</v>
      </c>
      <c r="L283" s="2">
        <f t="shared" si="22"/>
        <v>0</v>
      </c>
      <c r="M283" s="2"/>
      <c r="N283" s="2"/>
      <c r="O283" s="2"/>
      <c r="P283" s="2"/>
      <c r="Q283" s="2"/>
      <c r="R283" s="3"/>
      <c r="S283" s="3"/>
      <c r="T283" s="2"/>
      <c r="U283" s="2"/>
      <c r="V283" s="4"/>
      <c r="W283" s="4"/>
    </row>
    <row r="284" spans="1:23" s="5" customFormat="1" ht="15" customHeight="1" x14ac:dyDescent="0.25">
      <c r="B284" s="316" t="s">
        <v>240</v>
      </c>
      <c r="C284" s="101">
        <v>-1152500</v>
      </c>
      <c r="D284" s="55">
        <f t="shared" si="21"/>
        <v>6216344</v>
      </c>
      <c r="E284" s="36" t="s">
        <v>530</v>
      </c>
      <c r="F284" s="67"/>
      <c r="G284" s="64"/>
      <c r="H284" s="64"/>
      <c r="I284" s="64"/>
      <c r="J284" s="64"/>
      <c r="K284" s="64">
        <f t="shared" si="24"/>
        <v>-1152500</v>
      </c>
      <c r="L284" s="2">
        <f t="shared" si="22"/>
        <v>0</v>
      </c>
      <c r="M284" s="2"/>
      <c r="N284" s="2"/>
      <c r="O284" s="2"/>
      <c r="P284" s="2"/>
      <c r="Q284" s="2"/>
      <c r="R284" s="3"/>
      <c r="S284" s="3"/>
      <c r="T284" s="2"/>
      <c r="U284" s="2"/>
      <c r="V284" s="4"/>
      <c r="W284" s="4"/>
    </row>
    <row r="285" spans="1:23" s="5" customFormat="1" ht="15" customHeight="1" x14ac:dyDescent="0.25">
      <c r="A285" s="389"/>
      <c r="B285" s="316" t="s">
        <v>737</v>
      </c>
      <c r="C285" s="101">
        <v>-37500</v>
      </c>
      <c r="D285" s="55">
        <f t="shared" si="21"/>
        <v>6178844</v>
      </c>
      <c r="E285" s="36" t="s">
        <v>530</v>
      </c>
      <c r="F285" s="67"/>
      <c r="G285" s="64"/>
      <c r="H285" s="64"/>
      <c r="I285" s="64"/>
      <c r="J285" s="64"/>
      <c r="K285" s="64">
        <f t="shared" si="24"/>
        <v>-37500</v>
      </c>
      <c r="L285" s="2">
        <f t="shared" si="22"/>
        <v>0</v>
      </c>
      <c r="M285" s="2"/>
      <c r="N285" s="2"/>
      <c r="O285" s="2"/>
      <c r="P285" s="2"/>
      <c r="Q285" s="2"/>
      <c r="R285" s="3"/>
      <c r="S285" s="3"/>
      <c r="T285" s="2"/>
      <c r="U285" s="2"/>
      <c r="V285" s="4"/>
      <c r="W285" s="4"/>
    </row>
    <row r="286" spans="1:23" s="5" customFormat="1" ht="15" customHeight="1" x14ac:dyDescent="0.25">
      <c r="A286" s="390"/>
      <c r="B286" s="316" t="s">
        <v>240</v>
      </c>
      <c r="C286" s="101">
        <v>-742000</v>
      </c>
      <c r="D286" s="55">
        <f t="shared" si="21"/>
        <v>5436844</v>
      </c>
      <c r="E286" s="36" t="s">
        <v>530</v>
      </c>
      <c r="F286" s="67"/>
      <c r="G286" s="64"/>
      <c r="H286" s="64"/>
      <c r="I286" s="64"/>
      <c r="J286" s="64"/>
      <c r="K286" s="64">
        <f t="shared" si="24"/>
        <v>-742000</v>
      </c>
      <c r="L286" s="2">
        <f t="shared" si="22"/>
        <v>0</v>
      </c>
      <c r="M286" s="2"/>
      <c r="N286" s="2"/>
      <c r="O286" s="2"/>
      <c r="P286" s="2"/>
      <c r="Q286" s="2"/>
      <c r="R286" s="3"/>
      <c r="S286" s="3"/>
      <c r="T286" s="2"/>
      <c r="U286" s="2"/>
      <c r="V286" s="4"/>
      <c r="W286" s="4"/>
    </row>
    <row r="287" spans="1:23" s="5" customFormat="1" ht="15" customHeight="1" x14ac:dyDescent="0.25">
      <c r="A287" s="390"/>
      <c r="B287" s="316" t="s">
        <v>775</v>
      </c>
      <c r="C287" s="101">
        <v>-15000</v>
      </c>
      <c r="D287" s="55">
        <f t="shared" si="21"/>
        <v>5421844</v>
      </c>
      <c r="E287" s="36" t="s">
        <v>530</v>
      </c>
      <c r="F287" s="67"/>
      <c r="G287" s="64"/>
      <c r="H287" s="64"/>
      <c r="I287" s="64"/>
      <c r="J287" s="64"/>
      <c r="K287" s="64">
        <f t="shared" si="24"/>
        <v>-15000</v>
      </c>
      <c r="L287" s="2">
        <f t="shared" si="22"/>
        <v>0</v>
      </c>
      <c r="M287" s="2"/>
      <c r="N287" s="2"/>
      <c r="O287" s="2"/>
      <c r="P287" s="2"/>
      <c r="Q287" s="2"/>
      <c r="R287" s="3"/>
      <c r="S287" s="3"/>
      <c r="T287" s="2"/>
      <c r="U287" s="2"/>
      <c r="V287" s="4"/>
      <c r="W287" s="4"/>
    </row>
    <row r="288" spans="1:23" s="5" customFormat="1" ht="15" customHeight="1" x14ac:dyDescent="0.25">
      <c r="B288" s="316" t="s">
        <v>776</v>
      </c>
      <c r="C288" s="101"/>
      <c r="D288" s="55">
        <f t="shared" si="21"/>
        <v>5421844</v>
      </c>
      <c r="E288" s="36" t="s">
        <v>530</v>
      </c>
      <c r="F288" s="67"/>
      <c r="G288" s="64"/>
      <c r="H288" s="64"/>
      <c r="I288" s="64"/>
      <c r="J288" s="64"/>
      <c r="K288" s="64">
        <f t="shared" si="24"/>
        <v>0</v>
      </c>
      <c r="L288" s="2">
        <f t="shared" si="22"/>
        <v>0</v>
      </c>
      <c r="M288" s="2"/>
      <c r="N288" s="2"/>
      <c r="O288" s="2"/>
      <c r="P288" s="2"/>
      <c r="Q288" s="2"/>
      <c r="R288" s="3"/>
      <c r="S288" s="3"/>
      <c r="T288" s="2"/>
      <c r="U288" s="2"/>
      <c r="V288" s="4"/>
      <c r="W288" s="4"/>
    </row>
    <row r="289" spans="1:23" s="5" customFormat="1" ht="15" customHeight="1" x14ac:dyDescent="0.25">
      <c r="A289" s="6"/>
      <c r="B289" s="316" t="s">
        <v>18</v>
      </c>
      <c r="C289" s="101">
        <v>30000</v>
      </c>
      <c r="D289" s="55">
        <f t="shared" si="21"/>
        <v>5451844</v>
      </c>
      <c r="E289" s="36" t="s">
        <v>1</v>
      </c>
      <c r="F289" s="67"/>
      <c r="G289" s="64"/>
      <c r="H289" s="64">
        <f>C289</f>
        <v>30000</v>
      </c>
      <c r="I289" s="64"/>
      <c r="J289" s="64"/>
      <c r="K289" s="64"/>
      <c r="L289" s="2">
        <f t="shared" si="22"/>
        <v>0</v>
      </c>
      <c r="M289" s="2"/>
      <c r="N289" s="2"/>
      <c r="O289" s="2"/>
      <c r="P289" s="2"/>
      <c r="Q289" s="2"/>
      <c r="R289" s="3"/>
      <c r="S289" s="3"/>
      <c r="T289" s="2"/>
      <c r="U289" s="2"/>
      <c r="V289" s="4"/>
      <c r="W289" s="4"/>
    </row>
    <row r="290" spans="1:23" s="5" customFormat="1" ht="15" customHeight="1" x14ac:dyDescent="0.25">
      <c r="A290" s="390"/>
      <c r="B290" s="316" t="s">
        <v>777</v>
      </c>
      <c r="C290" s="101"/>
      <c r="D290" s="55">
        <f t="shared" si="21"/>
        <v>5451844</v>
      </c>
      <c r="E290" s="36" t="s">
        <v>61</v>
      </c>
      <c r="F290" s="67"/>
      <c r="G290" s="64"/>
      <c r="H290" s="64"/>
      <c r="I290" s="64"/>
      <c r="J290" s="64"/>
      <c r="K290" s="64">
        <f>C290</f>
        <v>0</v>
      </c>
      <c r="L290" s="2">
        <f t="shared" si="22"/>
        <v>0</v>
      </c>
      <c r="M290" s="2"/>
      <c r="N290" s="2"/>
      <c r="O290" s="2"/>
      <c r="P290" s="2"/>
      <c r="Q290" s="2"/>
      <c r="R290" s="3"/>
      <c r="S290" s="3"/>
      <c r="T290" s="2"/>
      <c r="U290" s="2"/>
      <c r="V290" s="4"/>
      <c r="W290" s="4"/>
    </row>
    <row r="291" spans="1:23" s="5" customFormat="1" ht="15" customHeight="1" x14ac:dyDescent="0.25">
      <c r="B291" s="316" t="s">
        <v>778</v>
      </c>
      <c r="C291" s="101">
        <v>150000</v>
      </c>
      <c r="D291" s="55">
        <f t="shared" si="21"/>
        <v>5601844</v>
      </c>
      <c r="E291" s="36" t="s">
        <v>59</v>
      </c>
      <c r="F291" s="67"/>
      <c r="G291" s="64">
        <f>C291</f>
        <v>150000</v>
      </c>
      <c r="H291" s="64"/>
      <c r="I291" s="64"/>
      <c r="J291" s="64"/>
      <c r="K291" s="64"/>
      <c r="L291" s="2">
        <f t="shared" si="22"/>
        <v>0</v>
      </c>
      <c r="M291" s="2"/>
      <c r="N291" s="2"/>
      <c r="O291" s="2"/>
      <c r="P291" s="2"/>
      <c r="Q291" s="2"/>
      <c r="R291" s="3"/>
      <c r="S291" s="3"/>
      <c r="T291" s="2"/>
      <c r="U291" s="2"/>
      <c r="V291" s="4"/>
      <c r="W291" s="4"/>
    </row>
    <row r="292" spans="1:23" s="5" customFormat="1" ht="15" customHeight="1" x14ac:dyDescent="0.25">
      <c r="A292" s="99">
        <v>45368</v>
      </c>
      <c r="B292" s="316" t="s">
        <v>163</v>
      </c>
      <c r="C292" s="101">
        <v>-11000</v>
      </c>
      <c r="D292" s="55">
        <f t="shared" si="21"/>
        <v>5590844</v>
      </c>
      <c r="E292" s="36" t="s">
        <v>530</v>
      </c>
      <c r="F292" s="67"/>
      <c r="G292" s="64"/>
      <c r="H292" s="64"/>
      <c r="I292" s="64"/>
      <c r="J292" s="64"/>
      <c r="K292" s="64">
        <f>C292</f>
        <v>-11000</v>
      </c>
      <c r="L292" s="2">
        <f t="shared" si="22"/>
        <v>0</v>
      </c>
      <c r="M292" s="2"/>
      <c r="N292" s="2"/>
      <c r="O292" s="2"/>
      <c r="P292" s="2"/>
      <c r="Q292" s="2"/>
      <c r="R292" s="3"/>
      <c r="S292" s="3"/>
      <c r="T292" s="2"/>
      <c r="U292" s="2"/>
      <c r="V292" s="4"/>
      <c r="W292" s="4"/>
    </row>
    <row r="293" spans="1:23" s="5" customFormat="1" ht="15" customHeight="1" x14ac:dyDescent="0.25">
      <c r="B293" s="316" t="s">
        <v>779</v>
      </c>
      <c r="C293" s="101">
        <v>-54000</v>
      </c>
      <c r="D293" s="55">
        <f t="shared" si="21"/>
        <v>5536844</v>
      </c>
      <c r="E293" s="36" t="s">
        <v>530</v>
      </c>
      <c r="F293" s="67"/>
      <c r="G293" s="64"/>
      <c r="H293" s="64"/>
      <c r="I293" s="64"/>
      <c r="J293" s="64"/>
      <c r="K293" s="64">
        <f>C293</f>
        <v>-54000</v>
      </c>
      <c r="L293" s="2">
        <f t="shared" si="22"/>
        <v>0</v>
      </c>
      <c r="M293" s="2"/>
      <c r="N293" s="2"/>
      <c r="O293" s="2"/>
      <c r="P293" s="2"/>
      <c r="Q293" s="2"/>
      <c r="R293" s="3"/>
      <c r="S293" s="3"/>
      <c r="T293" s="2"/>
      <c r="U293" s="2"/>
      <c r="V293" s="4"/>
      <c r="W293" s="4"/>
    </row>
    <row r="294" spans="1:23" s="5" customFormat="1" ht="15" customHeight="1" x14ac:dyDescent="0.25">
      <c r="B294" s="316" t="s">
        <v>18</v>
      </c>
      <c r="C294" s="101">
        <v>30000</v>
      </c>
      <c r="D294" s="55">
        <f t="shared" si="21"/>
        <v>5566844</v>
      </c>
      <c r="E294" s="36" t="s">
        <v>1</v>
      </c>
      <c r="F294" s="67"/>
      <c r="G294" s="64"/>
      <c r="H294" s="64">
        <f>C294</f>
        <v>30000</v>
      </c>
      <c r="I294" s="64"/>
      <c r="J294" s="64"/>
      <c r="K294" s="64"/>
      <c r="L294" s="2">
        <f t="shared" si="22"/>
        <v>0</v>
      </c>
      <c r="M294" s="2"/>
      <c r="N294" s="2"/>
      <c r="O294" s="2"/>
      <c r="P294" s="2"/>
      <c r="Q294" s="2"/>
      <c r="R294" s="3"/>
      <c r="S294" s="3"/>
      <c r="T294" s="2"/>
      <c r="U294" s="2"/>
      <c r="V294" s="4"/>
      <c r="W294" s="4"/>
    </row>
    <row r="295" spans="1:23" s="5" customFormat="1" ht="15" customHeight="1" x14ac:dyDescent="0.25">
      <c r="A295" s="99">
        <v>45369</v>
      </c>
      <c r="B295" s="316" t="s">
        <v>163</v>
      </c>
      <c r="C295" s="101">
        <v>-11000</v>
      </c>
      <c r="D295" s="55">
        <f t="shared" si="21"/>
        <v>5555844</v>
      </c>
      <c r="E295" s="36" t="s">
        <v>530</v>
      </c>
      <c r="F295" s="67"/>
      <c r="G295" s="64"/>
      <c r="H295" s="64"/>
      <c r="I295" s="64"/>
      <c r="J295" s="64"/>
      <c r="K295" s="64">
        <f>C295</f>
        <v>-11000</v>
      </c>
      <c r="L295" s="2">
        <f t="shared" si="22"/>
        <v>0</v>
      </c>
      <c r="M295" s="2"/>
      <c r="N295" s="2"/>
      <c r="O295" s="2"/>
      <c r="P295" s="2"/>
      <c r="Q295" s="2"/>
      <c r="R295" s="3"/>
      <c r="S295" s="3"/>
      <c r="T295" s="2"/>
      <c r="U295" s="2"/>
      <c r="V295" s="4"/>
      <c r="W295" s="4"/>
    </row>
    <row r="296" spans="1:23" s="5" customFormat="1" ht="15" customHeight="1" x14ac:dyDescent="0.25">
      <c r="B296" s="316" t="s">
        <v>780</v>
      </c>
      <c r="C296" s="101">
        <v>-427000</v>
      </c>
      <c r="D296" s="55">
        <f t="shared" si="21"/>
        <v>5128844</v>
      </c>
      <c r="E296" s="36" t="s">
        <v>530</v>
      </c>
      <c r="F296" s="67"/>
      <c r="G296" s="64"/>
      <c r="H296" s="64"/>
      <c r="I296" s="64"/>
      <c r="J296" s="64"/>
      <c r="K296" s="64">
        <f>C296</f>
        <v>-427000</v>
      </c>
      <c r="L296" s="2">
        <f t="shared" si="22"/>
        <v>0</v>
      </c>
      <c r="M296" s="2"/>
      <c r="N296" s="2"/>
      <c r="O296" s="2"/>
      <c r="P296" s="2"/>
      <c r="Q296" s="2"/>
      <c r="R296" s="3"/>
      <c r="S296" s="3"/>
      <c r="T296" s="2"/>
      <c r="U296" s="2"/>
      <c r="V296" s="4"/>
      <c r="W296" s="4"/>
    </row>
    <row r="297" spans="1:23" s="5" customFormat="1" ht="15" customHeight="1" x14ac:dyDescent="0.25">
      <c r="A297" s="390"/>
      <c r="B297" s="316" t="s">
        <v>781</v>
      </c>
      <c r="C297" s="101">
        <v>2300000</v>
      </c>
      <c r="D297" s="55">
        <f t="shared" si="21"/>
        <v>7428844</v>
      </c>
      <c r="E297" s="36" t="s">
        <v>61</v>
      </c>
      <c r="F297" s="67"/>
      <c r="G297" s="64"/>
      <c r="H297" s="64"/>
      <c r="I297" s="64">
        <f>C297</f>
        <v>2300000</v>
      </c>
      <c r="J297" s="64"/>
      <c r="K297" s="64"/>
      <c r="L297" s="2">
        <f t="shared" si="22"/>
        <v>0</v>
      </c>
      <c r="M297" s="2"/>
      <c r="N297" s="2"/>
      <c r="O297" s="2"/>
      <c r="P297" s="2"/>
      <c r="Q297" s="2"/>
      <c r="R297" s="3"/>
      <c r="S297" s="3"/>
      <c r="T297" s="2"/>
      <c r="U297" s="2"/>
      <c r="V297" s="4"/>
      <c r="W297" s="4"/>
    </row>
    <row r="298" spans="1:23" s="5" customFormat="1" ht="15" customHeight="1" x14ac:dyDescent="0.25">
      <c r="A298" s="389"/>
      <c r="B298" s="316" t="s">
        <v>782</v>
      </c>
      <c r="C298" s="101">
        <v>-2493000</v>
      </c>
      <c r="D298" s="55">
        <f t="shared" si="21"/>
        <v>4935844</v>
      </c>
      <c r="E298" s="36" t="s">
        <v>530</v>
      </c>
      <c r="F298" s="67"/>
      <c r="G298" s="64"/>
      <c r="H298" s="64"/>
      <c r="I298" s="64"/>
      <c r="J298" s="64"/>
      <c r="K298" s="64">
        <f>C298</f>
        <v>-2493000</v>
      </c>
      <c r="L298" s="2">
        <f t="shared" si="22"/>
        <v>0</v>
      </c>
      <c r="M298" s="2"/>
      <c r="N298" s="2"/>
      <c r="O298" s="2"/>
      <c r="P298" s="2"/>
      <c r="Q298" s="2"/>
      <c r="R298" s="3"/>
      <c r="S298" s="3"/>
      <c r="T298" s="2"/>
      <c r="U298" s="2"/>
      <c r="V298" s="4"/>
      <c r="W298" s="4"/>
    </row>
    <row r="299" spans="1:23" s="5" customFormat="1" ht="15" customHeight="1" x14ac:dyDescent="0.25">
      <c r="B299" s="316" t="s">
        <v>783</v>
      </c>
      <c r="C299" s="101">
        <v>-350000</v>
      </c>
      <c r="D299" s="55">
        <f t="shared" si="21"/>
        <v>4585844</v>
      </c>
      <c r="E299" s="36" t="s">
        <v>530</v>
      </c>
      <c r="F299" s="67"/>
      <c r="G299" s="64"/>
      <c r="H299" s="64"/>
      <c r="I299" s="64"/>
      <c r="J299" s="64"/>
      <c r="K299" s="64">
        <f>C299</f>
        <v>-350000</v>
      </c>
      <c r="L299" s="2">
        <f t="shared" si="22"/>
        <v>0</v>
      </c>
      <c r="M299" s="2"/>
      <c r="N299" s="2"/>
      <c r="O299" s="2"/>
      <c r="P299" s="2"/>
      <c r="Q299" s="2"/>
      <c r="R299" s="3"/>
      <c r="S299" s="3"/>
      <c r="T299" s="2"/>
      <c r="U299" s="2"/>
      <c r="V299" s="4"/>
      <c r="W299" s="4"/>
    </row>
    <row r="300" spans="1:23" s="5" customFormat="1" ht="15" customHeight="1" x14ac:dyDescent="0.25">
      <c r="A300" s="390"/>
      <c r="B300" s="316" t="s">
        <v>784</v>
      </c>
      <c r="C300" s="101">
        <v>310000</v>
      </c>
      <c r="D300" s="55">
        <f t="shared" si="21"/>
        <v>4895844</v>
      </c>
      <c r="E300" s="36" t="s">
        <v>61</v>
      </c>
      <c r="F300" s="67"/>
      <c r="G300" s="64"/>
      <c r="H300" s="64"/>
      <c r="I300" s="64">
        <f>C300</f>
        <v>310000</v>
      </c>
      <c r="J300" s="64"/>
      <c r="K300" s="64"/>
      <c r="L300" s="2">
        <f t="shared" si="22"/>
        <v>0</v>
      </c>
      <c r="M300" s="2"/>
      <c r="N300" s="2"/>
      <c r="O300" s="2"/>
      <c r="P300" s="2"/>
      <c r="Q300" s="2"/>
      <c r="R300" s="3"/>
      <c r="S300" s="3"/>
      <c r="T300" s="2"/>
      <c r="U300" s="2"/>
      <c r="V300" s="4"/>
      <c r="W300" s="4"/>
    </row>
    <row r="301" spans="1:23" s="5" customFormat="1" ht="15" customHeight="1" x14ac:dyDescent="0.25">
      <c r="A301" s="390"/>
      <c r="B301" s="316" t="s">
        <v>737</v>
      </c>
      <c r="C301" s="101">
        <v>-165000</v>
      </c>
      <c r="D301" s="55">
        <f t="shared" si="21"/>
        <v>4730844</v>
      </c>
      <c r="E301" s="36" t="s">
        <v>530</v>
      </c>
      <c r="F301" s="67"/>
      <c r="G301" s="64"/>
      <c r="H301" s="64"/>
      <c r="I301" s="64"/>
      <c r="J301" s="64"/>
      <c r="K301" s="64">
        <f>C301</f>
        <v>-165000</v>
      </c>
      <c r="L301" s="2">
        <f t="shared" si="22"/>
        <v>0</v>
      </c>
      <c r="M301" s="2"/>
      <c r="N301" s="2"/>
      <c r="O301" s="2"/>
      <c r="P301" s="2"/>
      <c r="Q301" s="2"/>
      <c r="R301" s="3"/>
      <c r="S301" s="3"/>
      <c r="T301" s="2"/>
      <c r="U301" s="2"/>
      <c r="V301" s="4"/>
      <c r="W301" s="4"/>
    </row>
    <row r="302" spans="1:23" s="5" customFormat="1" ht="15" customHeight="1" x14ac:dyDescent="0.25">
      <c r="B302" s="316" t="s">
        <v>785</v>
      </c>
      <c r="C302" s="101"/>
      <c r="D302" s="55">
        <f t="shared" si="21"/>
        <v>4730844</v>
      </c>
      <c r="E302" s="36" t="s">
        <v>61</v>
      </c>
      <c r="F302" s="67"/>
      <c r="G302" s="64"/>
      <c r="H302" s="64"/>
      <c r="I302" s="64">
        <f>C302</f>
        <v>0</v>
      </c>
      <c r="J302" s="64"/>
      <c r="K302" s="64">
        <f>C302</f>
        <v>0</v>
      </c>
      <c r="L302" s="2">
        <f t="shared" si="22"/>
        <v>0</v>
      </c>
      <c r="M302" s="2"/>
      <c r="N302" s="2"/>
      <c r="O302" s="2"/>
      <c r="P302" s="2"/>
      <c r="Q302" s="2"/>
      <c r="R302" s="3"/>
      <c r="S302" s="3"/>
      <c r="T302" s="2"/>
      <c r="U302" s="2"/>
      <c r="V302" s="4"/>
      <c r="W302" s="4"/>
    </row>
    <row r="303" spans="1:23" s="5" customFormat="1" ht="15" customHeight="1" x14ac:dyDescent="0.25">
      <c r="A303" s="389"/>
      <c r="B303" s="316" t="s">
        <v>786</v>
      </c>
      <c r="C303" s="101">
        <v>-12000</v>
      </c>
      <c r="D303" s="55">
        <f t="shared" si="21"/>
        <v>4718844</v>
      </c>
      <c r="E303" s="36" t="s">
        <v>530</v>
      </c>
      <c r="F303" s="67"/>
      <c r="G303" s="64"/>
      <c r="H303" s="64"/>
      <c r="I303" s="64"/>
      <c r="J303" s="64"/>
      <c r="K303" s="64">
        <f>C303</f>
        <v>-12000</v>
      </c>
      <c r="L303" s="2">
        <f t="shared" si="22"/>
        <v>0</v>
      </c>
      <c r="M303" s="2"/>
      <c r="N303" s="2"/>
      <c r="O303" s="2"/>
      <c r="P303" s="2"/>
      <c r="Q303" s="2"/>
      <c r="R303" s="3"/>
      <c r="S303" s="3"/>
      <c r="T303" s="2"/>
      <c r="U303" s="2"/>
      <c r="V303" s="4"/>
      <c r="W303" s="4"/>
    </row>
    <row r="304" spans="1:23" s="5" customFormat="1" ht="15" customHeight="1" x14ac:dyDescent="0.25">
      <c r="A304" s="99">
        <v>45370</v>
      </c>
      <c r="B304" s="50" t="s">
        <v>163</v>
      </c>
      <c r="C304" s="101">
        <v>-11000</v>
      </c>
      <c r="D304" s="55">
        <f t="shared" si="21"/>
        <v>4707844</v>
      </c>
      <c r="E304" s="36" t="s">
        <v>530</v>
      </c>
      <c r="F304" s="67"/>
      <c r="G304" s="64"/>
      <c r="H304" s="64"/>
      <c r="I304" s="64"/>
      <c r="J304" s="64"/>
      <c r="K304" s="64">
        <f>C304</f>
        <v>-11000</v>
      </c>
      <c r="L304" s="2">
        <f t="shared" si="22"/>
        <v>0</v>
      </c>
      <c r="M304" s="2"/>
      <c r="N304" s="2"/>
      <c r="O304" s="2"/>
      <c r="P304" s="2"/>
      <c r="Q304" s="2"/>
      <c r="R304" s="3"/>
      <c r="S304" s="3"/>
      <c r="T304" s="2"/>
      <c r="U304" s="2"/>
      <c r="V304" s="4"/>
      <c r="W304" s="4"/>
    </row>
    <row r="305" spans="1:23" s="5" customFormat="1" ht="15" customHeight="1" x14ac:dyDescent="0.25">
      <c r="B305" s="50" t="s">
        <v>787</v>
      </c>
      <c r="C305" s="101">
        <v>1000000</v>
      </c>
      <c r="D305" s="55">
        <f t="shared" si="21"/>
        <v>5707844</v>
      </c>
      <c r="E305" s="36" t="s">
        <v>61</v>
      </c>
      <c r="F305" s="67"/>
      <c r="G305" s="64"/>
      <c r="H305" s="64"/>
      <c r="I305" s="64">
        <f>C305</f>
        <v>1000000</v>
      </c>
      <c r="J305" s="64"/>
      <c r="K305" s="64"/>
      <c r="L305" s="2">
        <f t="shared" si="22"/>
        <v>0</v>
      </c>
      <c r="M305" s="2"/>
      <c r="N305" s="2"/>
      <c r="O305" s="2"/>
      <c r="P305" s="2"/>
      <c r="Q305" s="2"/>
      <c r="R305" s="3"/>
      <c r="S305" s="3"/>
      <c r="T305" s="2"/>
      <c r="U305" s="2"/>
      <c r="V305" s="4"/>
      <c r="W305" s="4"/>
    </row>
    <row r="306" spans="1:23" s="5" customFormat="1" ht="15" customHeight="1" x14ac:dyDescent="0.25">
      <c r="A306" s="389"/>
      <c r="B306" s="50" t="s">
        <v>788</v>
      </c>
      <c r="C306" s="101">
        <v>-100000</v>
      </c>
      <c r="D306" s="55">
        <f t="shared" si="21"/>
        <v>5607844</v>
      </c>
      <c r="E306" s="36" t="s">
        <v>530</v>
      </c>
      <c r="F306" s="67"/>
      <c r="G306" s="64"/>
      <c r="H306" s="64"/>
      <c r="I306" s="64"/>
      <c r="J306" s="64"/>
      <c r="K306" s="64">
        <f>C306</f>
        <v>-100000</v>
      </c>
      <c r="L306" s="2">
        <f t="shared" si="22"/>
        <v>0</v>
      </c>
      <c r="M306" s="2"/>
      <c r="N306" s="2"/>
      <c r="O306" s="2"/>
      <c r="P306" s="2"/>
      <c r="Q306" s="2"/>
      <c r="R306" s="3"/>
      <c r="S306" s="3"/>
      <c r="T306" s="2"/>
      <c r="U306" s="2"/>
      <c r="V306" s="4"/>
      <c r="W306" s="4"/>
    </row>
    <row r="307" spans="1:23" s="5" customFormat="1" ht="15" customHeight="1" x14ac:dyDescent="0.25">
      <c r="A307" s="390"/>
      <c r="B307" s="50" t="s">
        <v>789</v>
      </c>
      <c r="C307" s="101">
        <v>20000000</v>
      </c>
      <c r="D307" s="55">
        <f t="shared" si="21"/>
        <v>25607844</v>
      </c>
      <c r="E307" s="36" t="s">
        <v>217</v>
      </c>
      <c r="F307" s="67"/>
      <c r="G307" s="64"/>
      <c r="H307" s="64"/>
      <c r="I307" s="64"/>
      <c r="J307" s="64">
        <f>C307</f>
        <v>20000000</v>
      </c>
      <c r="K307" s="64"/>
      <c r="L307" s="2">
        <f t="shared" si="22"/>
        <v>0</v>
      </c>
      <c r="M307" s="2"/>
      <c r="N307" s="2"/>
      <c r="O307" s="2"/>
      <c r="P307" s="2"/>
      <c r="Q307" s="2"/>
      <c r="R307" s="3"/>
      <c r="S307" s="3"/>
      <c r="T307" s="2"/>
      <c r="U307" s="2"/>
      <c r="V307" s="4"/>
      <c r="W307" s="4"/>
    </row>
    <row r="308" spans="1:23" s="5" customFormat="1" ht="15" customHeight="1" x14ac:dyDescent="0.25">
      <c r="A308" s="389"/>
      <c r="B308" s="50" t="s">
        <v>737</v>
      </c>
      <c r="C308" s="101">
        <v>-211000</v>
      </c>
      <c r="D308" s="55">
        <f t="shared" si="21"/>
        <v>25396844</v>
      </c>
      <c r="E308" s="36" t="s">
        <v>530</v>
      </c>
      <c r="F308" s="67"/>
      <c r="G308" s="64"/>
      <c r="H308" s="64"/>
      <c r="I308" s="64"/>
      <c r="J308" s="64"/>
      <c r="K308" s="64">
        <f>C308</f>
        <v>-211000</v>
      </c>
      <c r="L308" s="2">
        <f t="shared" si="22"/>
        <v>0</v>
      </c>
      <c r="M308" s="2"/>
      <c r="N308" s="2"/>
      <c r="O308" s="2"/>
      <c r="P308" s="2"/>
      <c r="Q308" s="2"/>
      <c r="R308" s="3"/>
      <c r="S308" s="3"/>
      <c r="T308" s="2"/>
      <c r="U308" s="2"/>
      <c r="V308" s="4"/>
      <c r="W308" s="4"/>
    </row>
    <row r="309" spans="1:23" s="5" customFormat="1" ht="15" customHeight="1" x14ac:dyDescent="0.25">
      <c r="B309" s="50" t="s">
        <v>790</v>
      </c>
      <c r="C309" s="101">
        <v>-5190930</v>
      </c>
      <c r="D309" s="55">
        <f t="shared" si="21"/>
        <v>20205914</v>
      </c>
      <c r="E309" s="36" t="s">
        <v>530</v>
      </c>
      <c r="F309" s="67"/>
      <c r="G309" s="64"/>
      <c r="H309" s="64"/>
      <c r="I309" s="64"/>
      <c r="J309" s="64"/>
      <c r="K309" s="64">
        <f>C309</f>
        <v>-5190930</v>
      </c>
      <c r="L309" s="2">
        <f t="shared" si="22"/>
        <v>0</v>
      </c>
      <c r="M309" s="2"/>
      <c r="N309" s="2"/>
      <c r="O309" s="2"/>
      <c r="P309" s="2"/>
      <c r="Q309" s="2"/>
      <c r="R309" s="3"/>
      <c r="S309" s="3"/>
      <c r="T309" s="2"/>
      <c r="U309" s="2"/>
      <c r="V309" s="4"/>
      <c r="W309" s="4"/>
    </row>
    <row r="310" spans="1:23" s="5" customFormat="1" ht="15" customHeight="1" x14ac:dyDescent="0.25">
      <c r="A310" s="6"/>
      <c r="B310" s="50" t="s">
        <v>791</v>
      </c>
      <c r="C310" s="101">
        <v>-662356</v>
      </c>
      <c r="D310" s="55">
        <f t="shared" si="21"/>
        <v>19543558</v>
      </c>
      <c r="E310" s="36" t="s">
        <v>530</v>
      </c>
      <c r="F310" s="67"/>
      <c r="G310" s="64"/>
      <c r="H310" s="64"/>
      <c r="I310" s="64"/>
      <c r="J310" s="64"/>
      <c r="K310" s="64">
        <f>C310</f>
        <v>-662356</v>
      </c>
      <c r="L310" s="2">
        <f t="shared" si="22"/>
        <v>0</v>
      </c>
      <c r="M310" s="2"/>
      <c r="N310" s="2"/>
      <c r="O310" s="2"/>
      <c r="P310" s="2"/>
      <c r="Q310" s="2"/>
      <c r="R310" s="3"/>
      <c r="S310" s="3"/>
      <c r="T310" s="2"/>
      <c r="U310" s="2"/>
      <c r="V310" s="4"/>
      <c r="W310" s="4"/>
    </row>
    <row r="311" spans="1:23" s="5" customFormat="1" ht="15" customHeight="1" x14ac:dyDescent="0.25">
      <c r="A311" s="389"/>
      <c r="B311" s="50" t="s">
        <v>276</v>
      </c>
      <c r="C311" s="101">
        <v>-717000</v>
      </c>
      <c r="D311" s="55">
        <f t="shared" si="21"/>
        <v>18826558</v>
      </c>
      <c r="E311" s="36" t="s">
        <v>530</v>
      </c>
      <c r="F311" s="67"/>
      <c r="G311" s="64"/>
      <c r="H311" s="64"/>
      <c r="I311" s="64"/>
      <c r="J311" s="64"/>
      <c r="K311" s="64">
        <f>C311</f>
        <v>-717000</v>
      </c>
      <c r="L311" s="2">
        <f t="shared" si="22"/>
        <v>0</v>
      </c>
      <c r="M311" s="2"/>
      <c r="N311" s="2"/>
      <c r="O311" s="2"/>
      <c r="P311" s="2"/>
      <c r="Q311" s="2"/>
      <c r="R311" s="3"/>
      <c r="S311" s="3"/>
      <c r="T311" s="2"/>
      <c r="U311" s="2"/>
      <c r="V311" s="4"/>
      <c r="W311" s="4"/>
    </row>
    <row r="312" spans="1:23" s="5" customFormat="1" ht="15" customHeight="1" x14ac:dyDescent="0.25">
      <c r="A312" s="389"/>
      <c r="B312" s="50" t="s">
        <v>792</v>
      </c>
      <c r="C312" s="101">
        <v>-217500</v>
      </c>
      <c r="D312" s="55">
        <f t="shared" si="21"/>
        <v>18609058</v>
      </c>
      <c r="E312" s="36" t="s">
        <v>530</v>
      </c>
      <c r="F312" s="67"/>
      <c r="G312" s="64"/>
      <c r="H312" s="64"/>
      <c r="I312" s="64"/>
      <c r="J312" s="64"/>
      <c r="K312" s="64">
        <f>C312</f>
        <v>-217500</v>
      </c>
      <c r="L312" s="2">
        <f t="shared" si="22"/>
        <v>0</v>
      </c>
      <c r="M312" s="2"/>
      <c r="N312" s="2"/>
      <c r="O312" s="2"/>
      <c r="P312" s="2"/>
      <c r="Q312" s="2"/>
      <c r="R312" s="3"/>
      <c r="S312" s="3"/>
      <c r="T312" s="2"/>
      <c r="U312" s="2"/>
      <c r="V312" s="4"/>
      <c r="W312" s="4"/>
    </row>
    <row r="313" spans="1:23" s="5" customFormat="1" ht="15" customHeight="1" x14ac:dyDescent="0.25">
      <c r="A313" s="390"/>
      <c r="B313" s="50" t="s">
        <v>793</v>
      </c>
      <c r="C313" s="101">
        <v>440000</v>
      </c>
      <c r="D313" s="55">
        <f t="shared" si="21"/>
        <v>19049058</v>
      </c>
      <c r="E313" s="36" t="s">
        <v>59</v>
      </c>
      <c r="F313" s="67"/>
      <c r="G313" s="64">
        <f>C313</f>
        <v>440000</v>
      </c>
      <c r="H313" s="64"/>
      <c r="I313" s="64"/>
      <c r="J313" s="64"/>
      <c r="K313" s="64"/>
      <c r="L313" s="2">
        <f t="shared" si="22"/>
        <v>0</v>
      </c>
      <c r="M313" s="2"/>
      <c r="N313" s="2"/>
      <c r="O313" s="2"/>
      <c r="P313" s="2"/>
      <c r="Q313" s="2"/>
      <c r="R313" s="3"/>
      <c r="S313" s="3"/>
      <c r="T313" s="2"/>
      <c r="U313" s="2"/>
      <c r="V313" s="4"/>
      <c r="W313" s="4"/>
    </row>
    <row r="314" spans="1:23" s="5" customFormat="1" ht="15" customHeight="1" x14ac:dyDescent="0.25">
      <c r="A314" s="6"/>
      <c r="B314" s="50" t="s">
        <v>794</v>
      </c>
      <c r="C314" s="101">
        <v>220000</v>
      </c>
      <c r="D314" s="55">
        <f t="shared" si="21"/>
        <v>19269058</v>
      </c>
      <c r="E314" s="36" t="s">
        <v>59</v>
      </c>
      <c r="F314" s="67"/>
      <c r="G314" s="64">
        <f>C314</f>
        <v>220000</v>
      </c>
      <c r="H314" s="64"/>
      <c r="I314" s="64"/>
      <c r="J314" s="64"/>
      <c r="K314" s="64"/>
      <c r="L314" s="2">
        <f t="shared" si="22"/>
        <v>0</v>
      </c>
      <c r="M314" s="2"/>
      <c r="N314" s="2"/>
      <c r="O314" s="2"/>
      <c r="P314" s="2"/>
      <c r="Q314" s="2"/>
      <c r="R314" s="3"/>
      <c r="S314" s="3"/>
      <c r="T314" s="2"/>
      <c r="U314" s="2"/>
      <c r="V314" s="4"/>
      <c r="W314" s="4"/>
    </row>
    <row r="315" spans="1:23" s="5" customFormat="1" ht="15" customHeight="1" x14ac:dyDescent="0.25">
      <c r="A315" s="389"/>
      <c r="B315" s="50" t="s">
        <v>795</v>
      </c>
      <c r="C315" s="101">
        <v>-10000</v>
      </c>
      <c r="D315" s="55">
        <f t="shared" si="21"/>
        <v>19259058</v>
      </c>
      <c r="E315" s="36" t="s">
        <v>530</v>
      </c>
      <c r="F315" s="67"/>
      <c r="G315" s="64"/>
      <c r="H315" s="64"/>
      <c r="I315" s="64"/>
      <c r="J315" s="64"/>
      <c r="K315" s="64">
        <f>C315</f>
        <v>-10000</v>
      </c>
      <c r="L315" s="2">
        <f t="shared" si="22"/>
        <v>0</v>
      </c>
      <c r="M315" s="2"/>
      <c r="N315" s="2"/>
      <c r="O315" s="2"/>
      <c r="P315" s="2"/>
      <c r="Q315" s="2"/>
      <c r="R315" s="3"/>
      <c r="S315" s="3"/>
      <c r="T315" s="2"/>
      <c r="U315" s="2"/>
      <c r="V315" s="4"/>
      <c r="W315" s="4"/>
    </row>
    <row r="316" spans="1:23" s="5" customFormat="1" ht="15" customHeight="1" x14ac:dyDescent="0.25">
      <c r="A316" s="390"/>
      <c r="B316" s="50" t="s">
        <v>796</v>
      </c>
      <c r="C316" s="101">
        <v>150000</v>
      </c>
      <c r="D316" s="55">
        <f t="shared" si="21"/>
        <v>19409058</v>
      </c>
      <c r="E316" s="36" t="s">
        <v>59</v>
      </c>
      <c r="F316" s="67"/>
      <c r="G316" s="64">
        <f>C316</f>
        <v>150000</v>
      </c>
      <c r="H316" s="64"/>
      <c r="I316" s="64"/>
      <c r="J316" s="64"/>
      <c r="K316" s="64"/>
      <c r="L316" s="2">
        <f t="shared" si="22"/>
        <v>0</v>
      </c>
      <c r="M316" s="2"/>
      <c r="N316" s="2"/>
      <c r="O316" s="2"/>
      <c r="P316" s="2"/>
      <c r="Q316" s="2"/>
      <c r="R316" s="3"/>
      <c r="S316" s="3"/>
      <c r="T316" s="2"/>
      <c r="U316" s="2"/>
      <c r="V316" s="4"/>
      <c r="W316" s="4"/>
    </row>
    <row r="317" spans="1:23" s="5" customFormat="1" ht="15" customHeight="1" x14ac:dyDescent="0.25">
      <c r="A317" s="390"/>
      <c r="B317" s="50" t="s">
        <v>797</v>
      </c>
      <c r="C317" s="101">
        <v>-835000</v>
      </c>
      <c r="D317" s="55">
        <f t="shared" si="21"/>
        <v>18574058</v>
      </c>
      <c r="E317" s="36" t="s">
        <v>530</v>
      </c>
      <c r="F317" s="67"/>
      <c r="G317" s="64"/>
      <c r="H317" s="64"/>
      <c r="I317" s="64"/>
      <c r="J317" s="64"/>
      <c r="K317" s="64">
        <f>C317</f>
        <v>-835000</v>
      </c>
      <c r="L317" s="2">
        <f t="shared" si="22"/>
        <v>0</v>
      </c>
      <c r="M317" s="2"/>
      <c r="N317" s="2"/>
      <c r="O317" s="2"/>
      <c r="P317" s="2"/>
      <c r="Q317" s="2"/>
      <c r="R317" s="3"/>
      <c r="S317" s="3"/>
      <c r="T317" s="2"/>
      <c r="U317" s="2"/>
      <c r="V317" s="4"/>
      <c r="W317" s="4"/>
    </row>
    <row r="318" spans="1:23" s="5" customFormat="1" ht="15" customHeight="1" x14ac:dyDescent="0.25">
      <c r="B318" s="50" t="s">
        <v>798</v>
      </c>
      <c r="C318" s="101">
        <v>-1030000</v>
      </c>
      <c r="D318" s="55">
        <f t="shared" si="21"/>
        <v>17544058</v>
      </c>
      <c r="E318" s="36" t="s">
        <v>530</v>
      </c>
      <c r="F318" s="67"/>
      <c r="G318" s="64"/>
      <c r="H318" s="64"/>
      <c r="I318" s="64"/>
      <c r="J318" s="64"/>
      <c r="K318" s="64">
        <f>C318</f>
        <v>-1030000</v>
      </c>
      <c r="L318" s="2">
        <f t="shared" si="22"/>
        <v>0</v>
      </c>
      <c r="M318" s="2"/>
      <c r="N318" s="2"/>
      <c r="O318" s="2"/>
      <c r="P318" s="2"/>
      <c r="Q318" s="2"/>
      <c r="R318" s="3"/>
      <c r="S318" s="3"/>
      <c r="T318" s="2"/>
      <c r="U318" s="2"/>
      <c r="V318" s="4"/>
      <c r="W318" s="4"/>
    </row>
    <row r="319" spans="1:23" s="5" customFormat="1" ht="15" customHeight="1" x14ac:dyDescent="0.25">
      <c r="A319" s="389"/>
      <c r="B319" s="50" t="s">
        <v>799</v>
      </c>
      <c r="C319" s="101">
        <v>300000</v>
      </c>
      <c r="D319" s="55">
        <f t="shared" si="21"/>
        <v>17844058</v>
      </c>
      <c r="E319" s="36" t="s">
        <v>61</v>
      </c>
      <c r="F319" s="67"/>
      <c r="G319" s="64"/>
      <c r="H319" s="64"/>
      <c r="I319" s="64">
        <f>C319</f>
        <v>300000</v>
      </c>
      <c r="J319" s="64"/>
      <c r="K319" s="64"/>
      <c r="L319" s="2">
        <f t="shared" si="22"/>
        <v>0</v>
      </c>
      <c r="M319" s="2"/>
      <c r="N319" s="2"/>
      <c r="O319" s="2"/>
      <c r="P319" s="2"/>
      <c r="Q319" s="2"/>
      <c r="R319" s="3"/>
      <c r="S319" s="3"/>
      <c r="T319" s="2"/>
      <c r="U319" s="2"/>
      <c r="V319" s="4"/>
      <c r="W319" s="4"/>
    </row>
    <row r="320" spans="1:23" s="5" customFormat="1" ht="15" customHeight="1" x14ac:dyDescent="0.25">
      <c r="A320" s="389"/>
      <c r="B320" s="50" t="s">
        <v>800</v>
      </c>
      <c r="C320" s="101"/>
      <c r="D320" s="55">
        <f t="shared" si="21"/>
        <v>17844058</v>
      </c>
      <c r="E320" s="36" t="s">
        <v>59</v>
      </c>
      <c r="F320" s="67"/>
      <c r="G320" s="64"/>
      <c r="H320" s="64"/>
      <c r="I320" s="64"/>
      <c r="J320" s="64"/>
      <c r="K320" s="64">
        <f>C320</f>
        <v>0</v>
      </c>
      <c r="L320" s="2">
        <f t="shared" si="22"/>
        <v>0</v>
      </c>
      <c r="M320" s="2"/>
      <c r="N320" s="2"/>
      <c r="O320" s="2"/>
      <c r="P320" s="2"/>
      <c r="Q320" s="2"/>
      <c r="R320" s="3"/>
      <c r="S320" s="3"/>
      <c r="T320" s="2"/>
      <c r="U320" s="2"/>
      <c r="V320" s="4"/>
      <c r="W320" s="4"/>
    </row>
    <row r="321" spans="1:23" s="5" customFormat="1" ht="15" customHeight="1" x14ac:dyDescent="0.25">
      <c r="A321" s="389"/>
      <c r="B321" s="50" t="s">
        <v>801</v>
      </c>
      <c r="C321" s="101"/>
      <c r="D321" s="55">
        <f t="shared" si="21"/>
        <v>17844058</v>
      </c>
      <c r="E321" s="36" t="s">
        <v>61</v>
      </c>
      <c r="F321" s="67"/>
      <c r="G321" s="64"/>
      <c r="H321" s="64"/>
      <c r="I321" s="64"/>
      <c r="J321" s="64"/>
      <c r="K321" s="64">
        <f>C321</f>
        <v>0</v>
      </c>
      <c r="L321" s="2">
        <f t="shared" si="22"/>
        <v>0</v>
      </c>
      <c r="M321" s="2"/>
      <c r="N321" s="2"/>
      <c r="O321" s="2"/>
      <c r="P321" s="2"/>
      <c r="Q321" s="2"/>
      <c r="R321" s="3"/>
      <c r="S321" s="3"/>
      <c r="T321" s="2"/>
      <c r="U321" s="2"/>
      <c r="V321" s="4"/>
      <c r="W321" s="4"/>
    </row>
    <row r="322" spans="1:23" s="5" customFormat="1" ht="15" customHeight="1" x14ac:dyDescent="0.25">
      <c r="A322" s="390"/>
      <c r="B322" s="50" t="s">
        <v>802</v>
      </c>
      <c r="C322" s="101">
        <v>220000</v>
      </c>
      <c r="D322" s="55">
        <f t="shared" ref="D322:D385" si="25">SUM(D321,C322)</f>
        <v>18064058</v>
      </c>
      <c r="E322" s="36" t="s">
        <v>59</v>
      </c>
      <c r="F322" s="67"/>
      <c r="G322" s="64">
        <f>C322</f>
        <v>220000</v>
      </c>
      <c r="H322" s="64"/>
      <c r="I322" s="64"/>
      <c r="J322" s="64"/>
      <c r="K322" s="64"/>
      <c r="L322" s="2">
        <f t="shared" si="22"/>
        <v>0</v>
      </c>
      <c r="M322" s="2"/>
      <c r="N322" s="2"/>
      <c r="O322" s="2"/>
      <c r="P322" s="2"/>
      <c r="Q322" s="2"/>
      <c r="R322" s="3"/>
      <c r="S322" s="3"/>
      <c r="T322" s="2"/>
      <c r="U322" s="2"/>
      <c r="V322" s="4"/>
      <c r="W322" s="4"/>
    </row>
    <row r="323" spans="1:23" s="5" customFormat="1" ht="15" customHeight="1" x14ac:dyDescent="0.25">
      <c r="A323" s="99">
        <v>45371</v>
      </c>
      <c r="B323" s="50" t="s">
        <v>163</v>
      </c>
      <c r="C323" s="101">
        <v>-11000</v>
      </c>
      <c r="D323" s="55">
        <f t="shared" si="25"/>
        <v>18053058</v>
      </c>
      <c r="E323" s="36" t="s">
        <v>530</v>
      </c>
      <c r="F323" s="67"/>
      <c r="G323" s="64"/>
      <c r="H323" s="64"/>
      <c r="I323" s="64"/>
      <c r="J323" s="64"/>
      <c r="K323" s="64">
        <f t="shared" ref="K323:K330" si="26">C323</f>
        <v>-11000</v>
      </c>
      <c r="L323" s="2">
        <f t="shared" ref="L323:L386" si="27">C323-F323-G323-H323-I323-J323-K323</f>
        <v>0</v>
      </c>
      <c r="M323" s="2"/>
      <c r="N323" s="2"/>
      <c r="O323" s="2"/>
      <c r="P323" s="2"/>
      <c r="Q323" s="2"/>
      <c r="R323" s="3"/>
      <c r="S323" s="3"/>
      <c r="T323" s="2"/>
      <c r="U323" s="2"/>
      <c r="V323" s="4"/>
      <c r="W323" s="4"/>
    </row>
    <row r="324" spans="1:23" s="5" customFormat="1" ht="15" customHeight="1" x14ac:dyDescent="0.25">
      <c r="B324" s="50" t="s">
        <v>279</v>
      </c>
      <c r="C324" s="101">
        <v>-134500</v>
      </c>
      <c r="D324" s="55">
        <f t="shared" si="25"/>
        <v>17918558</v>
      </c>
      <c r="E324" s="36" t="s">
        <v>530</v>
      </c>
      <c r="F324" s="67"/>
      <c r="G324" s="64"/>
      <c r="H324" s="64"/>
      <c r="I324" s="64"/>
      <c r="J324" s="64"/>
      <c r="K324" s="64">
        <f t="shared" si="26"/>
        <v>-134500</v>
      </c>
      <c r="L324" s="2">
        <f t="shared" si="27"/>
        <v>0</v>
      </c>
      <c r="M324" s="2"/>
      <c r="N324" s="2"/>
      <c r="O324" s="2"/>
      <c r="P324" s="2"/>
      <c r="Q324" s="2"/>
      <c r="R324" s="3"/>
      <c r="S324" s="3"/>
      <c r="T324" s="2"/>
      <c r="U324" s="2"/>
      <c r="V324" s="4"/>
      <c r="W324" s="4"/>
    </row>
    <row r="325" spans="1:23" s="5" customFormat="1" ht="15" customHeight="1" x14ac:dyDescent="0.25">
      <c r="B325" s="50" t="s">
        <v>267</v>
      </c>
      <c r="C325" s="101">
        <v>-810000</v>
      </c>
      <c r="D325" s="55">
        <f t="shared" si="25"/>
        <v>17108558</v>
      </c>
      <c r="E325" s="36" t="s">
        <v>530</v>
      </c>
      <c r="F325" s="67"/>
      <c r="G325" s="64"/>
      <c r="H325" s="64"/>
      <c r="I325" s="64"/>
      <c r="J325" s="64"/>
      <c r="K325" s="64">
        <f t="shared" si="26"/>
        <v>-810000</v>
      </c>
      <c r="L325" s="2">
        <f t="shared" si="27"/>
        <v>0</v>
      </c>
      <c r="M325" s="2"/>
      <c r="N325" s="2"/>
      <c r="O325" s="2"/>
      <c r="P325" s="2"/>
      <c r="Q325" s="2"/>
      <c r="R325" s="3"/>
      <c r="S325" s="3"/>
      <c r="T325" s="2"/>
      <c r="U325" s="2"/>
      <c r="V325" s="4"/>
      <c r="W325" s="4"/>
    </row>
    <row r="326" spans="1:23" s="5" customFormat="1" ht="15" customHeight="1" x14ac:dyDescent="0.25">
      <c r="A326" s="389"/>
      <c r="B326" s="50" t="s">
        <v>803</v>
      </c>
      <c r="C326" s="101"/>
      <c r="D326" s="55">
        <f t="shared" si="25"/>
        <v>17108558</v>
      </c>
      <c r="E326" s="36" t="s">
        <v>61</v>
      </c>
      <c r="F326" s="67"/>
      <c r="G326" s="64"/>
      <c r="H326" s="64"/>
      <c r="I326" s="64"/>
      <c r="J326" s="64"/>
      <c r="K326" s="64">
        <f t="shared" si="26"/>
        <v>0</v>
      </c>
      <c r="L326" s="2">
        <f t="shared" si="27"/>
        <v>0</v>
      </c>
      <c r="M326" s="2"/>
      <c r="N326" s="2"/>
      <c r="O326" s="2"/>
      <c r="P326" s="2"/>
      <c r="Q326" s="2"/>
      <c r="R326" s="3"/>
      <c r="S326" s="3"/>
      <c r="T326" s="2"/>
      <c r="U326" s="2"/>
      <c r="V326" s="4"/>
      <c r="W326" s="4"/>
    </row>
    <row r="327" spans="1:23" s="5" customFormat="1" ht="15" customHeight="1" x14ac:dyDescent="0.25">
      <c r="A327" s="389"/>
      <c r="B327" s="50" t="s">
        <v>264</v>
      </c>
      <c r="C327" s="101">
        <v>-26000</v>
      </c>
      <c r="D327" s="55">
        <f t="shared" si="25"/>
        <v>17082558</v>
      </c>
      <c r="E327" s="36" t="s">
        <v>530</v>
      </c>
      <c r="F327" s="67"/>
      <c r="G327" s="64"/>
      <c r="H327" s="64"/>
      <c r="I327" s="64"/>
      <c r="J327" s="64"/>
      <c r="K327" s="64">
        <f t="shared" si="26"/>
        <v>-26000</v>
      </c>
      <c r="L327" s="2">
        <f t="shared" si="27"/>
        <v>0</v>
      </c>
      <c r="M327" s="2"/>
      <c r="N327" s="2"/>
      <c r="O327" s="2"/>
      <c r="P327" s="2"/>
      <c r="Q327" s="2"/>
      <c r="R327" s="3"/>
      <c r="S327" s="3"/>
      <c r="T327" s="2"/>
      <c r="U327" s="2"/>
      <c r="V327" s="4"/>
      <c r="W327" s="4"/>
    </row>
    <row r="328" spans="1:23" s="5" customFormat="1" ht="15" customHeight="1" x14ac:dyDescent="0.25">
      <c r="A328" s="389"/>
      <c r="B328" s="50" t="s">
        <v>804</v>
      </c>
      <c r="C328" s="101">
        <v>-79600</v>
      </c>
      <c r="D328" s="55">
        <f t="shared" si="25"/>
        <v>17002958</v>
      </c>
      <c r="E328" s="36" t="s">
        <v>530</v>
      </c>
      <c r="F328" s="67"/>
      <c r="G328" s="64"/>
      <c r="H328" s="64"/>
      <c r="I328" s="64"/>
      <c r="J328" s="64"/>
      <c r="K328" s="64">
        <f t="shared" si="26"/>
        <v>-79600</v>
      </c>
      <c r="L328" s="2">
        <f t="shared" si="27"/>
        <v>0</v>
      </c>
      <c r="M328" s="2"/>
      <c r="N328" s="2"/>
      <c r="O328" s="2"/>
      <c r="P328" s="2"/>
      <c r="Q328" s="2"/>
      <c r="R328" s="3"/>
      <c r="S328" s="3"/>
      <c r="T328" s="2"/>
      <c r="U328" s="2"/>
      <c r="V328" s="4"/>
      <c r="W328" s="4"/>
    </row>
    <row r="329" spans="1:23" s="5" customFormat="1" ht="15" customHeight="1" x14ac:dyDescent="0.25">
      <c r="B329" s="50" t="s">
        <v>805</v>
      </c>
      <c r="C329" s="101">
        <v>-13000</v>
      </c>
      <c r="D329" s="55">
        <f t="shared" si="25"/>
        <v>16989958</v>
      </c>
      <c r="E329" s="36" t="s">
        <v>530</v>
      </c>
      <c r="F329" s="67"/>
      <c r="G329" s="64"/>
      <c r="H329" s="64"/>
      <c r="I329" s="64"/>
      <c r="J329" s="64"/>
      <c r="K329" s="64">
        <f t="shared" si="26"/>
        <v>-13000</v>
      </c>
      <c r="L329" s="2">
        <f t="shared" si="27"/>
        <v>0</v>
      </c>
      <c r="M329" s="2"/>
      <c r="N329" s="2"/>
      <c r="O329" s="2"/>
      <c r="P329" s="2"/>
      <c r="Q329" s="2"/>
      <c r="R329" s="3"/>
      <c r="S329" s="3"/>
      <c r="T329" s="2"/>
      <c r="U329" s="2"/>
      <c r="V329" s="4"/>
      <c r="W329" s="4"/>
    </row>
    <row r="330" spans="1:23" s="5" customFormat="1" ht="15" customHeight="1" x14ac:dyDescent="0.25">
      <c r="A330" s="389"/>
      <c r="B330" s="50" t="s">
        <v>737</v>
      </c>
      <c r="C330" s="101">
        <v>-715000</v>
      </c>
      <c r="D330" s="55">
        <f t="shared" si="25"/>
        <v>16274958</v>
      </c>
      <c r="E330" s="36" t="s">
        <v>530</v>
      </c>
      <c r="F330" s="67"/>
      <c r="G330" s="64"/>
      <c r="H330" s="64"/>
      <c r="I330" s="64"/>
      <c r="J330" s="64"/>
      <c r="K330" s="64">
        <f t="shared" si="26"/>
        <v>-715000</v>
      </c>
      <c r="L330" s="2">
        <f t="shared" si="27"/>
        <v>0</v>
      </c>
      <c r="M330" s="2"/>
      <c r="N330" s="2"/>
      <c r="O330" s="2"/>
      <c r="P330" s="2"/>
      <c r="Q330" s="2"/>
      <c r="R330" s="3"/>
      <c r="S330" s="3"/>
      <c r="T330" s="2"/>
      <c r="U330" s="2"/>
      <c r="V330" s="4"/>
      <c r="W330" s="4"/>
    </row>
    <row r="331" spans="1:23" s="5" customFormat="1" ht="15" customHeight="1" x14ac:dyDescent="0.25">
      <c r="A331" s="389"/>
      <c r="B331" s="50" t="s">
        <v>806</v>
      </c>
      <c r="C331" s="101">
        <v>150000</v>
      </c>
      <c r="D331" s="55">
        <f t="shared" si="25"/>
        <v>16424958</v>
      </c>
      <c r="E331" s="36" t="s">
        <v>59</v>
      </c>
      <c r="F331" s="67"/>
      <c r="G331" s="64">
        <f>C331</f>
        <v>150000</v>
      </c>
      <c r="H331" s="64"/>
      <c r="I331" s="64"/>
      <c r="J331" s="64"/>
      <c r="K331" s="64"/>
      <c r="L331" s="2">
        <f t="shared" si="27"/>
        <v>0</v>
      </c>
      <c r="M331" s="2"/>
      <c r="N331" s="2"/>
      <c r="O331" s="2"/>
      <c r="P331" s="2"/>
      <c r="Q331" s="2"/>
      <c r="R331" s="3"/>
      <c r="S331" s="3"/>
      <c r="T331" s="2"/>
      <c r="U331" s="2"/>
      <c r="V331" s="4"/>
      <c r="W331" s="4"/>
    </row>
    <row r="332" spans="1:23" s="5" customFormat="1" ht="15" customHeight="1" x14ac:dyDescent="0.25">
      <c r="A332" s="389"/>
      <c r="B332" s="50" t="s">
        <v>807</v>
      </c>
      <c r="C332" s="101">
        <v>440000</v>
      </c>
      <c r="D332" s="55">
        <f t="shared" si="25"/>
        <v>16864958</v>
      </c>
      <c r="E332" s="36" t="s">
        <v>59</v>
      </c>
      <c r="F332" s="67"/>
      <c r="G332" s="64">
        <f>C332</f>
        <v>440000</v>
      </c>
      <c r="H332" s="64"/>
      <c r="I332" s="64"/>
      <c r="J332" s="64"/>
      <c r="K332" s="64"/>
      <c r="L332" s="2">
        <f t="shared" si="27"/>
        <v>0</v>
      </c>
      <c r="M332" s="2"/>
      <c r="N332" s="2"/>
      <c r="O332" s="2"/>
      <c r="P332" s="2"/>
      <c r="Q332" s="2"/>
      <c r="R332" s="3"/>
      <c r="S332" s="3"/>
      <c r="T332" s="2"/>
      <c r="U332" s="2"/>
      <c r="V332" s="4"/>
      <c r="W332" s="4"/>
    </row>
    <row r="333" spans="1:23" s="5" customFormat="1" ht="15" customHeight="1" x14ac:dyDescent="0.25">
      <c r="A333" s="6"/>
      <c r="B333" s="50" t="s">
        <v>808</v>
      </c>
      <c r="C333" s="101">
        <v>-2493000</v>
      </c>
      <c r="D333" s="55">
        <f t="shared" si="25"/>
        <v>14371958</v>
      </c>
      <c r="E333" s="36" t="s">
        <v>530</v>
      </c>
      <c r="F333" s="67"/>
      <c r="G333" s="64"/>
      <c r="H333" s="64"/>
      <c r="I333" s="64"/>
      <c r="J333" s="64"/>
      <c r="K333" s="64">
        <f>C333</f>
        <v>-2493000</v>
      </c>
      <c r="L333" s="2">
        <f t="shared" si="27"/>
        <v>0</v>
      </c>
      <c r="M333" s="2"/>
      <c r="N333" s="2"/>
      <c r="O333" s="2"/>
      <c r="P333" s="2"/>
      <c r="Q333" s="2"/>
      <c r="R333" s="3"/>
      <c r="S333" s="3"/>
      <c r="T333" s="2"/>
      <c r="U333" s="2"/>
      <c r="V333" s="4"/>
      <c r="W333" s="4"/>
    </row>
    <row r="334" spans="1:23" s="5" customFormat="1" ht="15" customHeight="1" x14ac:dyDescent="0.25">
      <c r="A334" s="6"/>
      <c r="B334" s="50" t="s">
        <v>527</v>
      </c>
      <c r="C334" s="101">
        <v>-380000</v>
      </c>
      <c r="D334" s="55">
        <f t="shared" si="25"/>
        <v>13991958</v>
      </c>
      <c r="E334" s="36" t="s">
        <v>530</v>
      </c>
      <c r="F334" s="67"/>
      <c r="G334" s="64"/>
      <c r="H334" s="64"/>
      <c r="I334" s="64"/>
      <c r="J334" s="64"/>
      <c r="K334" s="64">
        <f>C334</f>
        <v>-380000</v>
      </c>
      <c r="L334" s="2">
        <f t="shared" si="27"/>
        <v>0</v>
      </c>
      <c r="M334" s="2"/>
      <c r="N334" s="2"/>
      <c r="O334" s="2"/>
      <c r="P334" s="2"/>
      <c r="Q334" s="2"/>
      <c r="R334" s="3"/>
      <c r="S334" s="3"/>
      <c r="T334" s="2"/>
      <c r="U334" s="2"/>
      <c r="V334" s="4"/>
      <c r="W334" s="4"/>
    </row>
    <row r="335" spans="1:23" s="5" customFormat="1" ht="15" customHeight="1" x14ac:dyDescent="0.25">
      <c r="A335" s="389"/>
      <c r="B335" s="50" t="s">
        <v>267</v>
      </c>
      <c r="C335" s="101">
        <v>-615000</v>
      </c>
      <c r="D335" s="55">
        <f t="shared" si="25"/>
        <v>13376958</v>
      </c>
      <c r="E335" s="36" t="s">
        <v>530</v>
      </c>
      <c r="F335" s="67"/>
      <c r="G335" s="64"/>
      <c r="H335" s="64"/>
      <c r="I335" s="64"/>
      <c r="J335" s="64"/>
      <c r="K335" s="64">
        <f>C335</f>
        <v>-615000</v>
      </c>
      <c r="L335" s="2">
        <f t="shared" si="27"/>
        <v>0</v>
      </c>
      <c r="M335" s="2"/>
      <c r="N335" s="2"/>
      <c r="O335" s="2"/>
      <c r="P335" s="2"/>
      <c r="Q335" s="2"/>
      <c r="R335" s="3"/>
      <c r="S335" s="3"/>
      <c r="T335" s="2"/>
      <c r="U335" s="2"/>
      <c r="V335" s="4"/>
      <c r="W335" s="4"/>
    </row>
    <row r="336" spans="1:23" s="5" customFormat="1" ht="15" customHeight="1" x14ac:dyDescent="0.25">
      <c r="A336" s="99">
        <v>45372</v>
      </c>
      <c r="B336" s="50" t="s">
        <v>163</v>
      </c>
      <c r="C336" s="101">
        <v>-11000</v>
      </c>
      <c r="D336" s="55">
        <f t="shared" si="25"/>
        <v>13365958</v>
      </c>
      <c r="E336" s="36" t="s">
        <v>530</v>
      </c>
      <c r="F336" s="67"/>
      <c r="G336" s="64"/>
      <c r="H336" s="64"/>
      <c r="I336" s="64"/>
      <c r="J336" s="64"/>
      <c r="K336" s="64">
        <f>C336</f>
        <v>-11000</v>
      </c>
      <c r="L336" s="2">
        <f t="shared" si="27"/>
        <v>0</v>
      </c>
      <c r="M336" s="2"/>
      <c r="N336" s="2"/>
      <c r="O336" s="2"/>
      <c r="P336" s="2"/>
      <c r="Q336" s="2"/>
      <c r="R336" s="3"/>
      <c r="S336" s="3"/>
      <c r="T336" s="2"/>
      <c r="U336" s="2"/>
      <c r="V336" s="4"/>
      <c r="W336" s="4"/>
    </row>
    <row r="337" spans="1:23" s="5" customFormat="1" ht="15" customHeight="1" x14ac:dyDescent="0.25">
      <c r="B337" s="50" t="s">
        <v>809</v>
      </c>
      <c r="C337" s="101">
        <v>1300000</v>
      </c>
      <c r="D337" s="55">
        <f t="shared" si="25"/>
        <v>14665958</v>
      </c>
      <c r="E337" s="36" t="s">
        <v>61</v>
      </c>
      <c r="F337" s="67"/>
      <c r="G337" s="64"/>
      <c r="H337" s="64"/>
      <c r="I337" s="64">
        <f>C337</f>
        <v>1300000</v>
      </c>
      <c r="J337" s="64"/>
      <c r="K337" s="64"/>
      <c r="L337" s="2">
        <f t="shared" si="27"/>
        <v>0</v>
      </c>
      <c r="M337" s="2"/>
      <c r="N337" s="2"/>
      <c r="O337" s="2"/>
      <c r="P337" s="2"/>
      <c r="Q337" s="2"/>
      <c r="R337" s="3"/>
      <c r="S337" s="3"/>
      <c r="T337" s="2"/>
      <c r="U337" s="2"/>
      <c r="V337" s="4"/>
      <c r="W337" s="4"/>
    </row>
    <row r="338" spans="1:23" s="5" customFormat="1" ht="15" customHeight="1" x14ac:dyDescent="0.25">
      <c r="A338" s="389"/>
      <c r="B338" s="50" t="s">
        <v>810</v>
      </c>
      <c r="C338" s="101">
        <v>-407000</v>
      </c>
      <c r="D338" s="55">
        <f t="shared" si="25"/>
        <v>14258958</v>
      </c>
      <c r="E338" s="36" t="s">
        <v>530</v>
      </c>
      <c r="F338" s="67"/>
      <c r="G338" s="64"/>
      <c r="H338" s="64"/>
      <c r="I338" s="64"/>
      <c r="J338" s="64"/>
      <c r="K338" s="64">
        <f>C338</f>
        <v>-407000</v>
      </c>
      <c r="L338" s="2">
        <f t="shared" si="27"/>
        <v>0</v>
      </c>
      <c r="M338" s="2"/>
      <c r="N338" s="2"/>
      <c r="O338" s="2"/>
      <c r="P338" s="2"/>
      <c r="Q338" s="2"/>
      <c r="R338" s="3"/>
      <c r="S338" s="3"/>
      <c r="T338" s="2"/>
      <c r="U338" s="2"/>
      <c r="V338" s="4"/>
      <c r="W338" s="4"/>
    </row>
    <row r="339" spans="1:23" s="5" customFormat="1" ht="15" customHeight="1" x14ac:dyDescent="0.25">
      <c r="A339" s="389"/>
      <c r="B339" s="50" t="s">
        <v>597</v>
      </c>
      <c r="C339" s="101">
        <v>-35000</v>
      </c>
      <c r="D339" s="55">
        <f t="shared" si="25"/>
        <v>14223958</v>
      </c>
      <c r="E339" s="36" t="s">
        <v>530</v>
      </c>
      <c r="F339" s="67"/>
      <c r="G339" s="64"/>
      <c r="H339" s="64"/>
      <c r="I339" s="64"/>
      <c r="J339" s="64"/>
      <c r="K339" s="64">
        <f>C339</f>
        <v>-35000</v>
      </c>
      <c r="L339" s="2">
        <f t="shared" si="27"/>
        <v>0</v>
      </c>
      <c r="M339" s="2"/>
      <c r="N339" s="2"/>
      <c r="O339" s="2"/>
      <c r="P339" s="2"/>
      <c r="Q339" s="2"/>
      <c r="R339" s="3"/>
      <c r="S339" s="3"/>
      <c r="T339" s="2"/>
      <c r="U339" s="2"/>
      <c r="V339" s="4"/>
      <c r="W339" s="4"/>
    </row>
    <row r="340" spans="1:23" s="5" customFormat="1" ht="15" customHeight="1" x14ac:dyDescent="0.25">
      <c r="A340" s="390"/>
      <c r="B340" s="391" t="s">
        <v>811</v>
      </c>
      <c r="C340" s="101"/>
      <c r="D340" s="55">
        <f t="shared" si="25"/>
        <v>14223958</v>
      </c>
      <c r="E340" s="36" t="s">
        <v>61</v>
      </c>
      <c r="F340" s="67"/>
      <c r="G340" s="64"/>
      <c r="H340" s="64"/>
      <c r="I340" s="64"/>
      <c r="J340" s="64"/>
      <c r="K340" s="64">
        <f>C340</f>
        <v>0</v>
      </c>
      <c r="L340" s="2">
        <f t="shared" si="27"/>
        <v>0</v>
      </c>
      <c r="M340" s="2"/>
      <c r="N340" s="2"/>
      <c r="O340" s="2"/>
      <c r="P340" s="2"/>
      <c r="Q340" s="2"/>
      <c r="R340" s="3"/>
      <c r="S340" s="3"/>
      <c r="T340" s="2"/>
      <c r="U340" s="2"/>
      <c r="V340" s="4"/>
      <c r="W340" s="4"/>
    </row>
    <row r="341" spans="1:23" s="5" customFormat="1" ht="15" customHeight="1" x14ac:dyDescent="0.25">
      <c r="B341" s="50" t="s">
        <v>812</v>
      </c>
      <c r="C341" s="101">
        <v>180000</v>
      </c>
      <c r="D341" s="55">
        <f t="shared" si="25"/>
        <v>14403958</v>
      </c>
      <c r="E341" s="36" t="s">
        <v>59</v>
      </c>
      <c r="F341" s="67"/>
      <c r="G341" s="64">
        <f>C341</f>
        <v>180000</v>
      </c>
      <c r="H341" s="64"/>
      <c r="I341" s="64"/>
      <c r="J341" s="64"/>
      <c r="K341" s="64"/>
      <c r="L341" s="2">
        <f t="shared" si="27"/>
        <v>0</v>
      </c>
      <c r="M341" s="2"/>
      <c r="N341" s="2"/>
      <c r="O341" s="2"/>
      <c r="P341" s="2"/>
      <c r="Q341" s="2"/>
      <c r="R341" s="3"/>
      <c r="S341" s="3"/>
      <c r="T341" s="2"/>
      <c r="U341" s="2"/>
      <c r="V341" s="4"/>
      <c r="W341" s="4"/>
    </row>
    <row r="342" spans="1:23" s="5" customFormat="1" ht="15" customHeight="1" x14ac:dyDescent="0.25">
      <c r="A342" s="6"/>
      <c r="B342" s="50" t="s">
        <v>813</v>
      </c>
      <c r="C342" s="101">
        <v>-19000</v>
      </c>
      <c r="D342" s="55">
        <f t="shared" si="25"/>
        <v>14384958</v>
      </c>
      <c r="E342" s="36" t="s">
        <v>530</v>
      </c>
      <c r="F342" s="67"/>
      <c r="G342" s="64"/>
      <c r="H342" s="64"/>
      <c r="I342" s="64"/>
      <c r="J342" s="64"/>
      <c r="K342" s="64">
        <f>C342</f>
        <v>-19000</v>
      </c>
      <c r="L342" s="2">
        <f t="shared" si="27"/>
        <v>0</v>
      </c>
      <c r="M342" s="2"/>
      <c r="N342" s="2"/>
      <c r="O342" s="2"/>
      <c r="P342" s="2"/>
      <c r="Q342" s="2"/>
      <c r="R342" s="3"/>
      <c r="S342" s="3"/>
      <c r="T342" s="2"/>
      <c r="U342" s="2"/>
      <c r="V342" s="4"/>
      <c r="W342" s="4"/>
    </row>
    <row r="343" spans="1:23" s="5" customFormat="1" ht="15" customHeight="1" x14ac:dyDescent="0.25">
      <c r="A343" s="389"/>
      <c r="B343" s="50" t="s">
        <v>792</v>
      </c>
      <c r="C343" s="101">
        <v>-145000</v>
      </c>
      <c r="D343" s="55">
        <f t="shared" si="25"/>
        <v>14239958</v>
      </c>
      <c r="E343" s="36" t="s">
        <v>530</v>
      </c>
      <c r="F343" s="67"/>
      <c r="G343" s="64"/>
      <c r="H343" s="64"/>
      <c r="I343" s="64"/>
      <c r="J343" s="64"/>
      <c r="K343" s="64">
        <f>C343</f>
        <v>-145000</v>
      </c>
      <c r="L343" s="2">
        <f t="shared" si="27"/>
        <v>0</v>
      </c>
      <c r="M343" s="2"/>
      <c r="N343" s="2"/>
      <c r="O343" s="2"/>
      <c r="P343" s="2"/>
      <c r="Q343" s="2"/>
      <c r="R343" s="3"/>
      <c r="S343" s="3"/>
      <c r="T343" s="2"/>
      <c r="U343" s="2"/>
      <c r="V343" s="4"/>
      <c r="W343" s="4"/>
    </row>
    <row r="344" spans="1:23" s="5" customFormat="1" ht="15" customHeight="1" x14ac:dyDescent="0.25">
      <c r="A344" s="389"/>
      <c r="B344" s="50" t="s">
        <v>814</v>
      </c>
      <c r="C344" s="101">
        <v>-205000</v>
      </c>
      <c r="D344" s="55">
        <f t="shared" si="25"/>
        <v>14034958</v>
      </c>
      <c r="E344" s="36" t="s">
        <v>530</v>
      </c>
      <c r="F344" s="67"/>
      <c r="G344" s="64"/>
      <c r="H344" s="64"/>
      <c r="I344" s="64"/>
      <c r="J344" s="64"/>
      <c r="K344" s="64">
        <f>C344</f>
        <v>-205000</v>
      </c>
      <c r="L344" s="2">
        <f t="shared" si="27"/>
        <v>0</v>
      </c>
      <c r="M344" s="2"/>
      <c r="N344" s="2"/>
      <c r="O344" s="2"/>
      <c r="P344" s="2"/>
      <c r="Q344" s="2"/>
      <c r="R344" s="3"/>
      <c r="S344" s="3"/>
      <c r="T344" s="2"/>
      <c r="U344" s="2"/>
      <c r="V344" s="4"/>
      <c r="W344" s="4"/>
    </row>
    <row r="345" spans="1:23" s="5" customFormat="1" ht="15" customHeight="1" x14ac:dyDescent="0.25">
      <c r="A345" s="389"/>
      <c r="B345" s="391" t="s">
        <v>815</v>
      </c>
      <c r="C345" s="101">
        <v>10000</v>
      </c>
      <c r="D345" s="55">
        <f t="shared" si="25"/>
        <v>14044958</v>
      </c>
      <c r="E345" s="36" t="s">
        <v>59</v>
      </c>
      <c r="F345" s="67"/>
      <c r="G345" s="64">
        <f>C345</f>
        <v>10000</v>
      </c>
      <c r="H345" s="64"/>
      <c r="I345" s="64"/>
      <c r="J345" s="64"/>
      <c r="K345" s="64"/>
      <c r="L345" s="2">
        <f t="shared" si="27"/>
        <v>0</v>
      </c>
      <c r="M345" s="2"/>
      <c r="N345" s="2"/>
      <c r="O345" s="2"/>
      <c r="P345" s="2"/>
      <c r="Q345" s="2"/>
      <c r="R345" s="3"/>
      <c r="S345" s="3"/>
      <c r="T345" s="2"/>
      <c r="U345" s="2"/>
      <c r="V345" s="4"/>
      <c r="W345" s="4"/>
    </row>
    <row r="346" spans="1:23" s="5" customFormat="1" ht="15" customHeight="1" x14ac:dyDescent="0.25">
      <c r="A346" s="389"/>
      <c r="B346" s="50" t="s">
        <v>597</v>
      </c>
      <c r="C346" s="101">
        <v>-75500</v>
      </c>
      <c r="D346" s="55">
        <f t="shared" si="25"/>
        <v>13969458</v>
      </c>
      <c r="E346" s="36" t="s">
        <v>530</v>
      </c>
      <c r="F346" s="67"/>
      <c r="G346" s="64"/>
      <c r="H346" s="64"/>
      <c r="I346" s="64"/>
      <c r="J346" s="64"/>
      <c r="K346" s="64">
        <f t="shared" ref="K346:K353" si="28">C346</f>
        <v>-75500</v>
      </c>
      <c r="L346" s="2">
        <f t="shared" si="27"/>
        <v>0</v>
      </c>
      <c r="M346" s="2"/>
      <c r="N346" s="2"/>
      <c r="O346" s="2"/>
      <c r="P346" s="2"/>
      <c r="Q346" s="2"/>
      <c r="R346" s="3"/>
      <c r="S346" s="3"/>
      <c r="T346" s="2"/>
      <c r="U346" s="2"/>
      <c r="V346" s="4"/>
      <c r="W346" s="4"/>
    </row>
    <row r="347" spans="1:23" s="5" customFormat="1" ht="15" customHeight="1" x14ac:dyDescent="0.25">
      <c r="B347" s="50" t="s">
        <v>276</v>
      </c>
      <c r="C347" s="101">
        <v>-40000</v>
      </c>
      <c r="D347" s="55">
        <f t="shared" si="25"/>
        <v>13929458</v>
      </c>
      <c r="E347" s="36" t="s">
        <v>530</v>
      </c>
      <c r="F347" s="67"/>
      <c r="G347" s="64"/>
      <c r="H347" s="64"/>
      <c r="I347" s="64"/>
      <c r="J347" s="64"/>
      <c r="K347" s="64">
        <f t="shared" si="28"/>
        <v>-40000</v>
      </c>
      <c r="L347" s="2">
        <f t="shared" si="27"/>
        <v>0</v>
      </c>
      <c r="M347" s="2"/>
      <c r="N347" s="2"/>
      <c r="O347" s="2"/>
      <c r="P347" s="2"/>
      <c r="Q347" s="2"/>
      <c r="R347" s="3"/>
      <c r="S347" s="3"/>
      <c r="T347" s="2"/>
      <c r="U347" s="2"/>
      <c r="V347" s="4"/>
      <c r="W347" s="4"/>
    </row>
    <row r="348" spans="1:23" s="5" customFormat="1" ht="15" customHeight="1" x14ac:dyDescent="0.25">
      <c r="A348" s="99">
        <v>45373</v>
      </c>
      <c r="B348" s="50" t="s">
        <v>163</v>
      </c>
      <c r="C348" s="101">
        <v>-11000</v>
      </c>
      <c r="D348" s="55">
        <f t="shared" si="25"/>
        <v>13918458</v>
      </c>
      <c r="E348" s="36" t="s">
        <v>530</v>
      </c>
      <c r="F348" s="67"/>
      <c r="G348" s="64"/>
      <c r="H348" s="64"/>
      <c r="I348" s="64"/>
      <c r="J348" s="64"/>
      <c r="K348" s="64">
        <f t="shared" si="28"/>
        <v>-11000</v>
      </c>
      <c r="L348" s="2">
        <f t="shared" si="27"/>
        <v>0</v>
      </c>
      <c r="M348" s="2"/>
      <c r="N348" s="2"/>
      <c r="O348" s="2"/>
      <c r="P348" s="2"/>
      <c r="Q348" s="2"/>
      <c r="R348" s="3"/>
      <c r="S348" s="3"/>
      <c r="T348" s="2"/>
      <c r="U348" s="2"/>
      <c r="V348" s="4"/>
      <c r="W348" s="4"/>
    </row>
    <row r="349" spans="1:23" s="5" customFormat="1" ht="15" customHeight="1" x14ac:dyDescent="0.25">
      <c r="B349" s="50" t="s">
        <v>816</v>
      </c>
      <c r="C349" s="101"/>
      <c r="D349" s="55">
        <f t="shared" si="25"/>
        <v>13918458</v>
      </c>
      <c r="E349" s="36" t="s">
        <v>61</v>
      </c>
      <c r="F349" s="67"/>
      <c r="G349" s="64"/>
      <c r="H349" s="64"/>
      <c r="I349" s="64"/>
      <c r="J349" s="64"/>
      <c r="K349" s="64">
        <f t="shared" si="28"/>
        <v>0</v>
      </c>
      <c r="L349" s="2">
        <f t="shared" si="27"/>
        <v>0</v>
      </c>
      <c r="M349" s="2"/>
      <c r="N349" s="2"/>
      <c r="O349" s="2"/>
      <c r="P349" s="2"/>
      <c r="Q349" s="2"/>
      <c r="R349" s="3"/>
      <c r="S349" s="3"/>
      <c r="T349" s="2"/>
      <c r="U349" s="2"/>
      <c r="V349" s="4"/>
      <c r="W349" s="4"/>
    </row>
    <row r="350" spans="1:23" s="5" customFormat="1" ht="15" customHeight="1" x14ac:dyDescent="0.25">
      <c r="A350" s="389"/>
      <c r="B350" s="50" t="s">
        <v>817</v>
      </c>
      <c r="C350" s="101">
        <v>-461000</v>
      </c>
      <c r="D350" s="55">
        <f t="shared" si="25"/>
        <v>13457458</v>
      </c>
      <c r="E350" s="36" t="s">
        <v>530</v>
      </c>
      <c r="F350" s="67"/>
      <c r="G350" s="64"/>
      <c r="H350" s="64"/>
      <c r="I350" s="64"/>
      <c r="J350" s="64"/>
      <c r="K350" s="64">
        <f t="shared" si="28"/>
        <v>-461000</v>
      </c>
      <c r="L350" s="2">
        <f t="shared" si="27"/>
        <v>0</v>
      </c>
      <c r="M350" s="2"/>
      <c r="N350" s="2"/>
      <c r="O350" s="2"/>
      <c r="P350" s="2"/>
      <c r="Q350" s="2"/>
      <c r="R350" s="3"/>
      <c r="S350" s="3"/>
      <c r="T350" s="2"/>
      <c r="U350" s="2"/>
      <c r="V350" s="4"/>
      <c r="W350" s="4"/>
    </row>
    <row r="351" spans="1:23" s="5" customFormat="1" ht="15" customHeight="1" x14ac:dyDescent="0.25">
      <c r="A351" s="390"/>
      <c r="B351" s="50" t="s">
        <v>818</v>
      </c>
      <c r="C351" s="101">
        <v>-394500</v>
      </c>
      <c r="D351" s="55">
        <f t="shared" si="25"/>
        <v>13062958</v>
      </c>
      <c r="E351" s="36" t="s">
        <v>530</v>
      </c>
      <c r="F351" s="67"/>
      <c r="G351" s="64"/>
      <c r="H351" s="64"/>
      <c r="I351" s="64"/>
      <c r="J351" s="64"/>
      <c r="K351" s="64">
        <f t="shared" si="28"/>
        <v>-394500</v>
      </c>
      <c r="L351" s="2">
        <f t="shared" si="27"/>
        <v>0</v>
      </c>
      <c r="M351" s="2"/>
      <c r="N351" s="2"/>
      <c r="O351" s="2"/>
      <c r="P351" s="2"/>
      <c r="Q351" s="2"/>
      <c r="R351" s="3"/>
      <c r="S351" s="3"/>
      <c r="T351" s="2"/>
      <c r="U351" s="2"/>
      <c r="V351" s="4"/>
      <c r="W351" s="4"/>
    </row>
    <row r="352" spans="1:23" s="5" customFormat="1" ht="15" customHeight="1" x14ac:dyDescent="0.25">
      <c r="B352" s="391" t="s">
        <v>819</v>
      </c>
      <c r="C352" s="101"/>
      <c r="D352" s="55">
        <f t="shared" si="25"/>
        <v>13062958</v>
      </c>
      <c r="E352" s="36" t="s">
        <v>61</v>
      </c>
      <c r="F352" s="67"/>
      <c r="G352" s="64"/>
      <c r="H352" s="64"/>
      <c r="I352" s="64"/>
      <c r="J352" s="64"/>
      <c r="K352" s="64">
        <f t="shared" si="28"/>
        <v>0</v>
      </c>
      <c r="L352" s="2">
        <f t="shared" si="27"/>
        <v>0</v>
      </c>
      <c r="M352" s="2"/>
      <c r="N352" s="2"/>
      <c r="O352" s="2"/>
      <c r="P352" s="2"/>
      <c r="Q352" s="2"/>
      <c r="R352" s="3"/>
      <c r="S352" s="3"/>
      <c r="T352" s="2"/>
      <c r="U352" s="2"/>
      <c r="V352" s="4"/>
      <c r="W352" s="4"/>
    </row>
    <row r="353" spans="1:23" s="5" customFormat="1" ht="15" customHeight="1" x14ac:dyDescent="0.25">
      <c r="A353" s="390"/>
      <c r="B353" s="50" t="s">
        <v>604</v>
      </c>
      <c r="C353" s="101">
        <v>-143000</v>
      </c>
      <c r="D353" s="55">
        <f t="shared" si="25"/>
        <v>12919958</v>
      </c>
      <c r="E353" s="36" t="s">
        <v>530</v>
      </c>
      <c r="F353" s="67"/>
      <c r="G353" s="64"/>
      <c r="H353" s="64"/>
      <c r="I353" s="64"/>
      <c r="J353" s="64"/>
      <c r="K353" s="64">
        <f t="shared" si="28"/>
        <v>-143000</v>
      </c>
      <c r="L353" s="2">
        <f t="shared" si="27"/>
        <v>0</v>
      </c>
      <c r="M353" s="2"/>
      <c r="N353" s="2"/>
      <c r="O353" s="2"/>
      <c r="P353" s="2"/>
      <c r="Q353" s="2"/>
      <c r="R353" s="3"/>
      <c r="S353" s="3"/>
      <c r="T353" s="2"/>
      <c r="U353" s="2"/>
      <c r="V353" s="4"/>
      <c r="W353" s="4"/>
    </row>
    <row r="354" spans="1:23" s="5" customFormat="1" ht="15" customHeight="1" x14ac:dyDescent="0.25">
      <c r="B354" s="50" t="s">
        <v>820</v>
      </c>
      <c r="C354" s="101">
        <v>660000</v>
      </c>
      <c r="D354" s="55">
        <f t="shared" si="25"/>
        <v>13579958</v>
      </c>
      <c r="E354" s="36" t="s">
        <v>59</v>
      </c>
      <c r="F354" s="67"/>
      <c r="G354" s="64">
        <f>C354</f>
        <v>660000</v>
      </c>
      <c r="H354" s="64"/>
      <c r="I354" s="64"/>
      <c r="J354" s="64"/>
      <c r="K354" s="64"/>
      <c r="L354" s="2">
        <f t="shared" si="27"/>
        <v>0</v>
      </c>
      <c r="M354" s="2"/>
      <c r="N354" s="2"/>
      <c r="O354" s="2"/>
      <c r="P354" s="2"/>
      <c r="Q354" s="2"/>
      <c r="R354" s="3"/>
      <c r="S354" s="3"/>
      <c r="T354" s="2"/>
      <c r="U354" s="2"/>
      <c r="V354" s="4"/>
      <c r="W354" s="4"/>
    </row>
    <row r="355" spans="1:23" s="5" customFormat="1" ht="15" customHeight="1" x14ac:dyDescent="0.25">
      <c r="A355" s="390"/>
      <c r="B355" s="50" t="s">
        <v>821</v>
      </c>
      <c r="C355" s="101">
        <v>-156300</v>
      </c>
      <c r="D355" s="55">
        <f t="shared" si="25"/>
        <v>13423658</v>
      </c>
      <c r="E355" s="36" t="s">
        <v>530</v>
      </c>
      <c r="F355" s="67"/>
      <c r="G355" s="64"/>
      <c r="H355" s="64"/>
      <c r="I355" s="64"/>
      <c r="J355" s="64"/>
      <c r="K355" s="64">
        <f t="shared" ref="K355:K362" si="29">C355</f>
        <v>-156300</v>
      </c>
      <c r="L355" s="2">
        <f t="shared" si="27"/>
        <v>0</v>
      </c>
      <c r="M355" s="2"/>
      <c r="N355" s="2"/>
      <c r="O355" s="2"/>
      <c r="P355" s="2"/>
      <c r="Q355" s="2"/>
      <c r="R355" s="3"/>
      <c r="S355" s="3"/>
      <c r="T355" s="2"/>
      <c r="U355" s="2"/>
      <c r="V355" s="4"/>
      <c r="W355" s="4"/>
    </row>
    <row r="356" spans="1:23" s="5" customFormat="1" ht="15" customHeight="1" x14ac:dyDescent="0.25">
      <c r="A356" s="390"/>
      <c r="B356" s="50" t="s">
        <v>275</v>
      </c>
      <c r="C356" s="101">
        <v>-224000</v>
      </c>
      <c r="D356" s="55">
        <f t="shared" si="25"/>
        <v>13199658</v>
      </c>
      <c r="E356" s="36" t="s">
        <v>530</v>
      </c>
      <c r="F356" s="67"/>
      <c r="G356" s="64"/>
      <c r="H356" s="64"/>
      <c r="I356" s="64"/>
      <c r="J356" s="64"/>
      <c r="K356" s="64">
        <f t="shared" si="29"/>
        <v>-224000</v>
      </c>
      <c r="L356" s="2">
        <f t="shared" si="27"/>
        <v>0</v>
      </c>
      <c r="M356" s="2"/>
      <c r="N356" s="2"/>
      <c r="O356" s="2"/>
      <c r="P356" s="2"/>
      <c r="Q356" s="2"/>
      <c r="R356" s="3"/>
      <c r="S356" s="3"/>
      <c r="T356" s="2"/>
      <c r="U356" s="2"/>
      <c r="V356" s="4"/>
      <c r="W356" s="4"/>
    </row>
    <row r="357" spans="1:23" s="5" customFormat="1" ht="15" customHeight="1" x14ac:dyDescent="0.25">
      <c r="A357" s="390"/>
      <c r="B357" s="50" t="s">
        <v>276</v>
      </c>
      <c r="C357" s="101">
        <v>-53000</v>
      </c>
      <c r="D357" s="55">
        <f t="shared" si="25"/>
        <v>13146658</v>
      </c>
      <c r="E357" s="36" t="s">
        <v>530</v>
      </c>
      <c r="F357" s="67"/>
      <c r="G357" s="64"/>
      <c r="H357" s="64"/>
      <c r="I357" s="64"/>
      <c r="J357" s="64"/>
      <c r="K357" s="64">
        <f t="shared" si="29"/>
        <v>-53000</v>
      </c>
      <c r="L357" s="2">
        <f t="shared" si="27"/>
        <v>0</v>
      </c>
      <c r="M357" s="2"/>
      <c r="N357" s="2"/>
      <c r="O357" s="2"/>
      <c r="P357" s="2"/>
      <c r="Q357" s="2"/>
      <c r="R357" s="3"/>
      <c r="S357" s="3"/>
      <c r="T357" s="2"/>
      <c r="U357" s="2"/>
      <c r="V357" s="4"/>
      <c r="W357" s="4"/>
    </row>
    <row r="358" spans="1:23" s="5" customFormat="1" ht="15" customHeight="1" x14ac:dyDescent="0.25">
      <c r="A358" s="390"/>
      <c r="B358" s="50" t="s">
        <v>822</v>
      </c>
      <c r="C358" s="101">
        <v>-17600</v>
      </c>
      <c r="D358" s="55">
        <f t="shared" si="25"/>
        <v>13129058</v>
      </c>
      <c r="E358" s="36" t="s">
        <v>530</v>
      </c>
      <c r="F358" s="67"/>
      <c r="G358" s="64"/>
      <c r="H358" s="64"/>
      <c r="I358" s="64"/>
      <c r="J358" s="64"/>
      <c r="K358" s="64">
        <f t="shared" si="29"/>
        <v>-17600</v>
      </c>
      <c r="L358" s="2">
        <f t="shared" si="27"/>
        <v>0</v>
      </c>
      <c r="M358" s="2"/>
      <c r="N358" s="2"/>
      <c r="O358" s="2"/>
      <c r="P358" s="2"/>
      <c r="Q358" s="2"/>
      <c r="R358" s="3"/>
      <c r="S358" s="3"/>
      <c r="T358" s="2"/>
      <c r="U358" s="2"/>
      <c r="V358" s="4"/>
      <c r="W358" s="4"/>
    </row>
    <row r="359" spans="1:23" s="5" customFormat="1" ht="15" customHeight="1" x14ac:dyDescent="0.25">
      <c r="A359" s="390"/>
      <c r="B359" s="50" t="s">
        <v>823</v>
      </c>
      <c r="C359" s="101">
        <v>-1450000</v>
      </c>
      <c r="D359" s="55">
        <f t="shared" si="25"/>
        <v>11679058</v>
      </c>
      <c r="E359" s="36" t="s">
        <v>530</v>
      </c>
      <c r="F359" s="67"/>
      <c r="G359" s="64"/>
      <c r="H359" s="64"/>
      <c r="I359" s="64"/>
      <c r="J359" s="64"/>
      <c r="K359" s="64">
        <f t="shared" si="29"/>
        <v>-1450000</v>
      </c>
      <c r="L359" s="2">
        <f t="shared" si="27"/>
        <v>0</v>
      </c>
      <c r="M359" s="2"/>
      <c r="N359" s="2"/>
      <c r="O359" s="2"/>
      <c r="P359" s="2"/>
      <c r="Q359" s="2"/>
      <c r="R359" s="3"/>
      <c r="S359" s="3"/>
      <c r="T359" s="2"/>
      <c r="U359" s="2"/>
      <c r="V359" s="4"/>
      <c r="W359" s="4"/>
    </row>
    <row r="360" spans="1:23" s="5" customFormat="1" ht="15" customHeight="1" x14ac:dyDescent="0.25">
      <c r="A360" s="390"/>
      <c r="B360" s="50" t="s">
        <v>824</v>
      </c>
      <c r="C360" s="101">
        <v>-150000</v>
      </c>
      <c r="D360" s="55">
        <f t="shared" si="25"/>
        <v>11529058</v>
      </c>
      <c r="E360" s="36" t="s">
        <v>530</v>
      </c>
      <c r="F360" s="67"/>
      <c r="G360" s="64"/>
      <c r="H360" s="64"/>
      <c r="I360" s="64"/>
      <c r="J360" s="64"/>
      <c r="K360" s="64">
        <f t="shared" si="29"/>
        <v>-150000</v>
      </c>
      <c r="L360" s="2">
        <f t="shared" si="27"/>
        <v>0</v>
      </c>
      <c r="M360" s="2"/>
      <c r="N360" s="2"/>
      <c r="O360" s="2"/>
      <c r="P360" s="2"/>
      <c r="Q360" s="2"/>
      <c r="R360" s="3"/>
      <c r="S360" s="3"/>
      <c r="T360" s="2"/>
      <c r="U360" s="2"/>
      <c r="V360" s="4"/>
      <c r="W360" s="4"/>
    </row>
    <row r="361" spans="1:23" s="5" customFormat="1" ht="15" customHeight="1" x14ac:dyDescent="0.25">
      <c r="A361" s="390"/>
      <c r="B361" s="50" t="s">
        <v>825</v>
      </c>
      <c r="C361" s="101">
        <v>-100000</v>
      </c>
      <c r="D361" s="55">
        <f t="shared" si="25"/>
        <v>11429058</v>
      </c>
      <c r="E361" s="36" t="s">
        <v>530</v>
      </c>
      <c r="F361" s="67"/>
      <c r="G361" s="64"/>
      <c r="H361" s="64"/>
      <c r="I361" s="64"/>
      <c r="J361" s="64"/>
      <c r="K361" s="64">
        <f t="shared" si="29"/>
        <v>-100000</v>
      </c>
      <c r="L361" s="2">
        <f t="shared" si="27"/>
        <v>0</v>
      </c>
      <c r="M361" s="2"/>
      <c r="N361" s="2"/>
      <c r="O361" s="2"/>
      <c r="P361" s="2"/>
      <c r="Q361" s="2"/>
      <c r="R361" s="3"/>
      <c r="S361" s="3"/>
      <c r="T361" s="2"/>
      <c r="U361" s="2"/>
      <c r="V361" s="4"/>
      <c r="W361" s="4"/>
    </row>
    <row r="362" spans="1:23" s="5" customFormat="1" ht="15" customHeight="1" x14ac:dyDescent="0.25">
      <c r="B362" s="50" t="s">
        <v>826</v>
      </c>
      <c r="C362" s="101">
        <v>-9000</v>
      </c>
      <c r="D362" s="55">
        <f t="shared" si="25"/>
        <v>11420058</v>
      </c>
      <c r="E362" s="36" t="s">
        <v>530</v>
      </c>
      <c r="F362" s="67"/>
      <c r="G362" s="64"/>
      <c r="H362" s="64"/>
      <c r="I362" s="64"/>
      <c r="J362" s="64"/>
      <c r="K362" s="64">
        <f t="shared" si="29"/>
        <v>-9000</v>
      </c>
      <c r="L362" s="2">
        <f t="shared" si="27"/>
        <v>0</v>
      </c>
      <c r="M362" s="2"/>
      <c r="N362" s="2"/>
      <c r="O362" s="2"/>
      <c r="P362" s="2"/>
      <c r="Q362" s="2"/>
      <c r="R362" s="3"/>
      <c r="S362" s="3"/>
      <c r="T362" s="2"/>
      <c r="U362" s="2"/>
      <c r="V362" s="4"/>
      <c r="W362" s="4"/>
    </row>
    <row r="363" spans="1:23" s="5" customFormat="1" ht="15" customHeight="1" x14ac:dyDescent="0.25">
      <c r="A363" s="390"/>
      <c r="B363" s="50" t="s">
        <v>827</v>
      </c>
      <c r="C363" s="101">
        <v>300000</v>
      </c>
      <c r="D363" s="55">
        <f t="shared" si="25"/>
        <v>11720058</v>
      </c>
      <c r="E363" s="36" t="s">
        <v>61</v>
      </c>
      <c r="F363" s="67"/>
      <c r="G363" s="64"/>
      <c r="H363" s="64"/>
      <c r="I363" s="64">
        <f>C363</f>
        <v>300000</v>
      </c>
      <c r="J363" s="64"/>
      <c r="K363" s="64"/>
      <c r="L363" s="2">
        <f t="shared" si="27"/>
        <v>0</v>
      </c>
      <c r="M363" s="2"/>
      <c r="N363" s="2"/>
      <c r="O363" s="2"/>
      <c r="P363" s="2"/>
      <c r="Q363" s="2"/>
      <c r="R363" s="3"/>
      <c r="S363" s="3"/>
      <c r="T363" s="2"/>
      <c r="U363" s="2"/>
      <c r="V363" s="4"/>
      <c r="W363" s="4"/>
    </row>
    <row r="364" spans="1:23" s="5" customFormat="1" ht="15" customHeight="1" x14ac:dyDescent="0.25">
      <c r="A364" s="389"/>
      <c r="B364" s="50" t="s">
        <v>828</v>
      </c>
      <c r="C364" s="101">
        <v>3740000</v>
      </c>
      <c r="D364" s="55">
        <f t="shared" si="25"/>
        <v>15460058</v>
      </c>
      <c r="E364" s="36" t="s">
        <v>214</v>
      </c>
      <c r="F364" s="67">
        <f>C364</f>
        <v>3740000</v>
      </c>
      <c r="G364" s="64"/>
      <c r="H364" s="64"/>
      <c r="I364" s="64"/>
      <c r="J364" s="64"/>
      <c r="K364" s="64"/>
      <c r="L364" s="2">
        <f t="shared" si="27"/>
        <v>0</v>
      </c>
      <c r="M364" s="2"/>
      <c r="N364" s="2"/>
      <c r="O364" s="2"/>
      <c r="P364" s="2"/>
      <c r="Q364" s="2"/>
      <c r="R364" s="3"/>
      <c r="S364" s="3"/>
      <c r="T364" s="2"/>
      <c r="U364" s="2"/>
      <c r="V364" s="4"/>
      <c r="W364" s="4"/>
    </row>
    <row r="365" spans="1:23" s="5" customFormat="1" ht="15" customHeight="1" x14ac:dyDescent="0.25">
      <c r="B365" s="50" t="s">
        <v>829</v>
      </c>
      <c r="C365" s="101">
        <v>2000000</v>
      </c>
      <c r="D365" s="55">
        <f t="shared" si="25"/>
        <v>17460058</v>
      </c>
      <c r="E365" s="36" t="s">
        <v>214</v>
      </c>
      <c r="F365" s="67">
        <f>C365</f>
        <v>2000000</v>
      </c>
      <c r="G365" s="64"/>
      <c r="H365" s="64"/>
      <c r="I365" s="64"/>
      <c r="J365" s="64"/>
      <c r="K365" s="64"/>
      <c r="L365" s="2">
        <f t="shared" si="27"/>
        <v>0</v>
      </c>
      <c r="M365" s="2"/>
      <c r="N365" s="2"/>
      <c r="O365" s="2"/>
      <c r="P365" s="2"/>
      <c r="Q365" s="2"/>
      <c r="R365" s="3"/>
      <c r="S365" s="3"/>
      <c r="T365" s="2"/>
      <c r="U365" s="2"/>
      <c r="V365" s="4"/>
      <c r="W365" s="4"/>
    </row>
    <row r="366" spans="1:23" s="5" customFormat="1" ht="15" customHeight="1" x14ac:dyDescent="0.25">
      <c r="A366" s="390"/>
      <c r="B366" s="50" t="s">
        <v>830</v>
      </c>
      <c r="C366" s="101">
        <v>-650000</v>
      </c>
      <c r="D366" s="55">
        <f t="shared" si="25"/>
        <v>16810058</v>
      </c>
      <c r="E366" s="36" t="s">
        <v>530</v>
      </c>
      <c r="F366" s="67"/>
      <c r="G366" s="64"/>
      <c r="H366" s="64"/>
      <c r="I366" s="64"/>
      <c r="J366" s="64"/>
      <c r="K366" s="64">
        <f>C366</f>
        <v>-650000</v>
      </c>
      <c r="L366" s="2">
        <f t="shared" si="27"/>
        <v>0</v>
      </c>
      <c r="M366" s="2"/>
      <c r="N366" s="2"/>
      <c r="O366" s="2"/>
      <c r="P366" s="2"/>
      <c r="Q366" s="2"/>
      <c r="R366" s="3"/>
      <c r="S366" s="3"/>
      <c r="T366" s="2"/>
      <c r="U366" s="2"/>
      <c r="V366" s="4"/>
      <c r="W366" s="4"/>
    </row>
    <row r="367" spans="1:23" s="5" customFormat="1" ht="15" customHeight="1" x14ac:dyDescent="0.25">
      <c r="A367" s="390"/>
      <c r="B367" s="50" t="s">
        <v>831</v>
      </c>
      <c r="C367" s="101">
        <v>660000</v>
      </c>
      <c r="D367" s="55">
        <f t="shared" si="25"/>
        <v>17470058</v>
      </c>
      <c r="E367" s="36" t="s">
        <v>59</v>
      </c>
      <c r="F367" s="67"/>
      <c r="G367" s="64">
        <f>C367</f>
        <v>660000</v>
      </c>
      <c r="H367" s="64"/>
      <c r="I367" s="64"/>
      <c r="J367" s="64"/>
      <c r="K367" s="64"/>
      <c r="L367" s="2">
        <f t="shared" si="27"/>
        <v>0</v>
      </c>
      <c r="M367" s="2"/>
      <c r="N367" s="2"/>
      <c r="O367" s="2"/>
      <c r="P367" s="2"/>
      <c r="Q367" s="2"/>
      <c r="R367" s="3"/>
      <c r="S367" s="3"/>
      <c r="T367" s="2"/>
      <c r="U367" s="2"/>
      <c r="V367" s="4"/>
      <c r="W367" s="4"/>
    </row>
    <row r="368" spans="1:23" s="5" customFormat="1" ht="15" customHeight="1" x14ac:dyDescent="0.25">
      <c r="A368" s="99">
        <v>45374</v>
      </c>
      <c r="B368" s="316" t="s">
        <v>163</v>
      </c>
      <c r="C368" s="101">
        <v>-11000</v>
      </c>
      <c r="D368" s="55">
        <f t="shared" si="25"/>
        <v>17459058</v>
      </c>
      <c r="E368" s="36" t="s">
        <v>530</v>
      </c>
      <c r="F368" s="67"/>
      <c r="G368" s="64"/>
      <c r="H368" s="64"/>
      <c r="I368" s="64"/>
      <c r="J368" s="64"/>
      <c r="K368" s="64">
        <f t="shared" ref="K368:K374" si="30">C368</f>
        <v>-11000</v>
      </c>
      <c r="L368" s="2">
        <f t="shared" si="27"/>
        <v>0</v>
      </c>
      <c r="M368" s="2"/>
      <c r="N368" s="2"/>
      <c r="O368" s="2"/>
      <c r="P368" s="2"/>
      <c r="Q368" s="2"/>
      <c r="R368" s="3"/>
      <c r="S368" s="3"/>
      <c r="T368" s="2"/>
      <c r="U368" s="2"/>
      <c r="V368" s="4"/>
      <c r="W368" s="4"/>
    </row>
    <row r="369" spans="1:23" s="5" customFormat="1" ht="15" customHeight="1" x14ac:dyDescent="0.25">
      <c r="A369" s="390"/>
      <c r="B369" s="316" t="s">
        <v>832</v>
      </c>
      <c r="C369" s="101">
        <v>-508000</v>
      </c>
      <c r="D369" s="55">
        <f t="shared" si="25"/>
        <v>16951058</v>
      </c>
      <c r="E369" s="36" t="s">
        <v>530</v>
      </c>
      <c r="F369" s="67"/>
      <c r="G369" s="64"/>
      <c r="H369" s="64"/>
      <c r="I369" s="64"/>
      <c r="J369" s="64"/>
      <c r="K369" s="64">
        <f t="shared" si="30"/>
        <v>-508000</v>
      </c>
      <c r="L369" s="2">
        <f t="shared" si="27"/>
        <v>0</v>
      </c>
      <c r="M369" s="2"/>
      <c r="N369" s="2"/>
      <c r="O369" s="2"/>
      <c r="P369" s="2"/>
      <c r="Q369" s="2"/>
      <c r="R369" s="3"/>
      <c r="S369" s="3"/>
      <c r="T369" s="2"/>
      <c r="U369" s="2"/>
      <c r="V369" s="4"/>
      <c r="W369" s="4"/>
    </row>
    <row r="370" spans="1:23" s="5" customFormat="1" ht="15" customHeight="1" x14ac:dyDescent="0.25">
      <c r="B370" s="316" t="s">
        <v>833</v>
      </c>
      <c r="C370" s="101">
        <v>1300000</v>
      </c>
      <c r="D370" s="55">
        <f t="shared" si="25"/>
        <v>18251058</v>
      </c>
      <c r="E370" s="36" t="s">
        <v>61</v>
      </c>
      <c r="F370" s="67"/>
      <c r="G370" s="64"/>
      <c r="H370" s="64"/>
      <c r="I370" s="64">
        <f>C370</f>
        <v>1300000</v>
      </c>
      <c r="J370" s="64"/>
      <c r="K370" s="64"/>
      <c r="L370" s="2">
        <f t="shared" si="27"/>
        <v>0</v>
      </c>
      <c r="M370" s="2"/>
      <c r="N370" s="2"/>
      <c r="O370" s="2"/>
      <c r="P370" s="2"/>
      <c r="Q370" s="2"/>
      <c r="R370" s="3"/>
      <c r="S370" s="3"/>
      <c r="T370" s="2"/>
      <c r="U370" s="2"/>
      <c r="V370" s="4"/>
      <c r="W370" s="4"/>
    </row>
    <row r="371" spans="1:23" s="5" customFormat="1" ht="15" customHeight="1" x14ac:dyDescent="0.25">
      <c r="A371" s="390"/>
      <c r="B371" s="316" t="s">
        <v>185</v>
      </c>
      <c r="C371" s="101">
        <v>-36000</v>
      </c>
      <c r="D371" s="55">
        <f t="shared" si="25"/>
        <v>18215058</v>
      </c>
      <c r="E371" s="36" t="s">
        <v>530</v>
      </c>
      <c r="F371" s="67"/>
      <c r="G371" s="64"/>
      <c r="H371" s="64"/>
      <c r="I371" s="64"/>
      <c r="J371" s="64"/>
      <c r="K371" s="64">
        <f t="shared" si="30"/>
        <v>-36000</v>
      </c>
      <c r="L371" s="2">
        <f t="shared" si="27"/>
        <v>0</v>
      </c>
      <c r="M371" s="2"/>
      <c r="N371" s="2"/>
      <c r="O371" s="2"/>
      <c r="P371" s="2"/>
      <c r="Q371" s="2"/>
      <c r="R371" s="3"/>
      <c r="S371" s="3"/>
      <c r="T371" s="2"/>
      <c r="U371" s="2"/>
      <c r="V371" s="4"/>
      <c r="W371" s="4"/>
    </row>
    <row r="372" spans="1:23" s="5" customFormat="1" ht="15" customHeight="1" x14ac:dyDescent="0.25">
      <c r="A372" s="390"/>
      <c r="B372" s="316" t="s">
        <v>267</v>
      </c>
      <c r="C372" s="101">
        <v>-2250000</v>
      </c>
      <c r="D372" s="55">
        <f t="shared" si="25"/>
        <v>15965058</v>
      </c>
      <c r="E372" s="36" t="s">
        <v>530</v>
      </c>
      <c r="F372" s="67"/>
      <c r="G372" s="64"/>
      <c r="H372" s="64"/>
      <c r="I372" s="64"/>
      <c r="J372" s="64"/>
      <c r="K372" s="64">
        <f t="shared" si="30"/>
        <v>-2250000</v>
      </c>
      <c r="L372" s="2">
        <f t="shared" si="27"/>
        <v>0</v>
      </c>
      <c r="M372" s="2"/>
      <c r="N372" s="2"/>
      <c r="O372" s="2"/>
      <c r="P372" s="2"/>
      <c r="Q372" s="2"/>
      <c r="R372" s="3"/>
      <c r="S372" s="3"/>
      <c r="T372" s="2"/>
      <c r="U372" s="2"/>
      <c r="V372" s="4"/>
      <c r="W372" s="4"/>
    </row>
    <row r="373" spans="1:23" s="5" customFormat="1" ht="15" customHeight="1" x14ac:dyDescent="0.25">
      <c r="A373" s="390"/>
      <c r="B373" s="316" t="s">
        <v>834</v>
      </c>
      <c r="C373" s="101"/>
      <c r="D373" s="55">
        <f t="shared" si="25"/>
        <v>15965058</v>
      </c>
      <c r="E373" s="36" t="s">
        <v>61</v>
      </c>
      <c r="F373" s="67"/>
      <c r="G373" s="64"/>
      <c r="H373" s="64"/>
      <c r="I373" s="64"/>
      <c r="J373" s="64"/>
      <c r="K373" s="64">
        <f t="shared" si="30"/>
        <v>0</v>
      </c>
      <c r="L373" s="2">
        <f t="shared" si="27"/>
        <v>0</v>
      </c>
      <c r="M373" s="2"/>
      <c r="N373" s="2"/>
      <c r="O373" s="2"/>
      <c r="P373" s="2"/>
      <c r="Q373" s="2"/>
      <c r="R373" s="3"/>
      <c r="S373" s="3"/>
      <c r="T373" s="2"/>
      <c r="U373" s="2"/>
      <c r="V373" s="4"/>
      <c r="W373" s="4"/>
    </row>
    <row r="374" spans="1:23" s="5" customFormat="1" ht="15" customHeight="1" x14ac:dyDescent="0.25">
      <c r="A374" s="390"/>
      <c r="B374" s="316" t="s">
        <v>227</v>
      </c>
      <c r="C374" s="101">
        <v>-910800</v>
      </c>
      <c r="D374" s="55">
        <f t="shared" si="25"/>
        <v>15054258</v>
      </c>
      <c r="E374" s="36" t="s">
        <v>530</v>
      </c>
      <c r="F374" s="67"/>
      <c r="G374" s="64"/>
      <c r="H374" s="64"/>
      <c r="I374" s="64"/>
      <c r="J374" s="64"/>
      <c r="K374" s="64">
        <f t="shared" si="30"/>
        <v>-910800</v>
      </c>
      <c r="L374" s="2">
        <f t="shared" si="27"/>
        <v>0</v>
      </c>
      <c r="M374" s="2"/>
      <c r="N374" s="2"/>
      <c r="O374" s="2"/>
      <c r="P374" s="2"/>
      <c r="Q374" s="2"/>
      <c r="R374" s="3"/>
      <c r="S374" s="3"/>
      <c r="T374" s="2"/>
      <c r="U374" s="2"/>
      <c r="V374" s="4"/>
      <c r="W374" s="4"/>
    </row>
    <row r="375" spans="1:23" s="5" customFormat="1" ht="15" customHeight="1" x14ac:dyDescent="0.25">
      <c r="A375" s="390"/>
      <c r="B375" s="316" t="s">
        <v>835</v>
      </c>
      <c r="C375" s="101"/>
      <c r="D375" s="55">
        <f t="shared" si="25"/>
        <v>15054258</v>
      </c>
      <c r="E375" s="36" t="s">
        <v>61</v>
      </c>
      <c r="F375" s="67"/>
      <c r="G375" s="64"/>
      <c r="H375" s="64"/>
      <c r="I375" s="64"/>
      <c r="J375" s="64"/>
      <c r="K375" s="64">
        <f>C375</f>
        <v>0</v>
      </c>
      <c r="L375" s="2">
        <f t="shared" si="27"/>
        <v>0</v>
      </c>
      <c r="M375" s="2"/>
      <c r="N375" s="2"/>
      <c r="O375" s="2"/>
      <c r="P375" s="2"/>
      <c r="Q375" s="2"/>
      <c r="R375" s="3"/>
      <c r="S375" s="3"/>
      <c r="T375" s="2"/>
      <c r="U375" s="2"/>
      <c r="V375" s="4"/>
      <c r="W375" s="4"/>
    </row>
    <row r="376" spans="1:23" s="5" customFormat="1" ht="15" customHeight="1" x14ac:dyDescent="0.25">
      <c r="A376" s="390"/>
      <c r="B376" s="316" t="s">
        <v>836</v>
      </c>
      <c r="C376" s="101">
        <v>220000</v>
      </c>
      <c r="D376" s="55">
        <f t="shared" si="25"/>
        <v>15274258</v>
      </c>
      <c r="E376" s="36" t="s">
        <v>59</v>
      </c>
      <c r="F376" s="67"/>
      <c r="G376" s="64">
        <f>C376</f>
        <v>220000</v>
      </c>
      <c r="H376" s="64"/>
      <c r="I376" s="64"/>
      <c r="J376" s="64"/>
      <c r="K376" s="64"/>
      <c r="L376" s="2">
        <f t="shared" si="27"/>
        <v>0</v>
      </c>
      <c r="M376" s="2"/>
      <c r="N376" s="2"/>
      <c r="O376" s="2"/>
      <c r="P376" s="2"/>
      <c r="Q376" s="2"/>
      <c r="R376" s="3"/>
      <c r="S376" s="3"/>
      <c r="T376" s="2"/>
      <c r="U376" s="2"/>
      <c r="V376" s="4"/>
      <c r="W376" s="4"/>
    </row>
    <row r="377" spans="1:23" s="5" customFormat="1" ht="15" customHeight="1" x14ac:dyDescent="0.25">
      <c r="B377" s="316" t="s">
        <v>837</v>
      </c>
      <c r="C377" s="101">
        <v>-200000</v>
      </c>
      <c r="D377" s="55">
        <f t="shared" si="25"/>
        <v>15074258</v>
      </c>
      <c r="E377" s="36" t="s">
        <v>530</v>
      </c>
      <c r="F377" s="67"/>
      <c r="G377" s="64"/>
      <c r="H377" s="64"/>
      <c r="I377" s="64"/>
      <c r="J377" s="64"/>
      <c r="K377" s="64">
        <f>C377</f>
        <v>-200000</v>
      </c>
      <c r="L377" s="2">
        <f t="shared" si="27"/>
        <v>0</v>
      </c>
      <c r="M377" s="2"/>
      <c r="N377" s="2"/>
      <c r="O377" s="2"/>
      <c r="P377" s="2"/>
      <c r="Q377" s="2"/>
      <c r="R377" s="3"/>
      <c r="S377" s="3"/>
      <c r="T377" s="2"/>
      <c r="U377" s="2"/>
      <c r="V377" s="4"/>
      <c r="W377" s="4"/>
    </row>
    <row r="378" spans="1:23" s="5" customFormat="1" ht="15" customHeight="1" x14ac:dyDescent="0.25">
      <c r="A378" s="389"/>
      <c r="B378" s="316" t="s">
        <v>838</v>
      </c>
      <c r="C378" s="101">
        <v>-1800000</v>
      </c>
      <c r="D378" s="55">
        <f t="shared" si="25"/>
        <v>13274258</v>
      </c>
      <c r="E378" s="36" t="s">
        <v>530</v>
      </c>
      <c r="F378" s="67"/>
      <c r="G378" s="64"/>
      <c r="H378" s="64"/>
      <c r="I378" s="64"/>
      <c r="J378" s="64"/>
      <c r="K378" s="64">
        <f>C378</f>
        <v>-1800000</v>
      </c>
      <c r="L378" s="2">
        <f t="shared" si="27"/>
        <v>0</v>
      </c>
      <c r="M378" s="2"/>
      <c r="N378" s="2"/>
      <c r="O378" s="2"/>
      <c r="P378" s="2"/>
      <c r="Q378" s="2"/>
      <c r="R378" s="3"/>
      <c r="S378" s="3"/>
      <c r="T378" s="2"/>
      <c r="U378" s="2"/>
      <c r="V378" s="4"/>
      <c r="W378" s="4"/>
    </row>
    <row r="379" spans="1:23" s="5" customFormat="1" ht="15" customHeight="1" x14ac:dyDescent="0.25">
      <c r="B379" s="316" t="s">
        <v>839</v>
      </c>
      <c r="C379" s="101">
        <v>-1500000</v>
      </c>
      <c r="D379" s="55">
        <f t="shared" si="25"/>
        <v>11774258</v>
      </c>
      <c r="E379" s="36" t="s">
        <v>530</v>
      </c>
      <c r="F379" s="67"/>
      <c r="G379" s="64"/>
      <c r="H379" s="64"/>
      <c r="I379" s="64"/>
      <c r="J379" s="64"/>
      <c r="K379" s="64">
        <f>C379</f>
        <v>-1500000</v>
      </c>
      <c r="L379" s="2">
        <f t="shared" si="27"/>
        <v>0</v>
      </c>
      <c r="M379" s="2"/>
      <c r="N379" s="2"/>
      <c r="O379" s="2"/>
      <c r="P379" s="2"/>
      <c r="Q379" s="2"/>
      <c r="R379" s="3"/>
      <c r="S379" s="3"/>
      <c r="T379" s="2"/>
      <c r="U379" s="2"/>
      <c r="V379" s="4"/>
      <c r="W379" s="4"/>
    </row>
    <row r="380" spans="1:23" s="5" customFormat="1" ht="15" customHeight="1" x14ac:dyDescent="0.25">
      <c r="B380" s="316" t="s">
        <v>840</v>
      </c>
      <c r="C380" s="101">
        <v>-1000000</v>
      </c>
      <c r="D380" s="55">
        <f t="shared" si="25"/>
        <v>10774258</v>
      </c>
      <c r="E380" s="36" t="s">
        <v>530</v>
      </c>
      <c r="F380" s="67"/>
      <c r="G380" s="64"/>
      <c r="H380" s="64"/>
      <c r="I380" s="64"/>
      <c r="J380" s="64"/>
      <c r="K380" s="64">
        <f>C380</f>
        <v>-1000000</v>
      </c>
      <c r="L380" s="2">
        <f t="shared" si="27"/>
        <v>0</v>
      </c>
      <c r="M380" s="2"/>
      <c r="N380" s="2"/>
      <c r="O380" s="2"/>
      <c r="P380" s="2"/>
      <c r="Q380" s="2"/>
      <c r="R380" s="3"/>
      <c r="S380" s="3"/>
      <c r="T380" s="2"/>
      <c r="U380" s="2"/>
      <c r="V380" s="4"/>
      <c r="W380" s="4"/>
    </row>
    <row r="381" spans="1:23" s="5" customFormat="1" ht="15" customHeight="1" x14ac:dyDescent="0.25">
      <c r="A381" s="390"/>
      <c r="B381" s="316" t="s">
        <v>841</v>
      </c>
      <c r="C381" s="101">
        <v>30000</v>
      </c>
      <c r="D381" s="55">
        <f t="shared" si="25"/>
        <v>10804258</v>
      </c>
      <c r="E381" s="36" t="s">
        <v>1</v>
      </c>
      <c r="F381" s="67"/>
      <c r="G381" s="64"/>
      <c r="H381" s="64">
        <f>C381</f>
        <v>30000</v>
      </c>
      <c r="I381" s="64"/>
      <c r="J381" s="64"/>
      <c r="K381" s="64"/>
      <c r="L381" s="2">
        <f t="shared" si="27"/>
        <v>0</v>
      </c>
      <c r="M381" s="2"/>
      <c r="N381" s="2"/>
      <c r="O381" s="2"/>
      <c r="P381" s="2"/>
      <c r="Q381" s="2"/>
      <c r="R381" s="3"/>
      <c r="S381" s="3"/>
      <c r="T381" s="2"/>
      <c r="U381" s="2"/>
      <c r="V381" s="4"/>
      <c r="W381" s="4"/>
    </row>
    <row r="382" spans="1:23" s="5" customFormat="1" ht="15" customHeight="1" x14ac:dyDescent="0.25">
      <c r="A382" s="390"/>
      <c r="B382" s="316" t="s">
        <v>842</v>
      </c>
      <c r="C382" s="101">
        <v>200000</v>
      </c>
      <c r="D382" s="55">
        <f t="shared" si="25"/>
        <v>11004258</v>
      </c>
      <c r="E382" s="36" t="s">
        <v>61</v>
      </c>
      <c r="F382" s="67"/>
      <c r="G382" s="64"/>
      <c r="H382" s="64"/>
      <c r="I382" s="64">
        <f>C382</f>
        <v>200000</v>
      </c>
      <c r="J382" s="64"/>
      <c r="K382" s="64"/>
      <c r="L382" s="2">
        <f t="shared" si="27"/>
        <v>0</v>
      </c>
      <c r="M382" s="2"/>
      <c r="N382" s="2"/>
      <c r="O382" s="2"/>
      <c r="P382" s="2"/>
      <c r="Q382" s="2"/>
      <c r="R382" s="3"/>
      <c r="S382" s="3"/>
      <c r="T382" s="2"/>
      <c r="U382" s="2"/>
      <c r="V382" s="4"/>
      <c r="W382" s="4"/>
    </row>
    <row r="383" spans="1:23" s="5" customFormat="1" ht="15" customHeight="1" x14ac:dyDescent="0.25">
      <c r="A383" s="390"/>
      <c r="B383" s="316" t="s">
        <v>843</v>
      </c>
      <c r="C383" s="101">
        <v>-5000000</v>
      </c>
      <c r="D383" s="55">
        <f t="shared" si="25"/>
        <v>6004258</v>
      </c>
      <c r="E383" s="36" t="s">
        <v>530</v>
      </c>
      <c r="F383" s="67"/>
      <c r="G383" s="64"/>
      <c r="H383" s="64"/>
      <c r="I383" s="64"/>
      <c r="J383" s="64"/>
      <c r="K383" s="64">
        <f>C383</f>
        <v>-5000000</v>
      </c>
      <c r="L383" s="2">
        <f t="shared" si="27"/>
        <v>0</v>
      </c>
      <c r="M383" s="2"/>
      <c r="N383" s="2"/>
      <c r="O383" s="2"/>
      <c r="P383" s="2"/>
      <c r="Q383" s="2"/>
      <c r="R383" s="3"/>
      <c r="S383" s="3"/>
      <c r="T383" s="2"/>
      <c r="U383" s="2"/>
      <c r="V383" s="4"/>
      <c r="W383" s="4"/>
    </row>
    <row r="384" spans="1:23" s="5" customFormat="1" ht="15" customHeight="1" x14ac:dyDescent="0.25">
      <c r="A384" s="390"/>
      <c r="B384" s="316" t="s">
        <v>844</v>
      </c>
      <c r="C384" s="101">
        <v>100000</v>
      </c>
      <c r="D384" s="55">
        <f t="shared" si="25"/>
        <v>6104258</v>
      </c>
      <c r="E384" s="36" t="s">
        <v>61</v>
      </c>
      <c r="F384" s="67"/>
      <c r="G384" s="64"/>
      <c r="H384" s="64">
        <f>C384</f>
        <v>100000</v>
      </c>
      <c r="I384" s="64"/>
      <c r="J384" s="64"/>
      <c r="K384" s="64"/>
      <c r="L384" s="2">
        <f t="shared" si="27"/>
        <v>0</v>
      </c>
      <c r="M384" s="2"/>
      <c r="N384" s="2"/>
      <c r="O384" s="2"/>
      <c r="P384" s="2"/>
      <c r="Q384" s="2"/>
      <c r="R384" s="3"/>
      <c r="S384" s="3"/>
      <c r="T384" s="2"/>
      <c r="U384" s="2"/>
      <c r="V384" s="4"/>
      <c r="W384" s="4"/>
    </row>
    <row r="385" spans="1:23" s="5" customFormat="1" ht="15" customHeight="1" x14ac:dyDescent="0.25">
      <c r="A385" s="390"/>
      <c r="B385" s="316" t="s">
        <v>845</v>
      </c>
      <c r="C385" s="101">
        <v>660000</v>
      </c>
      <c r="D385" s="55">
        <f t="shared" si="25"/>
        <v>6764258</v>
      </c>
      <c r="E385" s="36" t="s">
        <v>61</v>
      </c>
      <c r="F385" s="67"/>
      <c r="G385" s="64"/>
      <c r="H385" s="64"/>
      <c r="I385" s="64">
        <f>C385</f>
        <v>660000</v>
      </c>
      <c r="J385" s="64"/>
      <c r="K385" s="64"/>
      <c r="L385" s="2">
        <f t="shared" si="27"/>
        <v>0</v>
      </c>
      <c r="M385" s="2"/>
      <c r="N385" s="2"/>
      <c r="O385" s="2"/>
      <c r="P385" s="2"/>
      <c r="Q385" s="2"/>
      <c r="R385" s="3"/>
      <c r="S385" s="3"/>
      <c r="T385" s="2"/>
      <c r="U385" s="2"/>
      <c r="V385" s="4"/>
      <c r="W385" s="4"/>
    </row>
    <row r="386" spans="1:23" s="5" customFormat="1" ht="15" customHeight="1" x14ac:dyDescent="0.25">
      <c r="B386" s="316" t="s">
        <v>846</v>
      </c>
      <c r="C386" s="101"/>
      <c r="D386" s="55">
        <f t="shared" ref="D386:D449" si="31">SUM(D385,C386)</f>
        <v>6764258</v>
      </c>
      <c r="E386" s="36" t="s">
        <v>59</v>
      </c>
      <c r="F386" s="67"/>
      <c r="G386" s="64"/>
      <c r="H386" s="64"/>
      <c r="I386" s="64"/>
      <c r="J386" s="64"/>
      <c r="K386" s="64">
        <f t="shared" ref="K386:K412" si="32">C386</f>
        <v>0</v>
      </c>
      <c r="L386" s="2">
        <f t="shared" si="27"/>
        <v>0</v>
      </c>
      <c r="M386" s="2"/>
      <c r="N386" s="2"/>
      <c r="O386" s="2"/>
      <c r="P386" s="2"/>
      <c r="Q386" s="2"/>
      <c r="R386" s="3"/>
      <c r="S386" s="3"/>
      <c r="T386" s="2"/>
      <c r="U386" s="2"/>
      <c r="V386" s="4"/>
      <c r="W386" s="4"/>
    </row>
    <row r="387" spans="1:23" s="5" customFormat="1" ht="15" customHeight="1" x14ac:dyDescent="0.25">
      <c r="A387" s="390"/>
      <c r="B387" s="316" t="s">
        <v>847</v>
      </c>
      <c r="C387" s="101">
        <v>660000</v>
      </c>
      <c r="D387" s="55">
        <f t="shared" si="31"/>
        <v>7424258</v>
      </c>
      <c r="E387" s="36" t="s">
        <v>59</v>
      </c>
      <c r="F387" s="67"/>
      <c r="G387" s="64">
        <f>C387</f>
        <v>660000</v>
      </c>
      <c r="H387" s="64"/>
      <c r="I387" s="64"/>
      <c r="J387" s="64"/>
      <c r="K387" s="64"/>
      <c r="L387" s="2">
        <f t="shared" ref="L387:L489" si="33">C387-F387-G387-H387-I387-J387-K387</f>
        <v>0</v>
      </c>
      <c r="M387" s="2"/>
      <c r="N387" s="2"/>
      <c r="O387" s="2"/>
      <c r="P387" s="2"/>
      <c r="Q387" s="2"/>
      <c r="R387" s="3"/>
      <c r="S387" s="3"/>
      <c r="T387" s="2"/>
      <c r="U387" s="2"/>
      <c r="V387" s="4"/>
      <c r="W387" s="4"/>
    </row>
    <row r="388" spans="1:23" s="5" customFormat="1" ht="15" customHeight="1" x14ac:dyDescent="0.25">
      <c r="A388" s="390">
        <v>45375</v>
      </c>
      <c r="B388" s="316" t="s">
        <v>848</v>
      </c>
      <c r="C388" s="101">
        <v>-11000</v>
      </c>
      <c r="D388" s="55">
        <f t="shared" si="31"/>
        <v>7413258</v>
      </c>
      <c r="E388" s="36" t="s">
        <v>530</v>
      </c>
      <c r="F388" s="67"/>
      <c r="G388" s="64"/>
      <c r="H388" s="64"/>
      <c r="I388" s="64"/>
      <c r="J388" s="64"/>
      <c r="K388" s="64">
        <f t="shared" si="32"/>
        <v>-11000</v>
      </c>
      <c r="L388" s="2">
        <f t="shared" si="33"/>
        <v>0</v>
      </c>
      <c r="M388" s="2"/>
      <c r="N388" s="2"/>
      <c r="O388" s="2"/>
      <c r="P388" s="2"/>
      <c r="Q388" s="2"/>
      <c r="R388" s="3"/>
      <c r="S388" s="3"/>
      <c r="T388" s="2"/>
      <c r="U388" s="2"/>
      <c r="V388" s="4"/>
      <c r="W388" s="4"/>
    </row>
    <row r="389" spans="1:23" s="5" customFormat="1" ht="15" customHeight="1" x14ac:dyDescent="0.25">
      <c r="B389" s="316" t="s">
        <v>849</v>
      </c>
      <c r="C389" s="101"/>
      <c r="D389" s="55">
        <f t="shared" si="31"/>
        <v>7413258</v>
      </c>
      <c r="E389" s="36" t="s">
        <v>59</v>
      </c>
      <c r="F389" s="67"/>
      <c r="G389" s="64"/>
      <c r="H389" s="64"/>
      <c r="I389" s="64"/>
      <c r="J389" s="64"/>
      <c r="K389" s="64">
        <f t="shared" si="32"/>
        <v>0</v>
      </c>
      <c r="L389" s="2">
        <f t="shared" si="33"/>
        <v>0</v>
      </c>
      <c r="M389" s="2"/>
      <c r="N389" s="2"/>
      <c r="O389" s="2"/>
      <c r="P389" s="2"/>
      <c r="Q389" s="2"/>
      <c r="R389" s="3"/>
      <c r="S389" s="3"/>
      <c r="T389" s="2"/>
      <c r="U389" s="2"/>
      <c r="V389" s="4"/>
      <c r="W389" s="4"/>
    </row>
    <row r="390" spans="1:23" s="5" customFormat="1" ht="15" customHeight="1" x14ac:dyDescent="0.25">
      <c r="A390" s="390"/>
      <c r="B390" s="316" t="s">
        <v>850</v>
      </c>
      <c r="C390" s="101">
        <v>-1177500</v>
      </c>
      <c r="D390" s="55">
        <f t="shared" si="31"/>
        <v>6235758</v>
      </c>
      <c r="E390" s="36" t="s">
        <v>530</v>
      </c>
      <c r="F390" s="67"/>
      <c r="G390" s="64"/>
      <c r="H390" s="64"/>
      <c r="I390" s="64"/>
      <c r="J390" s="64"/>
      <c r="K390" s="64">
        <f t="shared" si="32"/>
        <v>-1177500</v>
      </c>
      <c r="L390" s="2">
        <f t="shared" si="33"/>
        <v>0</v>
      </c>
      <c r="M390" s="2"/>
      <c r="N390" s="2"/>
      <c r="O390" s="2"/>
      <c r="P390" s="2"/>
      <c r="Q390" s="2"/>
      <c r="R390" s="3"/>
      <c r="S390" s="3"/>
      <c r="T390" s="2"/>
      <c r="U390" s="2"/>
      <c r="V390" s="4"/>
      <c r="W390" s="4"/>
    </row>
    <row r="391" spans="1:23" s="5" customFormat="1" ht="15" customHeight="1" x14ac:dyDescent="0.25">
      <c r="B391" s="316" t="s">
        <v>851</v>
      </c>
      <c r="C391" s="101">
        <v>-1101050</v>
      </c>
      <c r="D391" s="55">
        <f t="shared" si="31"/>
        <v>5134708</v>
      </c>
      <c r="E391" s="36" t="s">
        <v>530</v>
      </c>
      <c r="F391" s="67"/>
      <c r="G391" s="64"/>
      <c r="H391" s="64"/>
      <c r="I391" s="64"/>
      <c r="J391" s="64"/>
      <c r="K391" s="64">
        <f t="shared" si="32"/>
        <v>-1101050</v>
      </c>
      <c r="L391" s="2">
        <f t="shared" si="33"/>
        <v>0</v>
      </c>
      <c r="M391" s="2"/>
      <c r="N391" s="2"/>
      <c r="O391" s="2"/>
      <c r="P391" s="2"/>
      <c r="Q391" s="2"/>
      <c r="R391" s="3"/>
      <c r="S391" s="3"/>
      <c r="T391" s="2"/>
      <c r="U391" s="2"/>
      <c r="V391" s="4"/>
      <c r="W391" s="4"/>
    </row>
    <row r="392" spans="1:23" s="5" customFormat="1" ht="15" customHeight="1" x14ac:dyDescent="0.25">
      <c r="A392" s="390"/>
      <c r="B392" s="316" t="s">
        <v>852</v>
      </c>
      <c r="C392" s="101"/>
      <c r="D392" s="55">
        <f t="shared" si="31"/>
        <v>5134708</v>
      </c>
      <c r="E392" s="36" t="s">
        <v>61</v>
      </c>
      <c r="F392" s="67"/>
      <c r="G392" s="64"/>
      <c r="H392" s="64"/>
      <c r="I392" s="64"/>
      <c r="J392" s="64"/>
      <c r="K392" s="64">
        <f t="shared" si="32"/>
        <v>0</v>
      </c>
      <c r="L392" s="2">
        <f t="shared" si="33"/>
        <v>0</v>
      </c>
      <c r="M392" s="2"/>
      <c r="N392" s="2"/>
      <c r="O392" s="2"/>
      <c r="P392" s="2"/>
      <c r="Q392" s="2"/>
      <c r="R392" s="3"/>
      <c r="S392" s="3"/>
      <c r="T392" s="2"/>
      <c r="U392" s="2"/>
      <c r="V392" s="4"/>
      <c r="W392" s="4"/>
    </row>
    <row r="393" spans="1:23" s="5" customFormat="1" ht="15" customHeight="1" x14ac:dyDescent="0.25">
      <c r="A393" s="390"/>
      <c r="B393" s="316" t="s">
        <v>853</v>
      </c>
      <c r="C393" s="101"/>
      <c r="D393" s="55">
        <f t="shared" si="31"/>
        <v>5134708</v>
      </c>
      <c r="E393" s="36" t="s">
        <v>59</v>
      </c>
      <c r="F393" s="67"/>
      <c r="G393" s="64"/>
      <c r="H393" s="64"/>
      <c r="I393" s="64"/>
      <c r="J393" s="64"/>
      <c r="K393" s="64">
        <f t="shared" si="32"/>
        <v>0</v>
      </c>
      <c r="L393" s="2">
        <f t="shared" si="33"/>
        <v>0</v>
      </c>
      <c r="M393" s="2"/>
      <c r="N393" s="2"/>
      <c r="O393" s="2"/>
      <c r="P393" s="2"/>
      <c r="Q393" s="2"/>
      <c r="R393" s="3"/>
      <c r="S393" s="3"/>
      <c r="T393" s="2"/>
      <c r="U393" s="2"/>
      <c r="V393" s="4"/>
      <c r="W393" s="4"/>
    </row>
    <row r="394" spans="1:23" s="5" customFormat="1" ht="15" customHeight="1" x14ac:dyDescent="0.25">
      <c r="A394" s="390"/>
      <c r="B394" s="316" t="s">
        <v>264</v>
      </c>
      <c r="C394" s="101">
        <v>-8000</v>
      </c>
      <c r="D394" s="55">
        <f t="shared" si="31"/>
        <v>5126708</v>
      </c>
      <c r="E394" s="36" t="s">
        <v>530</v>
      </c>
      <c r="F394" s="67"/>
      <c r="G394" s="64"/>
      <c r="H394" s="64"/>
      <c r="I394" s="64"/>
      <c r="J394" s="64"/>
      <c r="K394" s="64">
        <f t="shared" si="32"/>
        <v>-8000</v>
      </c>
      <c r="L394" s="2">
        <f t="shared" si="33"/>
        <v>0</v>
      </c>
      <c r="M394" s="2"/>
      <c r="N394" s="2"/>
      <c r="O394" s="2"/>
      <c r="P394" s="2"/>
      <c r="Q394" s="2"/>
      <c r="R394" s="3"/>
      <c r="S394" s="3"/>
      <c r="T394" s="2"/>
      <c r="U394" s="2"/>
      <c r="V394" s="4"/>
      <c r="W394" s="4"/>
    </row>
    <row r="395" spans="1:23" s="5" customFormat="1" ht="15" customHeight="1" x14ac:dyDescent="0.25">
      <c r="A395" s="390"/>
      <c r="B395" s="316" t="s">
        <v>854</v>
      </c>
      <c r="C395" s="101">
        <v>-9000</v>
      </c>
      <c r="D395" s="55">
        <f t="shared" si="31"/>
        <v>5117708</v>
      </c>
      <c r="E395" s="36" t="s">
        <v>530</v>
      </c>
      <c r="F395" s="67"/>
      <c r="G395" s="64"/>
      <c r="H395" s="64"/>
      <c r="I395" s="64"/>
      <c r="J395" s="64"/>
      <c r="K395" s="64">
        <f t="shared" si="32"/>
        <v>-9000</v>
      </c>
      <c r="L395" s="2">
        <f t="shared" si="33"/>
        <v>0</v>
      </c>
      <c r="M395" s="2"/>
      <c r="N395" s="2"/>
      <c r="O395" s="2"/>
      <c r="P395" s="2"/>
      <c r="Q395" s="2"/>
      <c r="R395" s="3"/>
      <c r="S395" s="3"/>
      <c r="T395" s="2"/>
      <c r="U395" s="2"/>
      <c r="V395" s="4"/>
      <c r="W395" s="4"/>
    </row>
    <row r="396" spans="1:23" s="5" customFormat="1" ht="15" customHeight="1" x14ac:dyDescent="0.25">
      <c r="A396" s="390"/>
      <c r="B396" s="316" t="s">
        <v>185</v>
      </c>
      <c r="C396" s="101">
        <v>-147800</v>
      </c>
      <c r="D396" s="55">
        <f t="shared" si="31"/>
        <v>4969908</v>
      </c>
      <c r="E396" s="36" t="s">
        <v>530</v>
      </c>
      <c r="F396" s="67"/>
      <c r="G396" s="64"/>
      <c r="H396" s="64"/>
      <c r="I396" s="64"/>
      <c r="J396" s="64"/>
      <c r="K396" s="64">
        <f t="shared" si="32"/>
        <v>-147800</v>
      </c>
      <c r="L396" s="2">
        <f t="shared" si="33"/>
        <v>0</v>
      </c>
      <c r="M396" s="2"/>
      <c r="N396" s="2"/>
      <c r="O396" s="2"/>
      <c r="P396" s="2"/>
      <c r="Q396" s="2"/>
      <c r="R396" s="3"/>
      <c r="S396" s="3"/>
      <c r="T396" s="2"/>
      <c r="U396" s="2"/>
      <c r="V396" s="4"/>
      <c r="W396" s="4"/>
    </row>
    <row r="397" spans="1:23" s="5" customFormat="1" ht="15" customHeight="1" x14ac:dyDescent="0.25">
      <c r="A397" s="390"/>
      <c r="B397" s="316" t="s">
        <v>855</v>
      </c>
      <c r="C397" s="101">
        <v>40000</v>
      </c>
      <c r="D397" s="55">
        <f t="shared" si="31"/>
        <v>5009908</v>
      </c>
      <c r="E397" s="36" t="s">
        <v>1</v>
      </c>
      <c r="F397" s="67"/>
      <c r="G397" s="64"/>
      <c r="H397" s="64">
        <f>C397</f>
        <v>40000</v>
      </c>
      <c r="I397" s="64"/>
      <c r="J397" s="64"/>
      <c r="K397" s="64"/>
      <c r="L397" s="2">
        <f t="shared" si="33"/>
        <v>0</v>
      </c>
      <c r="M397" s="2"/>
      <c r="N397" s="2"/>
      <c r="O397" s="2"/>
      <c r="P397" s="2"/>
      <c r="Q397" s="2"/>
      <c r="R397" s="3"/>
      <c r="S397" s="3"/>
      <c r="T397" s="2"/>
      <c r="U397" s="2"/>
      <c r="V397" s="4"/>
      <c r="W397" s="4"/>
    </row>
    <row r="398" spans="1:23" s="5" customFormat="1" ht="15" customHeight="1" x14ac:dyDescent="0.25">
      <c r="B398" s="316" t="s">
        <v>856</v>
      </c>
      <c r="C398" s="101">
        <v>-34900</v>
      </c>
      <c r="D398" s="55">
        <f t="shared" si="31"/>
        <v>4975008</v>
      </c>
      <c r="E398" s="36" t="s">
        <v>530</v>
      </c>
      <c r="F398" s="67"/>
      <c r="G398" s="64"/>
      <c r="H398" s="64"/>
      <c r="I398" s="64"/>
      <c r="J398" s="64"/>
      <c r="K398" s="64">
        <f t="shared" si="32"/>
        <v>-34900</v>
      </c>
      <c r="L398" s="2">
        <f t="shared" si="33"/>
        <v>0</v>
      </c>
      <c r="M398" s="2"/>
      <c r="N398" s="2"/>
      <c r="O398" s="2"/>
      <c r="P398" s="2"/>
      <c r="Q398" s="2"/>
      <c r="R398" s="3"/>
      <c r="S398" s="3"/>
      <c r="T398" s="2"/>
      <c r="U398" s="2"/>
      <c r="V398" s="4"/>
      <c r="W398" s="4"/>
    </row>
    <row r="399" spans="1:23" s="5" customFormat="1" ht="15" customHeight="1" x14ac:dyDescent="0.25">
      <c r="A399" s="390"/>
      <c r="B399" s="316" t="s">
        <v>857</v>
      </c>
      <c r="C399" s="101">
        <v>1500000</v>
      </c>
      <c r="D399" s="55">
        <f t="shared" si="31"/>
        <v>6475008</v>
      </c>
      <c r="E399" s="36" t="s">
        <v>214</v>
      </c>
      <c r="F399" s="67">
        <f>C399</f>
        <v>1500000</v>
      </c>
      <c r="G399" s="64"/>
      <c r="H399" s="64"/>
      <c r="I399" s="64"/>
      <c r="J399" s="64"/>
      <c r="K399" s="64"/>
      <c r="L399" s="2">
        <f t="shared" si="33"/>
        <v>0</v>
      </c>
      <c r="M399" s="2"/>
      <c r="N399" s="2"/>
      <c r="O399" s="2"/>
      <c r="P399" s="2"/>
      <c r="Q399" s="2"/>
      <c r="R399" s="3"/>
      <c r="S399" s="3"/>
      <c r="T399" s="2"/>
      <c r="U399" s="2"/>
      <c r="V399" s="4"/>
      <c r="W399" s="4"/>
    </row>
    <row r="400" spans="1:23" s="5" customFormat="1" ht="15" customHeight="1" x14ac:dyDescent="0.25">
      <c r="A400" s="390"/>
      <c r="B400" s="316" t="s">
        <v>858</v>
      </c>
      <c r="C400" s="101">
        <v>580000</v>
      </c>
      <c r="D400" s="55">
        <f t="shared" si="31"/>
        <v>7055008</v>
      </c>
      <c r="E400" s="36" t="s">
        <v>214</v>
      </c>
      <c r="F400" s="67">
        <f>C400</f>
        <v>580000</v>
      </c>
      <c r="G400" s="64"/>
      <c r="H400" s="64"/>
      <c r="I400" s="64"/>
      <c r="J400" s="64"/>
      <c r="K400" s="64"/>
      <c r="L400" s="2">
        <f t="shared" si="33"/>
        <v>0</v>
      </c>
      <c r="M400" s="2"/>
      <c r="N400" s="2"/>
      <c r="O400" s="2"/>
      <c r="P400" s="2"/>
      <c r="Q400" s="2"/>
      <c r="R400" s="3"/>
      <c r="S400" s="3"/>
      <c r="T400" s="2"/>
      <c r="U400" s="2"/>
      <c r="V400" s="4"/>
      <c r="W400" s="4"/>
    </row>
    <row r="401" spans="1:23" s="5" customFormat="1" ht="15" customHeight="1" x14ac:dyDescent="0.25">
      <c r="A401" s="390"/>
      <c r="B401" s="316" t="s">
        <v>859</v>
      </c>
      <c r="C401" s="101">
        <v>-40000</v>
      </c>
      <c r="D401" s="55">
        <f t="shared" si="31"/>
        <v>7015008</v>
      </c>
      <c r="E401" s="36" t="s">
        <v>530</v>
      </c>
      <c r="F401" s="67"/>
      <c r="G401" s="64"/>
      <c r="H401" s="64"/>
      <c r="I401" s="64"/>
      <c r="J401" s="64"/>
      <c r="K401" s="64">
        <f t="shared" si="32"/>
        <v>-40000</v>
      </c>
      <c r="L401" s="2">
        <f t="shared" si="33"/>
        <v>0</v>
      </c>
      <c r="M401" s="2"/>
      <c r="N401" s="2"/>
      <c r="O401" s="2"/>
      <c r="P401" s="2"/>
      <c r="Q401" s="2"/>
      <c r="R401" s="3"/>
      <c r="S401" s="3"/>
      <c r="T401" s="2"/>
      <c r="U401" s="2"/>
      <c r="V401" s="4"/>
      <c r="W401" s="4"/>
    </row>
    <row r="402" spans="1:23" s="5" customFormat="1" ht="15" customHeight="1" x14ac:dyDescent="0.25">
      <c r="A402" s="390"/>
      <c r="B402" s="316" t="s">
        <v>860</v>
      </c>
      <c r="C402" s="101">
        <v>150000</v>
      </c>
      <c r="D402" s="55">
        <f t="shared" si="31"/>
        <v>7165008</v>
      </c>
      <c r="E402" s="36" t="s">
        <v>59</v>
      </c>
      <c r="F402" s="67"/>
      <c r="G402" s="64">
        <f>C402</f>
        <v>150000</v>
      </c>
      <c r="H402" s="64"/>
      <c r="I402" s="64"/>
      <c r="J402" s="64"/>
      <c r="K402" s="64"/>
      <c r="L402" s="2">
        <f t="shared" si="33"/>
        <v>0</v>
      </c>
      <c r="M402" s="2"/>
      <c r="N402" s="2"/>
      <c r="O402" s="2"/>
      <c r="P402" s="2"/>
      <c r="Q402" s="2"/>
      <c r="R402" s="3"/>
      <c r="S402" s="3"/>
      <c r="T402" s="2"/>
      <c r="U402" s="2"/>
      <c r="V402" s="4"/>
      <c r="W402" s="4"/>
    </row>
    <row r="403" spans="1:23" s="5" customFormat="1" ht="15" customHeight="1" x14ac:dyDescent="0.25">
      <c r="A403" s="390">
        <v>45376</v>
      </c>
      <c r="B403" s="316" t="s">
        <v>861</v>
      </c>
      <c r="C403" s="101">
        <v>-11000</v>
      </c>
      <c r="D403" s="55">
        <f t="shared" si="31"/>
        <v>7154008</v>
      </c>
      <c r="E403" s="36" t="s">
        <v>530</v>
      </c>
      <c r="F403" s="67"/>
      <c r="G403" s="64"/>
      <c r="H403" s="64"/>
      <c r="I403" s="64"/>
      <c r="J403" s="64"/>
      <c r="K403" s="64">
        <f t="shared" si="32"/>
        <v>-11000</v>
      </c>
      <c r="L403" s="2">
        <f t="shared" si="33"/>
        <v>0</v>
      </c>
      <c r="M403" s="2"/>
      <c r="N403" s="2"/>
      <c r="O403" s="2"/>
      <c r="P403" s="2"/>
      <c r="Q403" s="2"/>
      <c r="R403" s="3"/>
      <c r="S403" s="3"/>
      <c r="T403" s="2"/>
      <c r="U403" s="2"/>
      <c r="V403" s="4"/>
      <c r="W403" s="4"/>
    </row>
    <row r="404" spans="1:23" s="5" customFormat="1" ht="15" customHeight="1" x14ac:dyDescent="0.25">
      <c r="A404" s="390"/>
      <c r="B404" s="316" t="s">
        <v>862</v>
      </c>
      <c r="C404" s="101">
        <v>2500000</v>
      </c>
      <c r="D404" s="55">
        <f t="shared" si="31"/>
        <v>9654008</v>
      </c>
      <c r="E404" s="36" t="s">
        <v>61</v>
      </c>
      <c r="F404" s="67"/>
      <c r="G404" s="64"/>
      <c r="H404" s="64"/>
      <c r="I404" s="64">
        <f>C404</f>
        <v>2500000</v>
      </c>
      <c r="J404" s="64"/>
      <c r="K404" s="64"/>
      <c r="L404" s="2">
        <f t="shared" si="33"/>
        <v>0</v>
      </c>
      <c r="M404" s="2"/>
      <c r="N404" s="2"/>
      <c r="O404" s="2"/>
      <c r="P404" s="2"/>
      <c r="Q404" s="2"/>
      <c r="R404" s="3"/>
      <c r="S404" s="3"/>
      <c r="T404" s="2"/>
      <c r="U404" s="2"/>
      <c r="V404" s="4"/>
      <c r="W404" s="4"/>
    </row>
    <row r="405" spans="1:23" s="5" customFormat="1" ht="15" customHeight="1" x14ac:dyDescent="0.25">
      <c r="A405" s="390"/>
      <c r="B405" s="316" t="s">
        <v>782</v>
      </c>
      <c r="C405" s="101">
        <v>-2493000</v>
      </c>
      <c r="D405" s="55">
        <f t="shared" si="31"/>
        <v>7161008</v>
      </c>
      <c r="E405" s="36" t="s">
        <v>530</v>
      </c>
      <c r="F405" s="67"/>
      <c r="G405" s="64"/>
      <c r="H405" s="64"/>
      <c r="I405" s="64"/>
      <c r="J405" s="64"/>
      <c r="K405" s="64">
        <f t="shared" si="32"/>
        <v>-2493000</v>
      </c>
      <c r="L405" s="2">
        <f t="shared" si="33"/>
        <v>0</v>
      </c>
      <c r="M405" s="2"/>
      <c r="N405" s="2"/>
      <c r="O405" s="2"/>
      <c r="P405" s="2"/>
      <c r="Q405" s="2"/>
      <c r="R405" s="3"/>
      <c r="S405" s="3"/>
      <c r="T405" s="2"/>
      <c r="U405" s="2"/>
      <c r="V405" s="4"/>
      <c r="W405" s="4"/>
    </row>
    <row r="406" spans="1:23" s="5" customFormat="1" ht="15" customHeight="1" x14ac:dyDescent="0.25">
      <c r="A406" s="389"/>
      <c r="B406" s="316" t="s">
        <v>863</v>
      </c>
      <c r="C406" s="101">
        <v>-70000</v>
      </c>
      <c r="D406" s="55">
        <f t="shared" si="31"/>
        <v>7091008</v>
      </c>
      <c r="E406" s="36" t="s">
        <v>530</v>
      </c>
      <c r="F406" s="67"/>
      <c r="G406" s="64"/>
      <c r="H406" s="64"/>
      <c r="I406" s="64"/>
      <c r="J406" s="64"/>
      <c r="K406" s="64">
        <f t="shared" si="32"/>
        <v>-70000</v>
      </c>
      <c r="L406" s="2">
        <f t="shared" si="33"/>
        <v>0</v>
      </c>
      <c r="M406" s="2"/>
      <c r="N406" s="2"/>
      <c r="O406" s="2"/>
      <c r="P406" s="2"/>
      <c r="Q406" s="2"/>
      <c r="R406" s="3"/>
      <c r="S406" s="3"/>
      <c r="T406" s="2"/>
      <c r="U406" s="2"/>
      <c r="V406" s="4"/>
      <c r="W406" s="4"/>
    </row>
    <row r="407" spans="1:23" s="5" customFormat="1" ht="15" customHeight="1" x14ac:dyDescent="0.25">
      <c r="B407" s="316" t="s">
        <v>864</v>
      </c>
      <c r="C407" s="101">
        <v>-100000</v>
      </c>
      <c r="D407" s="55">
        <f t="shared" si="31"/>
        <v>6991008</v>
      </c>
      <c r="E407" s="36" t="s">
        <v>530</v>
      </c>
      <c r="F407" s="67"/>
      <c r="G407" s="64"/>
      <c r="H407" s="64"/>
      <c r="I407" s="64"/>
      <c r="J407" s="64"/>
      <c r="K407" s="64">
        <f t="shared" si="32"/>
        <v>-100000</v>
      </c>
      <c r="L407" s="2">
        <f t="shared" si="33"/>
        <v>0</v>
      </c>
      <c r="M407" s="2"/>
      <c r="N407" s="2"/>
      <c r="O407" s="2"/>
      <c r="P407" s="2"/>
      <c r="Q407" s="2"/>
      <c r="R407" s="3"/>
      <c r="S407" s="3"/>
      <c r="T407" s="2"/>
      <c r="U407" s="2"/>
      <c r="V407" s="4"/>
      <c r="W407" s="4"/>
    </row>
    <row r="408" spans="1:23" s="5" customFormat="1" ht="15" customHeight="1" x14ac:dyDescent="0.25">
      <c r="A408" s="390"/>
      <c r="B408" s="316" t="s">
        <v>865</v>
      </c>
      <c r="C408" s="101">
        <v>-800000</v>
      </c>
      <c r="D408" s="55">
        <f t="shared" si="31"/>
        <v>6191008</v>
      </c>
      <c r="E408" s="36" t="s">
        <v>530</v>
      </c>
      <c r="F408" s="67"/>
      <c r="G408" s="64"/>
      <c r="H408" s="64"/>
      <c r="I408" s="64"/>
      <c r="J408" s="64"/>
      <c r="K408" s="64">
        <f t="shared" si="32"/>
        <v>-800000</v>
      </c>
      <c r="L408" s="2">
        <f t="shared" si="33"/>
        <v>0</v>
      </c>
      <c r="M408" s="2"/>
      <c r="N408" s="2"/>
      <c r="O408" s="2"/>
      <c r="P408" s="2"/>
      <c r="Q408" s="2"/>
      <c r="R408" s="3"/>
      <c r="S408" s="3"/>
      <c r="T408" s="2"/>
      <c r="U408" s="2"/>
      <c r="V408" s="4"/>
      <c r="W408" s="4"/>
    </row>
    <row r="409" spans="1:23" s="5" customFormat="1" ht="15" customHeight="1" x14ac:dyDescent="0.25">
      <c r="A409" s="390"/>
      <c r="B409" s="316" t="s">
        <v>866</v>
      </c>
      <c r="C409" s="101">
        <v>-905000</v>
      </c>
      <c r="D409" s="55">
        <f t="shared" si="31"/>
        <v>5286008</v>
      </c>
      <c r="E409" s="36" t="s">
        <v>530</v>
      </c>
      <c r="F409" s="67"/>
      <c r="G409" s="64"/>
      <c r="H409" s="64"/>
      <c r="I409" s="64"/>
      <c r="J409" s="64"/>
      <c r="K409" s="64">
        <f t="shared" si="32"/>
        <v>-905000</v>
      </c>
      <c r="L409" s="2">
        <f t="shared" si="33"/>
        <v>0</v>
      </c>
      <c r="M409" s="2"/>
      <c r="N409" s="2"/>
      <c r="O409" s="2"/>
      <c r="P409" s="2"/>
      <c r="Q409" s="2"/>
      <c r="R409" s="3"/>
      <c r="S409" s="3"/>
      <c r="T409" s="2"/>
      <c r="U409" s="2"/>
      <c r="V409" s="4"/>
      <c r="W409" s="4"/>
    </row>
    <row r="410" spans="1:23" s="5" customFormat="1" ht="15" customHeight="1" x14ac:dyDescent="0.25">
      <c r="A410" s="390"/>
      <c r="B410" s="316" t="s">
        <v>220</v>
      </c>
      <c r="C410" s="101">
        <v>-431500</v>
      </c>
      <c r="D410" s="55">
        <f t="shared" si="31"/>
        <v>4854508</v>
      </c>
      <c r="E410" s="36" t="s">
        <v>530</v>
      </c>
      <c r="F410" s="67"/>
      <c r="G410" s="64"/>
      <c r="H410" s="64"/>
      <c r="I410" s="64"/>
      <c r="J410" s="64"/>
      <c r="K410" s="64">
        <f t="shared" si="32"/>
        <v>-431500</v>
      </c>
      <c r="L410" s="2">
        <f t="shared" si="33"/>
        <v>0</v>
      </c>
      <c r="M410" s="2"/>
      <c r="N410" s="2"/>
      <c r="O410" s="2"/>
      <c r="P410" s="2"/>
      <c r="Q410" s="2"/>
      <c r="R410" s="3"/>
      <c r="S410" s="3"/>
      <c r="T410" s="2"/>
      <c r="U410" s="2"/>
      <c r="V410" s="4"/>
      <c r="W410" s="4"/>
    </row>
    <row r="411" spans="1:23" s="5" customFormat="1" ht="15" customHeight="1" x14ac:dyDescent="0.25">
      <c r="A411" s="390"/>
      <c r="B411" s="316" t="s">
        <v>797</v>
      </c>
      <c r="C411" s="101">
        <v>-168500</v>
      </c>
      <c r="D411" s="55">
        <f t="shared" si="31"/>
        <v>4686008</v>
      </c>
      <c r="E411" s="36" t="s">
        <v>530</v>
      </c>
      <c r="F411" s="67"/>
      <c r="G411" s="64"/>
      <c r="H411" s="64"/>
      <c r="I411" s="64"/>
      <c r="J411" s="64"/>
      <c r="K411" s="64">
        <f t="shared" si="32"/>
        <v>-168500</v>
      </c>
      <c r="L411" s="2">
        <f t="shared" si="33"/>
        <v>0</v>
      </c>
      <c r="M411" s="2"/>
      <c r="N411" s="2"/>
      <c r="O411" s="2"/>
      <c r="P411" s="2"/>
      <c r="Q411" s="2"/>
      <c r="R411" s="3"/>
      <c r="S411" s="3"/>
      <c r="T411" s="2"/>
      <c r="U411" s="2"/>
      <c r="V411" s="4"/>
      <c r="W411" s="4"/>
    </row>
    <row r="412" spans="1:23" s="5" customFormat="1" ht="15" customHeight="1" x14ac:dyDescent="0.25">
      <c r="A412" s="390"/>
      <c r="B412" s="316" t="s">
        <v>867</v>
      </c>
      <c r="C412" s="101"/>
      <c r="D412" s="55">
        <f t="shared" si="31"/>
        <v>4686008</v>
      </c>
      <c r="E412" s="36" t="s">
        <v>61</v>
      </c>
      <c r="F412" s="67"/>
      <c r="G412" s="64"/>
      <c r="H412" s="64"/>
      <c r="I412" s="64"/>
      <c r="J412" s="64"/>
      <c r="K412" s="64">
        <f t="shared" si="32"/>
        <v>0</v>
      </c>
      <c r="L412" s="2">
        <f t="shared" si="33"/>
        <v>0</v>
      </c>
      <c r="M412" s="2"/>
      <c r="N412" s="2"/>
      <c r="O412" s="2"/>
      <c r="P412" s="2"/>
      <c r="Q412" s="2"/>
      <c r="R412" s="3"/>
      <c r="S412" s="3"/>
      <c r="T412" s="2"/>
      <c r="U412" s="2"/>
      <c r="V412" s="4"/>
      <c r="W412" s="4"/>
    </row>
    <row r="413" spans="1:23" s="5" customFormat="1" ht="15" customHeight="1" x14ac:dyDescent="0.25">
      <c r="A413" s="390">
        <v>45377</v>
      </c>
      <c r="B413" s="316" t="s">
        <v>868</v>
      </c>
      <c r="C413" s="101">
        <v>-11000</v>
      </c>
      <c r="D413" s="55">
        <f t="shared" si="31"/>
        <v>4675008</v>
      </c>
      <c r="E413" s="36" t="s">
        <v>530</v>
      </c>
      <c r="F413" s="67"/>
      <c r="G413" s="64"/>
      <c r="H413" s="64"/>
      <c r="I413" s="64"/>
      <c r="J413" s="64"/>
      <c r="K413" s="64">
        <f>C413</f>
        <v>-11000</v>
      </c>
      <c r="L413" s="2"/>
      <c r="M413" s="2"/>
      <c r="N413" s="2"/>
      <c r="O413" s="2"/>
      <c r="P413" s="2"/>
      <c r="Q413" s="2"/>
      <c r="R413" s="3"/>
      <c r="S413" s="3"/>
      <c r="T413" s="2"/>
      <c r="U413" s="2"/>
      <c r="V413" s="4"/>
      <c r="W413" s="4"/>
    </row>
    <row r="414" spans="1:23" s="5" customFormat="1" ht="15" customHeight="1" x14ac:dyDescent="0.25">
      <c r="B414" s="316" t="s">
        <v>737</v>
      </c>
      <c r="C414" s="101">
        <v>-150000</v>
      </c>
      <c r="D414" s="55">
        <f t="shared" si="31"/>
        <v>4525008</v>
      </c>
      <c r="E414" s="36" t="s">
        <v>530</v>
      </c>
      <c r="F414" s="67"/>
      <c r="G414" s="64"/>
      <c r="H414" s="64"/>
      <c r="I414" s="64"/>
      <c r="J414" s="64"/>
      <c r="K414" s="64">
        <f t="shared" ref="K414:K477" si="34">C414</f>
        <v>-150000</v>
      </c>
      <c r="L414" s="2"/>
      <c r="M414" s="2"/>
      <c r="N414" s="2"/>
      <c r="O414" s="2"/>
      <c r="P414" s="2"/>
      <c r="Q414" s="2"/>
      <c r="R414" s="3"/>
      <c r="S414" s="3"/>
      <c r="T414" s="2"/>
      <c r="U414" s="2"/>
      <c r="V414" s="4"/>
      <c r="W414" s="4"/>
    </row>
    <row r="415" spans="1:23" s="5" customFormat="1" ht="15" customHeight="1" x14ac:dyDescent="0.25">
      <c r="A415" s="389"/>
      <c r="B415" s="316" t="s">
        <v>869</v>
      </c>
      <c r="C415" s="101">
        <v>-100000</v>
      </c>
      <c r="D415" s="55">
        <f t="shared" si="31"/>
        <v>4425008</v>
      </c>
      <c r="E415" s="36" t="s">
        <v>530</v>
      </c>
      <c r="F415" s="67"/>
      <c r="G415" s="64"/>
      <c r="H415" s="64"/>
      <c r="I415" s="64"/>
      <c r="J415" s="64"/>
      <c r="K415" s="64">
        <f t="shared" si="34"/>
        <v>-100000</v>
      </c>
      <c r="L415" s="2"/>
      <c r="M415" s="2"/>
      <c r="N415" s="2"/>
      <c r="O415" s="2"/>
      <c r="P415" s="2"/>
      <c r="Q415" s="2"/>
      <c r="R415" s="3"/>
      <c r="S415" s="3"/>
      <c r="T415" s="2"/>
      <c r="U415" s="2"/>
      <c r="V415" s="4"/>
      <c r="W415" s="4"/>
    </row>
    <row r="416" spans="1:23" s="5" customFormat="1" ht="15" customHeight="1" x14ac:dyDescent="0.25">
      <c r="A416" s="389"/>
      <c r="B416" s="316" t="s">
        <v>870</v>
      </c>
      <c r="C416" s="101">
        <v>-100000</v>
      </c>
      <c r="D416" s="55">
        <f t="shared" si="31"/>
        <v>4325008</v>
      </c>
      <c r="E416" s="36" t="s">
        <v>530</v>
      </c>
      <c r="F416" s="67"/>
      <c r="G416" s="64"/>
      <c r="H416" s="64"/>
      <c r="I416" s="64"/>
      <c r="J416" s="64"/>
      <c r="K416" s="64">
        <f t="shared" si="34"/>
        <v>-100000</v>
      </c>
      <c r="L416" s="2"/>
      <c r="M416" s="2"/>
      <c r="N416" s="2"/>
      <c r="O416" s="2"/>
      <c r="P416" s="2"/>
      <c r="Q416" s="2"/>
      <c r="R416" s="3"/>
      <c r="S416" s="3"/>
      <c r="T416" s="2"/>
      <c r="U416" s="2"/>
      <c r="V416" s="4"/>
      <c r="W416" s="4"/>
    </row>
    <row r="417" spans="1:23" s="5" customFormat="1" ht="15" customHeight="1" x14ac:dyDescent="0.25">
      <c r="A417" s="389"/>
      <c r="B417" s="316" t="s">
        <v>871</v>
      </c>
      <c r="C417" s="101">
        <v>15000000</v>
      </c>
      <c r="D417" s="55">
        <f t="shared" si="31"/>
        <v>19325008</v>
      </c>
      <c r="E417" s="36" t="s">
        <v>217</v>
      </c>
      <c r="F417" s="67"/>
      <c r="G417" s="64"/>
      <c r="H417" s="64"/>
      <c r="I417" s="64"/>
      <c r="J417" s="64">
        <f>C417</f>
        <v>15000000</v>
      </c>
      <c r="K417" s="64"/>
      <c r="L417" s="2"/>
      <c r="M417" s="2"/>
      <c r="N417" s="2"/>
      <c r="O417" s="2"/>
      <c r="P417" s="2"/>
      <c r="Q417" s="2"/>
      <c r="R417" s="3"/>
      <c r="S417" s="3"/>
      <c r="T417" s="2"/>
      <c r="U417" s="2"/>
      <c r="V417" s="4"/>
      <c r="W417" s="4"/>
    </row>
    <row r="418" spans="1:23" s="5" customFormat="1" ht="15" customHeight="1" x14ac:dyDescent="0.25">
      <c r="A418" s="389"/>
      <c r="B418" s="316" t="s">
        <v>267</v>
      </c>
      <c r="C418" s="101">
        <v>-74500</v>
      </c>
      <c r="D418" s="55">
        <f t="shared" si="31"/>
        <v>19250508</v>
      </c>
      <c r="E418" s="36" t="s">
        <v>530</v>
      </c>
      <c r="F418" s="67"/>
      <c r="G418" s="64"/>
      <c r="H418" s="64"/>
      <c r="I418" s="64"/>
      <c r="J418" s="64"/>
      <c r="K418" s="64">
        <f t="shared" si="34"/>
        <v>-74500</v>
      </c>
      <c r="L418" s="2"/>
      <c r="M418" s="2"/>
      <c r="N418" s="2"/>
      <c r="O418" s="2"/>
      <c r="P418" s="2"/>
      <c r="Q418" s="2"/>
      <c r="R418" s="3"/>
      <c r="S418" s="3"/>
      <c r="T418" s="2"/>
      <c r="U418" s="2"/>
      <c r="V418" s="4"/>
      <c r="W418" s="4"/>
    </row>
    <row r="419" spans="1:23" s="5" customFormat="1" ht="15" customHeight="1" x14ac:dyDescent="0.25">
      <c r="A419" s="6"/>
      <c r="B419" s="316" t="s">
        <v>872</v>
      </c>
      <c r="C419" s="101">
        <v>-603000</v>
      </c>
      <c r="D419" s="55">
        <f t="shared" si="31"/>
        <v>18647508</v>
      </c>
      <c r="E419" s="36" t="s">
        <v>530</v>
      </c>
      <c r="F419" s="67"/>
      <c r="G419" s="64"/>
      <c r="H419" s="64"/>
      <c r="I419" s="64"/>
      <c r="J419" s="64"/>
      <c r="K419" s="64">
        <f t="shared" si="34"/>
        <v>-603000</v>
      </c>
      <c r="L419" s="2"/>
      <c r="M419" s="2"/>
      <c r="N419" s="2"/>
      <c r="O419" s="2"/>
      <c r="P419" s="2"/>
      <c r="Q419" s="2"/>
      <c r="R419" s="3"/>
      <c r="S419" s="3"/>
      <c r="T419" s="2"/>
      <c r="U419" s="2"/>
      <c r="V419" s="4"/>
      <c r="W419" s="4"/>
    </row>
    <row r="420" spans="1:23" s="5" customFormat="1" ht="15" customHeight="1" x14ac:dyDescent="0.25">
      <c r="A420" s="389"/>
      <c r="B420" s="316" t="s">
        <v>737</v>
      </c>
      <c r="C420" s="101">
        <v>-111500</v>
      </c>
      <c r="D420" s="55">
        <f t="shared" si="31"/>
        <v>18536008</v>
      </c>
      <c r="E420" s="36" t="s">
        <v>530</v>
      </c>
      <c r="F420" s="67"/>
      <c r="G420" s="64"/>
      <c r="H420" s="64"/>
      <c r="I420" s="64"/>
      <c r="J420" s="64"/>
      <c r="K420" s="64">
        <f t="shared" si="34"/>
        <v>-111500</v>
      </c>
      <c r="L420" s="2"/>
      <c r="M420" s="2"/>
      <c r="N420" s="2"/>
      <c r="O420" s="2"/>
      <c r="P420" s="2"/>
      <c r="Q420" s="2"/>
      <c r="R420" s="3"/>
      <c r="S420" s="3"/>
      <c r="T420" s="2"/>
      <c r="U420" s="2"/>
      <c r="V420" s="4"/>
      <c r="W420" s="4"/>
    </row>
    <row r="421" spans="1:23" s="5" customFormat="1" ht="15" customHeight="1" x14ac:dyDescent="0.25">
      <c r="A421" s="389"/>
      <c r="B421" s="316" t="s">
        <v>528</v>
      </c>
      <c r="C421" s="101">
        <v>-1215000</v>
      </c>
      <c r="D421" s="55">
        <f t="shared" si="31"/>
        <v>17321008</v>
      </c>
      <c r="E421" s="36" t="s">
        <v>530</v>
      </c>
      <c r="F421" s="67"/>
      <c r="G421" s="64"/>
      <c r="H421" s="64"/>
      <c r="I421" s="64"/>
      <c r="J421" s="64"/>
      <c r="K421" s="64">
        <f t="shared" si="34"/>
        <v>-1215000</v>
      </c>
      <c r="L421" s="2"/>
      <c r="M421" s="2"/>
      <c r="N421" s="2"/>
      <c r="O421" s="2"/>
      <c r="P421" s="2"/>
      <c r="Q421" s="2"/>
      <c r="R421" s="3"/>
      <c r="S421" s="3"/>
      <c r="T421" s="2"/>
      <c r="U421" s="2"/>
      <c r="V421" s="4"/>
      <c r="W421" s="4"/>
    </row>
    <row r="422" spans="1:23" s="5" customFormat="1" ht="15" customHeight="1" x14ac:dyDescent="0.25">
      <c r="A422" s="389"/>
      <c r="B422" s="316" t="s">
        <v>873</v>
      </c>
      <c r="C422" s="101">
        <v>440000</v>
      </c>
      <c r="D422" s="55">
        <f t="shared" si="31"/>
        <v>17761008</v>
      </c>
      <c r="E422" s="36" t="s">
        <v>59</v>
      </c>
      <c r="F422" s="67"/>
      <c r="G422" s="64">
        <f>C422</f>
        <v>440000</v>
      </c>
      <c r="H422" s="64"/>
      <c r="I422" s="64"/>
      <c r="J422" s="64"/>
      <c r="K422" s="64"/>
      <c r="L422" s="2"/>
      <c r="M422" s="2"/>
      <c r="N422" s="2"/>
      <c r="O422" s="2"/>
      <c r="P422" s="2"/>
      <c r="Q422" s="2"/>
      <c r="R422" s="3"/>
      <c r="S422" s="3"/>
      <c r="T422" s="2"/>
      <c r="U422" s="2"/>
      <c r="V422" s="4"/>
      <c r="W422" s="4"/>
    </row>
    <row r="423" spans="1:23" s="5" customFormat="1" ht="15" customHeight="1" x14ac:dyDescent="0.25">
      <c r="A423" s="389"/>
      <c r="B423" s="316" t="s">
        <v>874</v>
      </c>
      <c r="C423" s="101">
        <v>220000</v>
      </c>
      <c r="D423" s="55">
        <f t="shared" si="31"/>
        <v>17981008</v>
      </c>
      <c r="E423" s="36" t="s">
        <v>59</v>
      </c>
      <c r="F423" s="67"/>
      <c r="G423" s="64">
        <f>C423</f>
        <v>220000</v>
      </c>
      <c r="H423" s="64"/>
      <c r="I423" s="64"/>
      <c r="J423" s="64"/>
      <c r="K423" s="64"/>
      <c r="L423" s="2"/>
      <c r="M423" s="2"/>
      <c r="N423" s="2"/>
      <c r="O423" s="2"/>
      <c r="P423" s="2"/>
      <c r="Q423" s="2"/>
      <c r="R423" s="3"/>
      <c r="S423" s="3"/>
      <c r="T423" s="2"/>
      <c r="U423" s="2"/>
      <c r="V423" s="4"/>
      <c r="W423" s="4"/>
    </row>
    <row r="424" spans="1:23" s="5" customFormat="1" ht="15" customHeight="1" x14ac:dyDescent="0.25">
      <c r="A424" s="390">
        <v>45378</v>
      </c>
      <c r="B424" s="316" t="s">
        <v>875</v>
      </c>
      <c r="C424" s="101">
        <v>-11000</v>
      </c>
      <c r="D424" s="55">
        <f t="shared" si="31"/>
        <v>17970008</v>
      </c>
      <c r="E424" s="36" t="s">
        <v>530</v>
      </c>
      <c r="F424" s="67"/>
      <c r="G424" s="64"/>
      <c r="H424" s="64"/>
      <c r="I424" s="64"/>
      <c r="J424" s="64"/>
      <c r="K424" s="64">
        <f t="shared" si="34"/>
        <v>-11000</v>
      </c>
      <c r="L424" s="2"/>
      <c r="M424" s="2"/>
      <c r="N424" s="2"/>
      <c r="O424" s="2"/>
      <c r="P424" s="2"/>
      <c r="Q424" s="2"/>
      <c r="R424" s="3"/>
      <c r="S424" s="3"/>
      <c r="T424" s="2"/>
      <c r="U424" s="2"/>
      <c r="V424" s="4"/>
      <c r="W424" s="4"/>
    </row>
    <row r="425" spans="1:23" s="5" customFormat="1" ht="15" customHeight="1" x14ac:dyDescent="0.25">
      <c r="B425" s="316" t="s">
        <v>876</v>
      </c>
      <c r="C425" s="101"/>
      <c r="D425" s="55">
        <f t="shared" si="31"/>
        <v>17970008</v>
      </c>
      <c r="E425" s="36" t="s">
        <v>61</v>
      </c>
      <c r="F425" s="67"/>
      <c r="G425" s="64"/>
      <c r="H425" s="64"/>
      <c r="I425" s="64"/>
      <c r="J425" s="64"/>
      <c r="K425" s="64">
        <f t="shared" si="34"/>
        <v>0</v>
      </c>
      <c r="L425" s="2"/>
      <c r="M425" s="2"/>
      <c r="N425" s="2"/>
      <c r="O425" s="2"/>
      <c r="P425" s="2"/>
      <c r="Q425" s="2"/>
      <c r="R425" s="3"/>
      <c r="S425" s="3"/>
      <c r="T425" s="2"/>
      <c r="U425" s="2"/>
      <c r="V425" s="4"/>
      <c r="W425" s="4"/>
    </row>
    <row r="426" spans="1:23" s="5" customFormat="1" ht="15" customHeight="1" x14ac:dyDescent="0.25">
      <c r="A426" s="390"/>
      <c r="B426" s="316" t="s">
        <v>877</v>
      </c>
      <c r="C426" s="101">
        <v>1500000</v>
      </c>
      <c r="D426" s="55">
        <f t="shared" si="31"/>
        <v>19470008</v>
      </c>
      <c r="E426" s="36" t="s">
        <v>61</v>
      </c>
      <c r="F426" s="67"/>
      <c r="G426" s="64"/>
      <c r="H426" s="64"/>
      <c r="I426" s="64">
        <f>C426</f>
        <v>1500000</v>
      </c>
      <c r="J426" s="64"/>
      <c r="K426" s="64"/>
      <c r="L426" s="2"/>
      <c r="M426" s="2"/>
      <c r="N426" s="2"/>
      <c r="O426" s="2"/>
      <c r="P426" s="2"/>
      <c r="Q426" s="2"/>
      <c r="R426" s="3"/>
      <c r="S426" s="3"/>
      <c r="T426" s="2"/>
      <c r="U426" s="2"/>
      <c r="V426" s="4"/>
      <c r="W426" s="4"/>
    </row>
    <row r="427" spans="1:23" s="5" customFormat="1" ht="15" customHeight="1" x14ac:dyDescent="0.25">
      <c r="B427" s="316" t="s">
        <v>878</v>
      </c>
      <c r="C427" s="101">
        <v>-1150000</v>
      </c>
      <c r="D427" s="55">
        <f t="shared" si="31"/>
        <v>18320008</v>
      </c>
      <c r="E427" s="36" t="s">
        <v>530</v>
      </c>
      <c r="F427" s="67"/>
      <c r="G427" s="64"/>
      <c r="H427" s="64"/>
      <c r="I427" s="64"/>
      <c r="J427" s="64"/>
      <c r="K427" s="64">
        <f t="shared" si="34"/>
        <v>-1150000</v>
      </c>
      <c r="L427" s="2"/>
      <c r="M427" s="2"/>
      <c r="N427" s="2"/>
      <c r="O427" s="2"/>
      <c r="P427" s="2"/>
      <c r="Q427" s="2"/>
      <c r="R427" s="3"/>
      <c r="S427" s="3"/>
      <c r="T427" s="2"/>
      <c r="U427" s="2"/>
      <c r="V427" s="4"/>
      <c r="W427" s="4"/>
    </row>
    <row r="428" spans="1:23" s="5" customFormat="1" ht="15" customHeight="1" x14ac:dyDescent="0.25">
      <c r="A428" s="390"/>
      <c r="B428" s="316" t="s">
        <v>879</v>
      </c>
      <c r="C428" s="101">
        <v>-58000</v>
      </c>
      <c r="D428" s="55">
        <f t="shared" si="31"/>
        <v>18262008</v>
      </c>
      <c r="E428" s="36" t="s">
        <v>530</v>
      </c>
      <c r="F428" s="67"/>
      <c r="G428" s="64"/>
      <c r="H428" s="64"/>
      <c r="I428" s="64"/>
      <c r="J428" s="64"/>
      <c r="K428" s="64">
        <f t="shared" si="34"/>
        <v>-58000</v>
      </c>
      <c r="L428" s="2"/>
      <c r="M428" s="2"/>
      <c r="N428" s="2"/>
      <c r="O428" s="2"/>
      <c r="P428" s="2"/>
      <c r="Q428" s="2"/>
      <c r="R428" s="3"/>
      <c r="S428" s="3"/>
      <c r="T428" s="2"/>
      <c r="U428" s="2"/>
      <c r="V428" s="4"/>
      <c r="W428" s="4"/>
    </row>
    <row r="429" spans="1:23" s="5" customFormat="1" ht="15" customHeight="1" x14ac:dyDescent="0.25">
      <c r="A429" s="6"/>
      <c r="B429" s="316" t="s">
        <v>880</v>
      </c>
      <c r="C429" s="101">
        <v>-500000</v>
      </c>
      <c r="D429" s="55">
        <f t="shared" si="31"/>
        <v>17762008</v>
      </c>
      <c r="E429" s="36" t="s">
        <v>530</v>
      </c>
      <c r="F429" s="67"/>
      <c r="G429" s="64"/>
      <c r="H429" s="64"/>
      <c r="I429" s="64"/>
      <c r="J429" s="64"/>
      <c r="K429" s="64">
        <f t="shared" si="34"/>
        <v>-500000</v>
      </c>
      <c r="L429" s="2"/>
      <c r="M429" s="2"/>
      <c r="N429" s="2"/>
      <c r="O429" s="2"/>
      <c r="P429" s="2"/>
      <c r="Q429" s="2"/>
      <c r="R429" s="3"/>
      <c r="S429" s="3"/>
      <c r="T429" s="2"/>
      <c r="U429" s="2"/>
      <c r="V429" s="4"/>
      <c r="W429" s="4"/>
    </row>
    <row r="430" spans="1:23" s="5" customFormat="1" ht="15" customHeight="1" x14ac:dyDescent="0.25">
      <c r="A430" s="6"/>
      <c r="B430" s="316" t="s">
        <v>881</v>
      </c>
      <c r="C430" s="101">
        <v>-8512600</v>
      </c>
      <c r="D430" s="55">
        <f t="shared" si="31"/>
        <v>9249408</v>
      </c>
      <c r="E430" s="36" t="s">
        <v>530</v>
      </c>
      <c r="F430" s="67"/>
      <c r="G430" s="64"/>
      <c r="H430" s="64"/>
      <c r="I430" s="64"/>
      <c r="J430" s="64"/>
      <c r="K430" s="64">
        <f t="shared" si="34"/>
        <v>-8512600</v>
      </c>
      <c r="L430" s="2"/>
      <c r="M430" s="2"/>
      <c r="N430" s="2"/>
      <c r="O430" s="2"/>
      <c r="P430" s="2"/>
      <c r="Q430" s="2"/>
      <c r="R430" s="3"/>
      <c r="S430" s="3"/>
      <c r="T430" s="2"/>
      <c r="U430" s="2"/>
      <c r="V430" s="4"/>
      <c r="W430" s="4"/>
    </row>
    <row r="431" spans="1:23" s="5" customFormat="1" ht="15" customHeight="1" x14ac:dyDescent="0.25">
      <c r="A431" s="389"/>
      <c r="B431" s="316" t="s">
        <v>881</v>
      </c>
      <c r="C431" s="101">
        <v>-1750000</v>
      </c>
      <c r="D431" s="55">
        <f t="shared" si="31"/>
        <v>7499408</v>
      </c>
      <c r="E431" s="36" t="s">
        <v>530</v>
      </c>
      <c r="F431" s="67"/>
      <c r="G431" s="64"/>
      <c r="H431" s="64"/>
      <c r="I431" s="64"/>
      <c r="J431" s="64"/>
      <c r="K431" s="64">
        <f t="shared" si="34"/>
        <v>-1750000</v>
      </c>
      <c r="L431" s="2"/>
      <c r="M431" s="2"/>
      <c r="N431" s="2"/>
      <c r="O431" s="2"/>
      <c r="P431" s="2"/>
      <c r="Q431" s="2"/>
      <c r="R431" s="3"/>
      <c r="S431" s="3"/>
      <c r="T431" s="2"/>
      <c r="U431" s="2"/>
      <c r="V431" s="4"/>
      <c r="W431" s="4"/>
    </row>
    <row r="432" spans="1:23" s="5" customFormat="1" ht="15" customHeight="1" x14ac:dyDescent="0.25">
      <c r="A432" s="389"/>
      <c r="B432" s="316" t="s">
        <v>882</v>
      </c>
      <c r="C432" s="101"/>
      <c r="D432" s="55">
        <f t="shared" si="31"/>
        <v>7499408</v>
      </c>
      <c r="E432" s="36" t="s">
        <v>61</v>
      </c>
      <c r="F432" s="67"/>
      <c r="G432" s="64"/>
      <c r="H432" s="64"/>
      <c r="I432" s="64"/>
      <c r="J432" s="64"/>
      <c r="K432" s="64">
        <f t="shared" si="34"/>
        <v>0</v>
      </c>
      <c r="L432" s="2"/>
      <c r="M432" s="2"/>
      <c r="N432" s="2"/>
      <c r="O432" s="2"/>
      <c r="P432" s="2"/>
      <c r="Q432" s="2"/>
      <c r="R432" s="3"/>
      <c r="S432" s="3"/>
      <c r="T432" s="2"/>
      <c r="U432" s="2"/>
      <c r="V432" s="4"/>
      <c r="W432" s="4"/>
    </row>
    <row r="433" spans="1:23" s="5" customFormat="1" ht="15" customHeight="1" x14ac:dyDescent="0.25">
      <c r="A433" s="390"/>
      <c r="B433" s="316" t="s">
        <v>883</v>
      </c>
      <c r="C433" s="101">
        <v>-23950</v>
      </c>
      <c r="D433" s="55">
        <f t="shared" si="31"/>
        <v>7475458</v>
      </c>
      <c r="E433" s="36" t="s">
        <v>530</v>
      </c>
      <c r="F433" s="67"/>
      <c r="G433" s="64"/>
      <c r="H433" s="64"/>
      <c r="I433" s="64"/>
      <c r="J433" s="64"/>
      <c r="K433" s="64">
        <f t="shared" si="34"/>
        <v>-23950</v>
      </c>
      <c r="L433" s="2"/>
      <c r="M433" s="2"/>
      <c r="N433" s="2"/>
      <c r="O433" s="2"/>
      <c r="P433" s="2"/>
      <c r="Q433" s="2"/>
      <c r="R433" s="3"/>
      <c r="S433" s="3"/>
      <c r="T433" s="2"/>
      <c r="U433" s="2"/>
      <c r="V433" s="4"/>
      <c r="W433" s="4"/>
    </row>
    <row r="434" spans="1:23" s="5" customFormat="1" ht="15" customHeight="1" x14ac:dyDescent="0.25">
      <c r="B434" s="316" t="s">
        <v>884</v>
      </c>
      <c r="C434" s="101">
        <v>2500000</v>
      </c>
      <c r="D434" s="55">
        <f t="shared" si="31"/>
        <v>9975458</v>
      </c>
      <c r="E434" s="36" t="s">
        <v>214</v>
      </c>
      <c r="F434" s="67">
        <f>C434</f>
        <v>2500000</v>
      </c>
      <c r="G434" s="64"/>
      <c r="H434" s="64"/>
      <c r="I434" s="64"/>
      <c r="J434" s="64"/>
      <c r="K434" s="64"/>
      <c r="L434" s="2"/>
      <c r="M434" s="2"/>
      <c r="N434" s="2"/>
      <c r="O434" s="2"/>
      <c r="P434" s="2"/>
      <c r="Q434" s="2"/>
      <c r="R434" s="3"/>
      <c r="S434" s="3"/>
      <c r="T434" s="2"/>
      <c r="U434" s="2"/>
      <c r="V434" s="4"/>
      <c r="W434" s="4"/>
    </row>
    <row r="435" spans="1:23" s="5" customFormat="1" ht="15" customHeight="1" x14ac:dyDescent="0.25">
      <c r="A435" s="390">
        <v>45379</v>
      </c>
      <c r="B435" s="316" t="s">
        <v>163</v>
      </c>
      <c r="C435" s="101">
        <v>-11000</v>
      </c>
      <c r="D435" s="55">
        <f t="shared" si="31"/>
        <v>9964458</v>
      </c>
      <c r="E435" s="36" t="s">
        <v>530</v>
      </c>
      <c r="F435" s="67"/>
      <c r="G435" s="64"/>
      <c r="H435" s="64"/>
      <c r="I435" s="64"/>
      <c r="J435" s="64"/>
      <c r="K435" s="64">
        <f t="shared" si="34"/>
        <v>-11000</v>
      </c>
      <c r="L435" s="2"/>
      <c r="M435" s="2"/>
      <c r="N435" s="2"/>
      <c r="O435" s="2"/>
      <c r="P435" s="2"/>
      <c r="Q435" s="2"/>
      <c r="R435" s="3"/>
      <c r="S435" s="3"/>
      <c r="T435" s="2"/>
      <c r="U435" s="2"/>
      <c r="V435" s="4"/>
      <c r="W435" s="4"/>
    </row>
    <row r="436" spans="1:23" s="5" customFormat="1" ht="15" customHeight="1" x14ac:dyDescent="0.25">
      <c r="A436" s="389"/>
      <c r="B436" s="316" t="s">
        <v>885</v>
      </c>
      <c r="C436" s="101">
        <v>1000000</v>
      </c>
      <c r="D436" s="55">
        <f t="shared" si="31"/>
        <v>10964458</v>
      </c>
      <c r="E436" s="36" t="s">
        <v>61</v>
      </c>
      <c r="F436" s="67"/>
      <c r="G436" s="64"/>
      <c r="H436" s="64"/>
      <c r="I436" s="64">
        <f>C436</f>
        <v>1000000</v>
      </c>
      <c r="J436" s="64"/>
      <c r="K436" s="64"/>
      <c r="L436" s="2"/>
      <c r="M436" s="2"/>
      <c r="N436" s="2"/>
      <c r="O436" s="2"/>
      <c r="P436" s="2"/>
      <c r="Q436" s="2"/>
      <c r="R436" s="3"/>
      <c r="S436" s="3"/>
      <c r="T436" s="2"/>
      <c r="U436" s="2"/>
      <c r="V436" s="4"/>
      <c r="W436" s="4"/>
    </row>
    <row r="437" spans="1:23" s="5" customFormat="1" ht="15" customHeight="1" x14ac:dyDescent="0.25">
      <c r="A437" s="389"/>
      <c r="B437" s="316" t="s">
        <v>881</v>
      </c>
      <c r="C437" s="101">
        <v>-148000</v>
      </c>
      <c r="D437" s="55">
        <f t="shared" si="31"/>
        <v>10816458</v>
      </c>
      <c r="E437" s="36" t="s">
        <v>530</v>
      </c>
      <c r="F437" s="67"/>
      <c r="G437" s="64"/>
      <c r="H437" s="64"/>
      <c r="I437" s="64"/>
      <c r="J437" s="64"/>
      <c r="K437" s="64">
        <f t="shared" si="34"/>
        <v>-148000</v>
      </c>
      <c r="L437" s="2"/>
      <c r="M437" s="2"/>
      <c r="N437" s="2"/>
      <c r="O437" s="2"/>
      <c r="P437" s="2"/>
      <c r="Q437" s="2"/>
      <c r="R437" s="3"/>
      <c r="S437" s="3"/>
      <c r="T437" s="2"/>
      <c r="U437" s="2"/>
      <c r="V437" s="4"/>
      <c r="W437" s="4"/>
    </row>
    <row r="438" spans="1:23" s="5" customFormat="1" ht="15" customHeight="1" x14ac:dyDescent="0.25">
      <c r="A438" s="6"/>
      <c r="B438" s="316" t="s">
        <v>886</v>
      </c>
      <c r="C438" s="101">
        <v>-15000</v>
      </c>
      <c r="D438" s="55">
        <f t="shared" si="31"/>
        <v>10801458</v>
      </c>
      <c r="E438" s="36" t="s">
        <v>530</v>
      </c>
      <c r="F438" s="67"/>
      <c r="G438" s="64"/>
      <c r="H438" s="64"/>
      <c r="I438" s="64"/>
      <c r="J438" s="64"/>
      <c r="K438" s="64">
        <f t="shared" si="34"/>
        <v>-15000</v>
      </c>
      <c r="L438" s="2"/>
      <c r="M438" s="2"/>
      <c r="N438" s="2"/>
      <c r="O438" s="2"/>
      <c r="P438" s="2"/>
      <c r="Q438" s="2"/>
      <c r="R438" s="3"/>
      <c r="S438" s="3"/>
      <c r="T438" s="2"/>
      <c r="U438" s="2"/>
      <c r="V438" s="4"/>
      <c r="W438" s="4"/>
    </row>
    <row r="439" spans="1:23" s="5" customFormat="1" ht="15" customHeight="1" x14ac:dyDescent="0.25">
      <c r="A439" s="389"/>
      <c r="B439" s="316" t="s">
        <v>887</v>
      </c>
      <c r="C439" s="101">
        <v>-54500</v>
      </c>
      <c r="D439" s="55">
        <f t="shared" si="31"/>
        <v>10746958</v>
      </c>
      <c r="E439" s="36" t="s">
        <v>530</v>
      </c>
      <c r="F439" s="67"/>
      <c r="G439" s="64"/>
      <c r="H439" s="64"/>
      <c r="I439" s="64"/>
      <c r="J439" s="64"/>
      <c r="K439" s="64">
        <f t="shared" si="34"/>
        <v>-54500</v>
      </c>
      <c r="L439" s="2"/>
      <c r="M439" s="2"/>
      <c r="N439" s="2"/>
      <c r="O439" s="2"/>
      <c r="P439" s="2"/>
      <c r="Q439" s="2"/>
      <c r="R439" s="3"/>
      <c r="S439" s="3"/>
      <c r="T439" s="2"/>
      <c r="U439" s="2"/>
      <c r="V439" s="4"/>
      <c r="W439" s="4"/>
    </row>
    <row r="440" spans="1:23" s="5" customFormat="1" ht="15" customHeight="1" x14ac:dyDescent="0.25">
      <c r="A440" s="6"/>
      <c r="B440" s="316" t="s">
        <v>888</v>
      </c>
      <c r="C440" s="101">
        <v>-348000</v>
      </c>
      <c r="D440" s="55">
        <f t="shared" si="31"/>
        <v>10398958</v>
      </c>
      <c r="E440" s="36" t="s">
        <v>530</v>
      </c>
      <c r="F440" s="67"/>
      <c r="G440" s="64"/>
      <c r="H440" s="64"/>
      <c r="I440" s="64"/>
      <c r="J440" s="64"/>
      <c r="K440" s="64">
        <f t="shared" si="34"/>
        <v>-348000</v>
      </c>
      <c r="L440" s="2"/>
      <c r="M440" s="2"/>
      <c r="N440" s="2"/>
      <c r="O440" s="2"/>
      <c r="P440" s="2"/>
      <c r="Q440" s="2"/>
      <c r="R440" s="3"/>
      <c r="S440" s="3"/>
      <c r="T440" s="2"/>
      <c r="U440" s="2"/>
      <c r="V440" s="4"/>
      <c r="W440" s="4"/>
    </row>
    <row r="441" spans="1:23" s="5" customFormat="1" ht="15" customHeight="1" x14ac:dyDescent="0.25">
      <c r="A441" s="390"/>
      <c r="B441" s="316" t="s">
        <v>889</v>
      </c>
      <c r="C441" s="101">
        <v>-352000</v>
      </c>
      <c r="D441" s="55">
        <f t="shared" si="31"/>
        <v>10046958</v>
      </c>
      <c r="E441" s="36" t="s">
        <v>530</v>
      </c>
      <c r="F441" s="67"/>
      <c r="G441" s="64"/>
      <c r="H441" s="64"/>
      <c r="I441" s="64"/>
      <c r="J441" s="64"/>
      <c r="K441" s="64">
        <f t="shared" si="34"/>
        <v>-352000</v>
      </c>
      <c r="L441" s="2"/>
      <c r="M441" s="2"/>
      <c r="N441" s="2"/>
      <c r="O441" s="2"/>
      <c r="P441" s="2"/>
      <c r="Q441" s="2"/>
      <c r="R441" s="3"/>
      <c r="S441" s="3"/>
      <c r="T441" s="2"/>
      <c r="U441" s="2"/>
      <c r="V441" s="4"/>
      <c r="W441" s="4"/>
    </row>
    <row r="442" spans="1:23" s="5" customFormat="1" ht="15" customHeight="1" x14ac:dyDescent="0.25">
      <c r="A442" s="6"/>
      <c r="B442" s="316" t="s">
        <v>890</v>
      </c>
      <c r="C442" s="101">
        <v>-1000000</v>
      </c>
      <c r="D442" s="55">
        <f t="shared" si="31"/>
        <v>9046958</v>
      </c>
      <c r="E442" s="36" t="s">
        <v>530</v>
      </c>
      <c r="F442" s="67"/>
      <c r="G442" s="64"/>
      <c r="H442" s="64"/>
      <c r="I442" s="64"/>
      <c r="J442" s="64"/>
      <c r="K442" s="64">
        <f t="shared" si="34"/>
        <v>-1000000</v>
      </c>
      <c r="L442" s="2"/>
      <c r="M442" s="2"/>
      <c r="N442" s="2"/>
      <c r="O442" s="2"/>
      <c r="P442" s="2"/>
      <c r="Q442" s="2"/>
      <c r="R442" s="3"/>
      <c r="S442" s="3"/>
      <c r="T442" s="2"/>
      <c r="U442" s="2"/>
      <c r="V442" s="4"/>
      <c r="W442" s="4"/>
    </row>
    <row r="443" spans="1:23" s="5" customFormat="1" ht="15" customHeight="1" x14ac:dyDescent="0.25">
      <c r="A443" s="6"/>
      <c r="B443" s="316" t="s">
        <v>525</v>
      </c>
      <c r="C443" s="101">
        <v>-288000</v>
      </c>
      <c r="D443" s="55">
        <f t="shared" si="31"/>
        <v>8758958</v>
      </c>
      <c r="E443" s="36" t="s">
        <v>530</v>
      </c>
      <c r="F443" s="67"/>
      <c r="G443" s="64"/>
      <c r="H443" s="64"/>
      <c r="I443" s="64"/>
      <c r="J443" s="64"/>
      <c r="K443" s="64">
        <f t="shared" si="34"/>
        <v>-288000</v>
      </c>
      <c r="L443" s="2"/>
      <c r="M443" s="2"/>
      <c r="N443" s="2"/>
      <c r="O443" s="2"/>
      <c r="P443" s="2"/>
      <c r="Q443" s="2"/>
      <c r="R443" s="3"/>
      <c r="S443" s="3"/>
      <c r="T443" s="2"/>
      <c r="U443" s="2"/>
      <c r="V443" s="4"/>
      <c r="W443" s="4"/>
    </row>
    <row r="444" spans="1:23" s="5" customFormat="1" ht="15" customHeight="1" x14ac:dyDescent="0.25">
      <c r="A444" s="6"/>
      <c r="B444" s="316" t="s">
        <v>891</v>
      </c>
      <c r="C444" s="101">
        <v>900000</v>
      </c>
      <c r="D444" s="55">
        <f t="shared" si="31"/>
        <v>9658958</v>
      </c>
      <c r="E444" s="36" t="s">
        <v>61</v>
      </c>
      <c r="F444" s="67"/>
      <c r="G444" s="64"/>
      <c r="H444" s="64"/>
      <c r="I444" s="64">
        <f>C444</f>
        <v>900000</v>
      </c>
      <c r="J444" s="64"/>
      <c r="K444" s="64"/>
      <c r="L444" s="2"/>
      <c r="M444" s="2"/>
      <c r="N444" s="2"/>
      <c r="O444" s="2"/>
      <c r="P444" s="2"/>
      <c r="Q444" s="2"/>
      <c r="R444" s="3"/>
      <c r="S444" s="3"/>
      <c r="T444" s="2"/>
      <c r="U444" s="2"/>
      <c r="V444" s="4"/>
      <c r="W444" s="4"/>
    </row>
    <row r="445" spans="1:23" s="5" customFormat="1" ht="15" customHeight="1" x14ac:dyDescent="0.25">
      <c r="A445" s="390"/>
      <c r="B445" s="316" t="s">
        <v>892</v>
      </c>
      <c r="C445" s="101">
        <v>5200000</v>
      </c>
      <c r="D445" s="55">
        <f t="shared" si="31"/>
        <v>14858958</v>
      </c>
      <c r="E445" s="36" t="s">
        <v>214</v>
      </c>
      <c r="F445" s="67">
        <f>C445</f>
        <v>5200000</v>
      </c>
      <c r="G445" s="64"/>
      <c r="H445" s="64"/>
      <c r="I445" s="64"/>
      <c r="J445" s="64"/>
      <c r="K445" s="64"/>
      <c r="L445" s="2"/>
      <c r="M445" s="2"/>
      <c r="N445" s="2"/>
      <c r="O445" s="2"/>
      <c r="P445" s="2"/>
      <c r="Q445" s="2"/>
      <c r="R445" s="3"/>
      <c r="S445" s="3"/>
      <c r="T445" s="2"/>
      <c r="U445" s="2"/>
      <c r="V445" s="4"/>
      <c r="W445" s="4"/>
    </row>
    <row r="446" spans="1:23" s="5" customFormat="1" ht="15" customHeight="1" x14ac:dyDescent="0.25">
      <c r="A446" s="6"/>
      <c r="B446" s="316" t="s">
        <v>893</v>
      </c>
      <c r="C446" s="101">
        <v>-24000</v>
      </c>
      <c r="D446" s="55">
        <f t="shared" si="31"/>
        <v>14834958</v>
      </c>
      <c r="E446" s="36" t="s">
        <v>530</v>
      </c>
      <c r="F446" s="67"/>
      <c r="G446" s="64"/>
      <c r="H446" s="64"/>
      <c r="I446" s="64"/>
      <c r="J446" s="64"/>
      <c r="K446" s="64">
        <f t="shared" si="34"/>
        <v>-24000</v>
      </c>
      <c r="L446" s="2"/>
      <c r="M446" s="2"/>
      <c r="N446" s="2"/>
      <c r="O446" s="2"/>
      <c r="P446" s="2"/>
      <c r="Q446" s="2"/>
      <c r="R446" s="3"/>
      <c r="S446" s="3"/>
      <c r="T446" s="2"/>
      <c r="U446" s="2"/>
      <c r="V446" s="4"/>
      <c r="W446" s="4"/>
    </row>
    <row r="447" spans="1:23" s="5" customFormat="1" ht="15" customHeight="1" x14ac:dyDescent="0.25">
      <c r="A447" s="389"/>
      <c r="B447" s="316" t="s">
        <v>524</v>
      </c>
      <c r="C447" s="101">
        <v>-34000</v>
      </c>
      <c r="D447" s="55">
        <f t="shared" si="31"/>
        <v>14800958</v>
      </c>
      <c r="E447" s="36" t="s">
        <v>530</v>
      </c>
      <c r="F447" s="67"/>
      <c r="G447" s="64"/>
      <c r="H447" s="64"/>
      <c r="I447" s="64"/>
      <c r="J447" s="64"/>
      <c r="K447" s="64">
        <f t="shared" si="34"/>
        <v>-34000</v>
      </c>
      <c r="L447" s="2"/>
      <c r="M447" s="2"/>
      <c r="N447" s="2"/>
      <c r="O447" s="2"/>
      <c r="P447" s="2"/>
      <c r="Q447" s="2"/>
      <c r="R447" s="3"/>
      <c r="S447" s="3"/>
      <c r="T447" s="2"/>
      <c r="U447" s="2"/>
      <c r="V447" s="4"/>
      <c r="W447" s="4"/>
    </row>
    <row r="448" spans="1:23" s="5" customFormat="1" ht="15" customHeight="1" x14ac:dyDescent="0.25">
      <c r="A448" s="389"/>
      <c r="B448" s="392" t="s">
        <v>894</v>
      </c>
      <c r="C448" s="101"/>
      <c r="D448" s="55">
        <f t="shared" si="31"/>
        <v>14800958</v>
      </c>
      <c r="E448" s="36" t="s">
        <v>61</v>
      </c>
      <c r="F448" s="67"/>
      <c r="G448" s="64"/>
      <c r="H448" s="64"/>
      <c r="I448" s="64"/>
      <c r="J448" s="64"/>
      <c r="K448" s="64">
        <f t="shared" si="34"/>
        <v>0</v>
      </c>
      <c r="L448" s="2"/>
      <c r="M448" s="2"/>
      <c r="N448" s="2"/>
      <c r="O448" s="2"/>
      <c r="P448" s="2"/>
      <c r="Q448" s="2"/>
      <c r="R448" s="3"/>
      <c r="S448" s="3"/>
      <c r="T448" s="2"/>
      <c r="U448" s="2"/>
      <c r="V448" s="4"/>
      <c r="W448" s="4"/>
    </row>
    <row r="449" spans="1:23" s="5" customFormat="1" ht="15" customHeight="1" x14ac:dyDescent="0.25">
      <c r="A449" s="389"/>
      <c r="B449" s="392" t="s">
        <v>895</v>
      </c>
      <c r="C449" s="101">
        <v>-525000</v>
      </c>
      <c r="D449" s="55">
        <f t="shared" si="31"/>
        <v>14275958</v>
      </c>
      <c r="E449" s="36" t="s">
        <v>530</v>
      </c>
      <c r="F449" s="67"/>
      <c r="G449" s="64"/>
      <c r="H449" s="64"/>
      <c r="I449" s="64"/>
      <c r="J449" s="64"/>
      <c r="K449" s="64">
        <f t="shared" si="34"/>
        <v>-525000</v>
      </c>
      <c r="L449" s="2"/>
      <c r="M449" s="2"/>
      <c r="N449" s="2"/>
      <c r="O449" s="2"/>
      <c r="P449" s="2"/>
      <c r="Q449" s="2"/>
      <c r="R449" s="3"/>
      <c r="S449" s="3"/>
      <c r="T449" s="2"/>
      <c r="U449" s="2"/>
      <c r="V449" s="4"/>
      <c r="W449" s="4"/>
    </row>
    <row r="450" spans="1:23" s="5" customFormat="1" ht="15" customHeight="1" x14ac:dyDescent="0.25">
      <c r="A450" s="6"/>
      <c r="B450" s="392" t="s">
        <v>896</v>
      </c>
      <c r="C450" s="101">
        <v>-500000</v>
      </c>
      <c r="D450" s="55">
        <f t="shared" ref="D450:D489" si="35">SUM(D449,C450)</f>
        <v>13775958</v>
      </c>
      <c r="E450" s="36" t="s">
        <v>530</v>
      </c>
      <c r="F450" s="67"/>
      <c r="G450" s="64"/>
      <c r="H450" s="64"/>
      <c r="I450" s="64"/>
      <c r="J450" s="64"/>
      <c r="K450" s="64">
        <f t="shared" si="34"/>
        <v>-500000</v>
      </c>
      <c r="L450" s="2"/>
      <c r="M450" s="2"/>
      <c r="N450" s="2"/>
      <c r="O450" s="2"/>
      <c r="P450" s="2"/>
      <c r="Q450" s="2"/>
      <c r="R450" s="3"/>
      <c r="S450" s="3"/>
      <c r="T450" s="2"/>
      <c r="U450" s="2"/>
      <c r="V450" s="4"/>
      <c r="W450" s="4"/>
    </row>
    <row r="451" spans="1:23" s="5" customFormat="1" ht="15" customHeight="1" x14ac:dyDescent="0.25">
      <c r="A451" s="389"/>
      <c r="B451" s="392" t="s">
        <v>897</v>
      </c>
      <c r="C451" s="101">
        <v>-600000</v>
      </c>
      <c r="D451" s="55">
        <f t="shared" si="35"/>
        <v>13175958</v>
      </c>
      <c r="E451" s="36" t="s">
        <v>530</v>
      </c>
      <c r="F451" s="67"/>
      <c r="G451" s="64"/>
      <c r="H451" s="64"/>
      <c r="I451" s="64"/>
      <c r="J451" s="64"/>
      <c r="K451" s="64">
        <f t="shared" si="34"/>
        <v>-600000</v>
      </c>
      <c r="L451" s="2"/>
      <c r="M451" s="2"/>
      <c r="N451" s="2"/>
      <c r="O451" s="2"/>
      <c r="P451" s="2"/>
      <c r="Q451" s="2"/>
      <c r="R451" s="3"/>
      <c r="S451" s="3"/>
      <c r="T451" s="2"/>
      <c r="U451" s="2"/>
      <c r="V451" s="4"/>
      <c r="W451" s="4"/>
    </row>
    <row r="452" spans="1:23" s="5" customFormat="1" ht="15" customHeight="1" x14ac:dyDescent="0.25">
      <c r="A452" s="389"/>
      <c r="B452" s="392" t="s">
        <v>898</v>
      </c>
      <c r="C452" s="101">
        <v>-65000</v>
      </c>
      <c r="D452" s="55">
        <f t="shared" si="35"/>
        <v>13110958</v>
      </c>
      <c r="E452" s="36" t="s">
        <v>530</v>
      </c>
      <c r="F452" s="67"/>
      <c r="G452" s="64"/>
      <c r="H452" s="64"/>
      <c r="I452" s="64"/>
      <c r="J452" s="64"/>
      <c r="K452" s="64">
        <f t="shared" si="34"/>
        <v>-65000</v>
      </c>
      <c r="L452" s="2"/>
      <c r="M452" s="2"/>
      <c r="N452" s="2"/>
      <c r="O452" s="2"/>
      <c r="P452" s="2"/>
      <c r="Q452" s="2"/>
      <c r="R452" s="3"/>
      <c r="S452" s="3"/>
      <c r="T452" s="2"/>
      <c r="U452" s="2"/>
      <c r="V452" s="4"/>
      <c r="W452" s="4"/>
    </row>
    <row r="453" spans="1:23" s="5" customFormat="1" ht="15" customHeight="1" x14ac:dyDescent="0.25">
      <c r="A453" s="389"/>
      <c r="B453" s="392" t="s">
        <v>899</v>
      </c>
      <c r="C453" s="101">
        <v>7400000</v>
      </c>
      <c r="D453" s="55">
        <f t="shared" si="35"/>
        <v>20510958</v>
      </c>
      <c r="E453" s="36" t="s">
        <v>214</v>
      </c>
      <c r="F453" s="67">
        <f>C453</f>
        <v>7400000</v>
      </c>
      <c r="G453" s="64"/>
      <c r="H453" s="64"/>
      <c r="I453" s="64"/>
      <c r="J453" s="64"/>
      <c r="K453" s="64"/>
      <c r="L453" s="2"/>
      <c r="M453" s="2"/>
      <c r="N453" s="2"/>
      <c r="O453" s="2"/>
      <c r="P453" s="2"/>
      <c r="Q453" s="2"/>
      <c r="R453" s="3"/>
      <c r="S453" s="3"/>
      <c r="T453" s="2"/>
      <c r="U453" s="2"/>
      <c r="V453" s="4"/>
      <c r="W453" s="4"/>
    </row>
    <row r="454" spans="1:23" s="5" customFormat="1" ht="15" customHeight="1" x14ac:dyDescent="0.25">
      <c r="A454" s="389">
        <v>45380</v>
      </c>
      <c r="B454" s="316" t="s">
        <v>163</v>
      </c>
      <c r="C454" s="101">
        <v>-11000</v>
      </c>
      <c r="D454" s="55">
        <f t="shared" si="35"/>
        <v>20499958</v>
      </c>
      <c r="E454" s="36" t="s">
        <v>530</v>
      </c>
      <c r="F454" s="67"/>
      <c r="G454" s="64"/>
      <c r="H454" s="64"/>
      <c r="I454" s="64"/>
      <c r="J454" s="64"/>
      <c r="K454" s="64">
        <f t="shared" si="34"/>
        <v>-11000</v>
      </c>
      <c r="L454" s="2">
        <f t="shared" si="33"/>
        <v>0</v>
      </c>
      <c r="M454" s="2"/>
      <c r="N454" s="2"/>
      <c r="O454" s="2"/>
      <c r="P454" s="2"/>
      <c r="Q454" s="2"/>
      <c r="R454" s="3"/>
      <c r="S454" s="3"/>
      <c r="T454" s="2"/>
      <c r="U454" s="2"/>
      <c r="V454" s="4"/>
      <c r="W454" s="4"/>
    </row>
    <row r="455" spans="1:23" s="5" customFormat="1" ht="15" customHeight="1" x14ac:dyDescent="0.25">
      <c r="B455" s="316" t="s">
        <v>737</v>
      </c>
      <c r="C455" s="101">
        <v>-12000</v>
      </c>
      <c r="D455" s="55">
        <f t="shared" si="35"/>
        <v>20487958</v>
      </c>
      <c r="E455" s="36" t="s">
        <v>530</v>
      </c>
      <c r="F455" s="67"/>
      <c r="G455" s="64"/>
      <c r="H455" s="64"/>
      <c r="I455" s="64"/>
      <c r="J455" s="64"/>
      <c r="K455" s="64">
        <f t="shared" si="34"/>
        <v>-12000</v>
      </c>
      <c r="L455" s="2">
        <f t="shared" si="33"/>
        <v>0</v>
      </c>
      <c r="M455" s="2"/>
      <c r="N455" s="2"/>
      <c r="O455" s="2"/>
      <c r="P455" s="2"/>
      <c r="Q455" s="2"/>
      <c r="R455" s="3"/>
      <c r="S455" s="3"/>
      <c r="T455" s="2"/>
      <c r="U455" s="2"/>
      <c r="V455" s="4"/>
      <c r="W455" s="4"/>
    </row>
    <row r="456" spans="1:23" s="5" customFormat="1" ht="15" customHeight="1" x14ac:dyDescent="0.25">
      <c r="B456" s="316" t="s">
        <v>900</v>
      </c>
      <c r="C456" s="101">
        <v>1000000</v>
      </c>
      <c r="D456" s="55">
        <f t="shared" si="35"/>
        <v>21487958</v>
      </c>
      <c r="E456" s="36" t="s">
        <v>61</v>
      </c>
      <c r="F456" s="67"/>
      <c r="G456" s="64"/>
      <c r="H456" s="64"/>
      <c r="I456" s="64">
        <f>C456</f>
        <v>1000000</v>
      </c>
      <c r="J456" s="64"/>
      <c r="K456" s="64"/>
      <c r="L456" s="2">
        <f t="shared" si="33"/>
        <v>0</v>
      </c>
      <c r="M456" s="2"/>
      <c r="N456" s="2"/>
      <c r="O456" s="2"/>
      <c r="P456" s="2"/>
      <c r="Q456" s="2"/>
      <c r="R456" s="3"/>
      <c r="S456" s="3"/>
      <c r="T456" s="2"/>
      <c r="U456" s="2"/>
      <c r="V456" s="4"/>
      <c r="W456" s="4"/>
    </row>
    <row r="457" spans="1:23" s="5" customFormat="1" ht="15" customHeight="1" x14ac:dyDescent="0.25">
      <c r="A457" s="389"/>
      <c r="B457" s="316" t="s">
        <v>901</v>
      </c>
      <c r="C457" s="101">
        <v>-829000</v>
      </c>
      <c r="D457" s="55">
        <f t="shared" si="35"/>
        <v>20658958</v>
      </c>
      <c r="E457" s="36" t="s">
        <v>530</v>
      </c>
      <c r="F457" s="67"/>
      <c r="G457" s="64"/>
      <c r="H457" s="64"/>
      <c r="I457" s="64"/>
      <c r="J457" s="64"/>
      <c r="K457" s="64">
        <f t="shared" si="34"/>
        <v>-829000</v>
      </c>
      <c r="L457" s="2">
        <f t="shared" si="33"/>
        <v>0</v>
      </c>
      <c r="M457" s="2"/>
      <c r="N457" s="2"/>
      <c r="O457" s="2"/>
      <c r="P457" s="2"/>
      <c r="Q457" s="2"/>
      <c r="R457" s="3"/>
      <c r="S457" s="3"/>
      <c r="T457" s="2"/>
      <c r="U457" s="2"/>
      <c r="V457" s="4"/>
      <c r="W457" s="4"/>
    </row>
    <row r="458" spans="1:23" s="5" customFormat="1" ht="15" customHeight="1" x14ac:dyDescent="0.25">
      <c r="A458" s="6"/>
      <c r="B458" s="316" t="s">
        <v>902</v>
      </c>
      <c r="C458" s="101">
        <v>330000</v>
      </c>
      <c r="D458" s="55">
        <f t="shared" si="35"/>
        <v>20988958</v>
      </c>
      <c r="E458" s="36" t="s">
        <v>59</v>
      </c>
      <c r="F458" s="67"/>
      <c r="G458" s="64">
        <f>C458</f>
        <v>330000</v>
      </c>
      <c r="H458" s="64"/>
      <c r="I458" s="64"/>
      <c r="J458" s="64"/>
      <c r="K458" s="64"/>
      <c r="L458" s="2">
        <f t="shared" si="33"/>
        <v>0</v>
      </c>
      <c r="M458" s="2"/>
      <c r="N458" s="2"/>
      <c r="O458" s="2"/>
      <c r="P458" s="2"/>
      <c r="Q458" s="2"/>
      <c r="R458" s="3"/>
      <c r="S458" s="3"/>
      <c r="T458" s="2"/>
      <c r="U458" s="2"/>
      <c r="V458" s="4"/>
      <c r="W458" s="4"/>
    </row>
    <row r="459" spans="1:23" s="5" customFormat="1" ht="15" customHeight="1" x14ac:dyDescent="0.25">
      <c r="A459" s="390"/>
      <c r="B459" s="316" t="s">
        <v>753</v>
      </c>
      <c r="C459" s="101">
        <v>-10000</v>
      </c>
      <c r="D459" s="55">
        <f t="shared" si="35"/>
        <v>20978958</v>
      </c>
      <c r="E459" s="36" t="s">
        <v>530</v>
      </c>
      <c r="F459" s="67"/>
      <c r="G459" s="64"/>
      <c r="H459" s="64"/>
      <c r="I459" s="64"/>
      <c r="J459" s="64"/>
      <c r="K459" s="64">
        <f t="shared" si="34"/>
        <v>-10000</v>
      </c>
      <c r="L459" s="2">
        <f t="shared" si="33"/>
        <v>0</v>
      </c>
      <c r="M459" s="2"/>
      <c r="N459" s="2"/>
      <c r="O459" s="2"/>
      <c r="P459" s="2"/>
      <c r="Q459" s="2"/>
      <c r="R459" s="3"/>
      <c r="S459" s="3"/>
      <c r="T459" s="2"/>
      <c r="U459" s="2"/>
      <c r="V459" s="4"/>
      <c r="W459" s="4"/>
    </row>
    <row r="460" spans="1:23" s="5" customFormat="1" ht="15" customHeight="1" x14ac:dyDescent="0.25">
      <c r="A460" s="389"/>
      <c r="B460" s="316" t="s">
        <v>903</v>
      </c>
      <c r="C460" s="101">
        <v>-12000</v>
      </c>
      <c r="D460" s="55">
        <f t="shared" si="35"/>
        <v>20966958</v>
      </c>
      <c r="E460" s="36" t="s">
        <v>530</v>
      </c>
      <c r="F460" s="67"/>
      <c r="G460" s="64"/>
      <c r="H460" s="64"/>
      <c r="I460" s="64"/>
      <c r="J460" s="64"/>
      <c r="K460" s="64">
        <f t="shared" si="34"/>
        <v>-12000</v>
      </c>
      <c r="L460" s="2">
        <f t="shared" si="33"/>
        <v>0</v>
      </c>
      <c r="M460" s="2"/>
      <c r="N460" s="2"/>
      <c r="O460" s="2"/>
      <c r="P460" s="2"/>
      <c r="Q460" s="2"/>
      <c r="R460" s="3"/>
      <c r="S460" s="3"/>
      <c r="T460" s="2"/>
      <c r="U460" s="2"/>
      <c r="V460" s="4"/>
      <c r="W460" s="4"/>
    </row>
    <row r="461" spans="1:23" s="5" customFormat="1" ht="15" customHeight="1" x14ac:dyDescent="0.25">
      <c r="A461" s="6"/>
      <c r="B461" s="316" t="s">
        <v>904</v>
      </c>
      <c r="C461" s="101">
        <v>-240000</v>
      </c>
      <c r="D461" s="55">
        <f t="shared" si="35"/>
        <v>20726958</v>
      </c>
      <c r="E461" s="36" t="s">
        <v>530</v>
      </c>
      <c r="F461" s="67"/>
      <c r="G461" s="64"/>
      <c r="H461" s="64"/>
      <c r="I461" s="64"/>
      <c r="J461" s="64"/>
      <c r="K461" s="64">
        <f t="shared" si="34"/>
        <v>-240000</v>
      </c>
      <c r="L461" s="2">
        <f t="shared" si="33"/>
        <v>0</v>
      </c>
      <c r="M461" s="2"/>
      <c r="N461" s="2"/>
      <c r="O461" s="2"/>
      <c r="P461" s="2"/>
      <c r="Q461" s="2"/>
      <c r="R461" s="3"/>
      <c r="S461" s="3"/>
      <c r="T461" s="2"/>
      <c r="U461" s="2"/>
      <c r="V461" s="4"/>
      <c r="W461" s="4"/>
    </row>
    <row r="462" spans="1:23" s="5" customFormat="1" ht="15" customHeight="1" x14ac:dyDescent="0.25">
      <c r="A462" s="389"/>
      <c r="B462" s="316" t="s">
        <v>905</v>
      </c>
      <c r="C462" s="101">
        <v>-9000</v>
      </c>
      <c r="D462" s="55">
        <f t="shared" si="35"/>
        <v>20717958</v>
      </c>
      <c r="E462" s="36" t="s">
        <v>530</v>
      </c>
      <c r="F462" s="67"/>
      <c r="G462" s="64"/>
      <c r="H462" s="64"/>
      <c r="I462" s="64"/>
      <c r="J462" s="64"/>
      <c r="K462" s="64">
        <f t="shared" si="34"/>
        <v>-9000</v>
      </c>
      <c r="L462" s="2">
        <f t="shared" si="33"/>
        <v>0</v>
      </c>
      <c r="M462" s="2"/>
      <c r="N462" s="2"/>
      <c r="O462" s="2"/>
      <c r="P462" s="2"/>
      <c r="Q462" s="2"/>
      <c r="R462" s="3"/>
      <c r="S462" s="3"/>
      <c r="T462" s="2"/>
      <c r="U462" s="2"/>
      <c r="V462" s="4"/>
      <c r="W462" s="4"/>
    </row>
    <row r="463" spans="1:23" s="5" customFormat="1" ht="15" customHeight="1" x14ac:dyDescent="0.25">
      <c r="A463" s="390"/>
      <c r="B463" s="316" t="s">
        <v>185</v>
      </c>
      <c r="C463" s="101">
        <v>-62000</v>
      </c>
      <c r="D463" s="55">
        <f t="shared" si="35"/>
        <v>20655958</v>
      </c>
      <c r="E463" s="36" t="s">
        <v>530</v>
      </c>
      <c r="F463" s="67"/>
      <c r="G463" s="64"/>
      <c r="H463" s="64"/>
      <c r="I463" s="64"/>
      <c r="J463" s="64"/>
      <c r="K463" s="64">
        <f t="shared" si="34"/>
        <v>-62000</v>
      </c>
      <c r="L463" s="2">
        <f t="shared" si="33"/>
        <v>0</v>
      </c>
      <c r="M463" s="2"/>
      <c r="N463" s="2"/>
      <c r="O463" s="2"/>
      <c r="P463" s="2"/>
      <c r="Q463" s="2"/>
      <c r="R463" s="3"/>
      <c r="S463" s="3"/>
      <c r="T463" s="2"/>
      <c r="U463" s="2"/>
      <c r="V463" s="4"/>
      <c r="W463" s="4"/>
    </row>
    <row r="464" spans="1:23" s="5" customFormat="1" ht="15" customHeight="1" x14ac:dyDescent="0.25">
      <c r="A464" s="390"/>
      <c r="B464" s="316" t="s">
        <v>737</v>
      </c>
      <c r="C464" s="101">
        <v>-2493000</v>
      </c>
      <c r="D464" s="55">
        <f t="shared" si="35"/>
        <v>18162958</v>
      </c>
      <c r="E464" s="36" t="s">
        <v>530</v>
      </c>
      <c r="F464" s="67"/>
      <c r="G464" s="64"/>
      <c r="H464" s="64"/>
      <c r="I464" s="64"/>
      <c r="J464" s="64"/>
      <c r="K464" s="64">
        <f t="shared" si="34"/>
        <v>-2493000</v>
      </c>
      <c r="L464" s="2">
        <f t="shared" si="33"/>
        <v>0</v>
      </c>
      <c r="M464" s="2"/>
      <c r="N464" s="2"/>
      <c r="O464" s="2"/>
      <c r="P464" s="2"/>
      <c r="Q464" s="2"/>
      <c r="R464" s="3"/>
      <c r="S464" s="3"/>
      <c r="T464" s="2"/>
      <c r="U464" s="2"/>
      <c r="V464" s="4"/>
      <c r="W464" s="4"/>
    </row>
    <row r="465" spans="1:23" s="5" customFormat="1" ht="15" customHeight="1" x14ac:dyDescent="0.25">
      <c r="B465" s="316" t="s">
        <v>906</v>
      </c>
      <c r="C465" s="101"/>
      <c r="D465" s="55">
        <f t="shared" si="35"/>
        <v>18162958</v>
      </c>
      <c r="E465" s="36" t="s">
        <v>59</v>
      </c>
      <c r="F465" s="67"/>
      <c r="G465" s="64"/>
      <c r="H465" s="64"/>
      <c r="I465" s="64"/>
      <c r="J465" s="64"/>
      <c r="K465" s="64">
        <f t="shared" si="34"/>
        <v>0</v>
      </c>
      <c r="L465" s="2">
        <f t="shared" si="33"/>
        <v>0</v>
      </c>
      <c r="M465" s="2"/>
      <c r="N465" s="2"/>
      <c r="O465" s="2"/>
      <c r="P465" s="2"/>
      <c r="Q465" s="2"/>
      <c r="R465" s="3"/>
      <c r="S465" s="3"/>
      <c r="T465" s="2"/>
      <c r="U465" s="2"/>
      <c r="V465" s="4"/>
      <c r="W465" s="4"/>
    </row>
    <row r="466" spans="1:23" s="5" customFormat="1" ht="15" customHeight="1" x14ac:dyDescent="0.25">
      <c r="A466" s="389"/>
      <c r="B466" s="316" t="s">
        <v>240</v>
      </c>
      <c r="C466" s="101">
        <v>-9500</v>
      </c>
      <c r="D466" s="55">
        <f t="shared" si="35"/>
        <v>18153458</v>
      </c>
      <c r="E466" s="36" t="s">
        <v>530</v>
      </c>
      <c r="F466" s="67"/>
      <c r="G466" s="64"/>
      <c r="H466" s="64"/>
      <c r="I466" s="64"/>
      <c r="J466" s="64"/>
      <c r="K466" s="64">
        <f t="shared" si="34"/>
        <v>-9500</v>
      </c>
      <c r="L466" s="2">
        <f t="shared" si="33"/>
        <v>0</v>
      </c>
      <c r="M466" s="2"/>
      <c r="N466" s="2"/>
      <c r="O466" s="2"/>
      <c r="P466" s="2"/>
      <c r="Q466" s="2"/>
      <c r="R466" s="3"/>
      <c r="S466" s="3"/>
      <c r="T466" s="2"/>
      <c r="U466" s="2"/>
      <c r="V466" s="4"/>
      <c r="W466" s="4"/>
    </row>
    <row r="467" spans="1:23" s="5" customFormat="1" ht="15" customHeight="1" x14ac:dyDescent="0.25">
      <c r="A467" s="389"/>
      <c r="B467" s="316" t="s">
        <v>18</v>
      </c>
      <c r="C467" s="64">
        <v>50000</v>
      </c>
      <c r="D467" s="55">
        <f t="shared" si="35"/>
        <v>18203458</v>
      </c>
      <c r="E467" s="36" t="s">
        <v>1</v>
      </c>
      <c r="F467" s="67"/>
      <c r="G467" s="64"/>
      <c r="H467" s="64">
        <f>C467</f>
        <v>50000</v>
      </c>
      <c r="I467" s="64"/>
      <c r="J467" s="64"/>
      <c r="K467" s="64"/>
      <c r="L467" s="2">
        <f t="shared" si="33"/>
        <v>0</v>
      </c>
      <c r="M467" s="2"/>
      <c r="N467" s="2"/>
      <c r="O467" s="2"/>
      <c r="P467" s="2"/>
      <c r="Q467" s="2"/>
      <c r="R467" s="3"/>
      <c r="S467" s="3"/>
      <c r="T467" s="2"/>
      <c r="U467" s="2"/>
      <c r="V467" s="4"/>
      <c r="W467" s="4"/>
    </row>
    <row r="468" spans="1:23" s="5" customFormat="1" ht="15" customHeight="1" x14ac:dyDescent="0.25">
      <c r="A468" s="6"/>
      <c r="B468" s="392" t="s">
        <v>907</v>
      </c>
      <c r="C468" s="64">
        <v>460000</v>
      </c>
      <c r="D468" s="55">
        <f t="shared" si="35"/>
        <v>18663458</v>
      </c>
      <c r="E468" s="36" t="s">
        <v>214</v>
      </c>
      <c r="F468" s="67">
        <f>C468</f>
        <v>460000</v>
      </c>
      <c r="G468" s="64"/>
      <c r="H468" s="64"/>
      <c r="I468" s="64"/>
      <c r="J468" s="64"/>
      <c r="K468" s="64"/>
      <c r="L468" s="2">
        <f t="shared" si="33"/>
        <v>0</v>
      </c>
      <c r="M468" s="2"/>
      <c r="N468" s="2"/>
      <c r="O468" s="2"/>
      <c r="P468" s="2"/>
      <c r="Q468" s="2"/>
      <c r="R468" s="3"/>
      <c r="S468" s="3"/>
      <c r="T468" s="2"/>
      <c r="U468" s="2"/>
      <c r="V468" s="4"/>
      <c r="W468" s="4"/>
    </row>
    <row r="469" spans="1:23" s="5" customFormat="1" ht="15" customHeight="1" x14ac:dyDescent="0.25">
      <c r="A469" s="164"/>
      <c r="B469" s="392" t="s">
        <v>908</v>
      </c>
      <c r="C469" s="64">
        <v>1560000</v>
      </c>
      <c r="D469" s="55">
        <f t="shared" si="35"/>
        <v>20223458</v>
      </c>
      <c r="E469" s="36" t="s">
        <v>214</v>
      </c>
      <c r="F469" s="67">
        <f>C469</f>
        <v>1560000</v>
      </c>
      <c r="G469" s="64"/>
      <c r="H469" s="64"/>
      <c r="I469" s="64"/>
      <c r="J469" s="64"/>
      <c r="K469" s="64"/>
      <c r="L469" s="2">
        <f t="shared" si="33"/>
        <v>0</v>
      </c>
      <c r="M469" s="2"/>
      <c r="N469" s="2"/>
      <c r="O469" s="2"/>
      <c r="P469" s="2"/>
      <c r="Q469" s="2"/>
      <c r="R469" s="3"/>
      <c r="S469" s="3"/>
      <c r="T469" s="2"/>
      <c r="U469" s="2"/>
      <c r="V469" s="4"/>
      <c r="W469" s="4"/>
    </row>
    <row r="470" spans="1:23" s="5" customFormat="1" ht="15" customHeight="1" x14ac:dyDescent="0.25">
      <c r="A470" s="389">
        <v>45381</v>
      </c>
      <c r="B470" s="316" t="s">
        <v>163</v>
      </c>
      <c r="C470" s="64">
        <v>-11000</v>
      </c>
      <c r="D470" s="55">
        <f t="shared" si="35"/>
        <v>20212458</v>
      </c>
      <c r="E470" s="36" t="s">
        <v>530</v>
      </c>
      <c r="F470" s="67"/>
      <c r="G470" s="64"/>
      <c r="H470" s="64"/>
      <c r="I470" s="64"/>
      <c r="J470" s="64"/>
      <c r="K470" s="64">
        <f t="shared" si="34"/>
        <v>-11000</v>
      </c>
      <c r="L470" s="2">
        <f t="shared" si="33"/>
        <v>0</v>
      </c>
      <c r="M470" s="2"/>
      <c r="N470" s="2"/>
      <c r="O470" s="2"/>
      <c r="P470" s="2"/>
      <c r="Q470" s="2"/>
      <c r="R470" s="3"/>
      <c r="S470" s="3"/>
      <c r="T470" s="2"/>
      <c r="U470" s="2"/>
      <c r="V470" s="4"/>
      <c r="W470" s="4"/>
    </row>
    <row r="471" spans="1:23" s="5" customFormat="1" ht="15" customHeight="1" x14ac:dyDescent="0.25">
      <c r="B471" s="316" t="s">
        <v>909</v>
      </c>
      <c r="C471" s="64">
        <v>1500000</v>
      </c>
      <c r="D471" s="55">
        <f t="shared" si="35"/>
        <v>21712458</v>
      </c>
      <c r="E471" s="36" t="s">
        <v>61</v>
      </c>
      <c r="F471" s="67"/>
      <c r="G471" s="64"/>
      <c r="H471" s="64"/>
      <c r="I471" s="64">
        <f>C471</f>
        <v>1500000</v>
      </c>
      <c r="J471" s="64"/>
      <c r="K471" s="64"/>
      <c r="L471" s="2">
        <f t="shared" si="33"/>
        <v>0</v>
      </c>
      <c r="M471" s="2"/>
      <c r="N471" s="2"/>
      <c r="O471" s="2"/>
      <c r="P471" s="2"/>
      <c r="Q471" s="2"/>
      <c r="R471" s="3"/>
      <c r="S471" s="3"/>
      <c r="T471" s="2"/>
      <c r="U471" s="2"/>
      <c r="V471" s="4"/>
      <c r="W471" s="4"/>
    </row>
    <row r="472" spans="1:23" s="5" customFormat="1" ht="15" customHeight="1" x14ac:dyDescent="0.25">
      <c r="A472" s="6"/>
      <c r="B472" s="316" t="s">
        <v>901</v>
      </c>
      <c r="C472" s="64">
        <v>-1251500</v>
      </c>
      <c r="D472" s="55">
        <f t="shared" si="35"/>
        <v>20460958</v>
      </c>
      <c r="E472" s="36" t="s">
        <v>530</v>
      </c>
      <c r="F472" s="67"/>
      <c r="G472" s="64"/>
      <c r="H472" s="64"/>
      <c r="I472" s="64"/>
      <c r="J472" s="64"/>
      <c r="K472" s="64">
        <f t="shared" si="34"/>
        <v>-1251500</v>
      </c>
      <c r="L472" s="2">
        <f t="shared" si="33"/>
        <v>0</v>
      </c>
      <c r="M472" s="2"/>
      <c r="N472" s="2"/>
      <c r="O472" s="2"/>
      <c r="P472" s="2"/>
      <c r="Q472" s="2"/>
      <c r="R472" s="3"/>
      <c r="S472" s="3"/>
      <c r="T472" s="2"/>
      <c r="U472" s="2"/>
      <c r="V472" s="4"/>
      <c r="W472" s="4"/>
    </row>
    <row r="473" spans="1:23" s="5" customFormat="1" ht="15" customHeight="1" x14ac:dyDescent="0.25">
      <c r="A473" s="93"/>
      <c r="B473" s="316" t="s">
        <v>901</v>
      </c>
      <c r="C473" s="64">
        <v>-25000</v>
      </c>
      <c r="D473" s="55">
        <f t="shared" si="35"/>
        <v>20435958</v>
      </c>
      <c r="E473" s="36" t="s">
        <v>530</v>
      </c>
      <c r="F473" s="67"/>
      <c r="G473" s="64"/>
      <c r="H473" s="64"/>
      <c r="I473" s="64"/>
      <c r="J473" s="64"/>
      <c r="K473" s="64">
        <f t="shared" si="34"/>
        <v>-25000</v>
      </c>
      <c r="L473" s="2">
        <f t="shared" si="33"/>
        <v>0</v>
      </c>
      <c r="M473" s="2"/>
      <c r="N473" s="2"/>
      <c r="O473" s="2"/>
      <c r="P473" s="2"/>
      <c r="Q473" s="2"/>
      <c r="R473" s="3"/>
      <c r="S473" s="3"/>
      <c r="T473" s="2"/>
      <c r="U473" s="2"/>
      <c r="V473" s="4"/>
      <c r="W473" s="4"/>
    </row>
    <row r="474" spans="1:23" s="5" customFormat="1" ht="15" customHeight="1" x14ac:dyDescent="0.25">
      <c r="A474" s="93"/>
      <c r="B474" s="316" t="s">
        <v>910</v>
      </c>
      <c r="C474" s="64">
        <v>-241000</v>
      </c>
      <c r="D474" s="55">
        <f t="shared" si="35"/>
        <v>20194958</v>
      </c>
      <c r="E474" s="36" t="s">
        <v>530</v>
      </c>
      <c r="F474" s="67"/>
      <c r="G474" s="64"/>
      <c r="H474" s="64"/>
      <c r="I474" s="64"/>
      <c r="J474" s="64"/>
      <c r="K474" s="64">
        <f t="shared" si="34"/>
        <v>-241000</v>
      </c>
      <c r="L474" s="2">
        <f t="shared" si="33"/>
        <v>0</v>
      </c>
      <c r="M474" s="2"/>
      <c r="N474" s="2"/>
      <c r="O474" s="2"/>
      <c r="P474" s="2"/>
      <c r="Q474" s="2"/>
      <c r="R474" s="3"/>
      <c r="S474" s="3"/>
      <c r="T474" s="2"/>
      <c r="U474" s="2"/>
      <c r="V474" s="4"/>
      <c r="W474" s="4"/>
    </row>
    <row r="475" spans="1:23" s="5" customFormat="1" ht="15" customHeight="1" x14ac:dyDescent="0.25">
      <c r="A475" s="93"/>
      <c r="B475" s="316" t="s">
        <v>911</v>
      </c>
      <c r="C475" s="64"/>
      <c r="D475" s="55">
        <f t="shared" si="35"/>
        <v>20194958</v>
      </c>
      <c r="E475" s="36" t="s">
        <v>59</v>
      </c>
      <c r="F475" s="67"/>
      <c r="G475" s="64"/>
      <c r="H475" s="64"/>
      <c r="I475" s="64"/>
      <c r="J475" s="64"/>
      <c r="K475" s="64">
        <f t="shared" si="34"/>
        <v>0</v>
      </c>
      <c r="L475" s="2">
        <f t="shared" si="33"/>
        <v>0</v>
      </c>
      <c r="M475" s="2"/>
      <c r="N475" s="2"/>
      <c r="O475" s="2"/>
      <c r="P475" s="2"/>
      <c r="Q475" s="2"/>
      <c r="R475" s="3"/>
      <c r="S475" s="3"/>
      <c r="T475" s="2"/>
      <c r="U475" s="2"/>
      <c r="V475" s="4"/>
      <c r="W475" s="4"/>
    </row>
    <row r="476" spans="1:23" s="5" customFormat="1" ht="15" customHeight="1" x14ac:dyDescent="0.25">
      <c r="A476" s="96"/>
      <c r="B476" s="316" t="s">
        <v>737</v>
      </c>
      <c r="C476" s="64">
        <v>-107500</v>
      </c>
      <c r="D476" s="55">
        <f t="shared" si="35"/>
        <v>20087458</v>
      </c>
      <c r="E476" s="36" t="s">
        <v>530</v>
      </c>
      <c r="F476" s="67"/>
      <c r="G476" s="64"/>
      <c r="H476" s="64"/>
      <c r="I476" s="64"/>
      <c r="J476" s="64"/>
      <c r="K476" s="64">
        <f t="shared" si="34"/>
        <v>-107500</v>
      </c>
      <c r="L476" s="2">
        <f t="shared" si="33"/>
        <v>0</v>
      </c>
      <c r="M476" s="2"/>
      <c r="N476" s="2"/>
      <c r="O476" s="2"/>
      <c r="P476" s="2"/>
      <c r="Q476" s="2"/>
      <c r="R476" s="3"/>
      <c r="S476" s="3"/>
      <c r="T476" s="2"/>
      <c r="U476" s="2"/>
      <c r="V476" s="4"/>
      <c r="W476" s="4"/>
    </row>
    <row r="477" spans="1:23" s="5" customFormat="1" ht="15" customHeight="1" x14ac:dyDescent="0.25">
      <c r="A477" s="390"/>
      <c r="B477" s="316" t="s">
        <v>912</v>
      </c>
      <c r="C477" s="64">
        <v>-1274700</v>
      </c>
      <c r="D477" s="55">
        <f t="shared" si="35"/>
        <v>18812758</v>
      </c>
      <c r="E477" s="36" t="s">
        <v>530</v>
      </c>
      <c r="F477" s="67"/>
      <c r="G477" s="64"/>
      <c r="H477" s="64"/>
      <c r="I477" s="64"/>
      <c r="J477" s="64"/>
      <c r="K477" s="64">
        <f t="shared" si="34"/>
        <v>-1274700</v>
      </c>
      <c r="L477" s="2">
        <f t="shared" si="33"/>
        <v>0</v>
      </c>
      <c r="M477" s="2"/>
      <c r="N477" s="2"/>
      <c r="O477" s="2"/>
      <c r="P477" s="2"/>
      <c r="Q477" s="2"/>
      <c r="R477" s="3"/>
      <c r="S477" s="3"/>
      <c r="T477" s="2"/>
      <c r="U477" s="2"/>
      <c r="V477" s="4"/>
      <c r="W477" s="4"/>
    </row>
    <row r="478" spans="1:23" s="5" customFormat="1" ht="15" customHeight="1" x14ac:dyDescent="0.25">
      <c r="A478" s="93"/>
      <c r="B478" s="316" t="s">
        <v>788</v>
      </c>
      <c r="C478" s="64">
        <v>-100000</v>
      </c>
      <c r="D478" s="55">
        <f t="shared" si="35"/>
        <v>18712758</v>
      </c>
      <c r="E478" s="36" t="s">
        <v>530</v>
      </c>
      <c r="F478" s="67"/>
      <c r="G478" s="64"/>
      <c r="H478" s="64"/>
      <c r="I478" s="64"/>
      <c r="J478" s="64"/>
      <c r="K478" s="64">
        <f t="shared" ref="K478:K488" si="36">C478</f>
        <v>-100000</v>
      </c>
      <c r="L478" s="2">
        <f t="shared" si="33"/>
        <v>0</v>
      </c>
      <c r="M478" s="2"/>
      <c r="N478" s="2"/>
      <c r="O478" s="2"/>
      <c r="P478" s="2"/>
      <c r="Q478" s="2"/>
      <c r="R478" s="3"/>
      <c r="S478" s="3"/>
      <c r="T478" s="2"/>
      <c r="U478" s="2"/>
      <c r="V478" s="4"/>
      <c r="W478" s="4"/>
    </row>
    <row r="479" spans="1:23" s="5" customFormat="1" ht="15" customHeight="1" x14ac:dyDescent="0.25">
      <c r="A479" s="93"/>
      <c r="B479" s="316" t="s">
        <v>913</v>
      </c>
      <c r="C479" s="64">
        <v>150000</v>
      </c>
      <c r="D479" s="55">
        <f t="shared" si="35"/>
        <v>18862758</v>
      </c>
      <c r="E479" s="36" t="s">
        <v>59</v>
      </c>
      <c r="F479" s="67"/>
      <c r="G479" s="64">
        <f>C479</f>
        <v>150000</v>
      </c>
      <c r="H479" s="64"/>
      <c r="I479" s="64"/>
      <c r="J479" s="64"/>
      <c r="K479" s="64"/>
      <c r="L479" s="2">
        <f t="shared" si="33"/>
        <v>0</v>
      </c>
      <c r="M479" s="2"/>
      <c r="N479" s="2"/>
      <c r="O479" s="2"/>
      <c r="P479" s="2"/>
      <c r="Q479" s="2"/>
      <c r="R479" s="3"/>
      <c r="S479" s="3"/>
      <c r="T479" s="2"/>
      <c r="U479" s="2"/>
      <c r="V479" s="4"/>
      <c r="W479" s="4"/>
    </row>
    <row r="480" spans="1:23" s="5" customFormat="1" ht="15" customHeight="1" x14ac:dyDescent="0.25">
      <c r="A480" s="390"/>
      <c r="B480" s="316" t="s">
        <v>267</v>
      </c>
      <c r="C480" s="64">
        <v>-2670000</v>
      </c>
      <c r="D480" s="55">
        <f t="shared" si="35"/>
        <v>16192758</v>
      </c>
      <c r="E480" s="36" t="s">
        <v>530</v>
      </c>
      <c r="F480" s="67"/>
      <c r="G480" s="64"/>
      <c r="H480" s="64"/>
      <c r="I480" s="64"/>
      <c r="J480" s="64"/>
      <c r="K480" s="64">
        <f t="shared" si="36"/>
        <v>-2670000</v>
      </c>
      <c r="L480" s="2">
        <f t="shared" si="33"/>
        <v>0</v>
      </c>
      <c r="M480" s="2"/>
      <c r="N480" s="2"/>
      <c r="O480" s="2"/>
      <c r="P480" s="2"/>
      <c r="Q480" s="2"/>
      <c r="R480" s="3"/>
      <c r="S480" s="3"/>
      <c r="T480" s="2"/>
      <c r="U480" s="2"/>
      <c r="V480" s="4"/>
      <c r="W480" s="4"/>
    </row>
    <row r="481" spans="1:23" s="5" customFormat="1" ht="15" customHeight="1" x14ac:dyDescent="0.25">
      <c r="A481" s="93"/>
      <c r="B481" s="316" t="s">
        <v>914</v>
      </c>
      <c r="C481" s="64"/>
      <c r="D481" s="55">
        <f t="shared" si="35"/>
        <v>16192758</v>
      </c>
      <c r="E481" s="36" t="s">
        <v>59</v>
      </c>
      <c r="F481" s="67"/>
      <c r="G481" s="64"/>
      <c r="H481" s="64"/>
      <c r="I481" s="64"/>
      <c r="J481" s="64"/>
      <c r="K481" s="64">
        <f t="shared" si="36"/>
        <v>0</v>
      </c>
      <c r="L481" s="2">
        <f t="shared" si="33"/>
        <v>0</v>
      </c>
      <c r="M481" s="2"/>
      <c r="N481" s="2"/>
      <c r="O481" s="2"/>
      <c r="P481" s="2"/>
      <c r="Q481" s="2"/>
      <c r="R481" s="3"/>
      <c r="S481" s="3"/>
      <c r="T481" s="2"/>
      <c r="U481" s="2"/>
      <c r="V481" s="4"/>
      <c r="W481" s="4"/>
    </row>
    <row r="482" spans="1:23" s="5" customFormat="1" ht="15" customHeight="1" x14ac:dyDescent="0.25">
      <c r="A482" s="390"/>
      <c r="B482" s="316" t="s">
        <v>854</v>
      </c>
      <c r="C482" s="64">
        <v>-9000</v>
      </c>
      <c r="D482" s="55">
        <f t="shared" si="35"/>
        <v>16183758</v>
      </c>
      <c r="E482" s="36" t="s">
        <v>530</v>
      </c>
      <c r="F482" s="67"/>
      <c r="G482" s="64"/>
      <c r="H482" s="64"/>
      <c r="I482" s="64"/>
      <c r="J482" s="64"/>
      <c r="K482" s="64">
        <f t="shared" si="36"/>
        <v>-9000</v>
      </c>
      <c r="L482" s="2">
        <f t="shared" si="33"/>
        <v>0</v>
      </c>
      <c r="M482" s="2"/>
      <c r="N482" s="2"/>
      <c r="O482" s="2"/>
      <c r="P482" s="2"/>
      <c r="Q482" s="2"/>
      <c r="R482" s="3"/>
      <c r="S482" s="3"/>
      <c r="T482" s="2"/>
      <c r="U482" s="2"/>
      <c r="V482" s="4"/>
      <c r="W482" s="4"/>
    </row>
    <row r="483" spans="1:23" s="5" customFormat="1" ht="15" customHeight="1" x14ac:dyDescent="0.25">
      <c r="A483" s="98"/>
      <c r="B483" s="316" t="s">
        <v>915</v>
      </c>
      <c r="C483" s="64">
        <v>3900000</v>
      </c>
      <c r="D483" s="55">
        <f t="shared" si="35"/>
        <v>20083758</v>
      </c>
      <c r="E483" s="36" t="s">
        <v>214</v>
      </c>
      <c r="F483" s="67">
        <f>C483</f>
        <v>3900000</v>
      </c>
      <c r="G483" s="64"/>
      <c r="H483" s="64"/>
      <c r="I483" s="64"/>
      <c r="J483" s="64"/>
      <c r="K483" s="64"/>
      <c r="L483" s="2">
        <f t="shared" si="33"/>
        <v>0</v>
      </c>
      <c r="M483" s="2"/>
      <c r="N483" s="2"/>
      <c r="O483" s="2"/>
      <c r="P483" s="2"/>
      <c r="Q483" s="2"/>
      <c r="R483" s="3"/>
      <c r="S483" s="3"/>
      <c r="T483" s="2"/>
      <c r="U483" s="2"/>
      <c r="V483" s="4"/>
      <c r="W483" s="4"/>
    </row>
    <row r="484" spans="1:23" s="5" customFormat="1" ht="15" customHeight="1" x14ac:dyDescent="0.25">
      <c r="A484" s="93"/>
      <c r="B484" s="316" t="s">
        <v>916</v>
      </c>
      <c r="C484" s="64">
        <v>-65000</v>
      </c>
      <c r="D484" s="55">
        <f t="shared" si="35"/>
        <v>20018758</v>
      </c>
      <c r="E484" s="36" t="s">
        <v>530</v>
      </c>
      <c r="F484" s="67"/>
      <c r="G484" s="64"/>
      <c r="H484" s="64"/>
      <c r="I484" s="64"/>
      <c r="J484" s="64"/>
      <c r="K484" s="64">
        <f t="shared" si="36"/>
        <v>-65000</v>
      </c>
      <c r="L484" s="2">
        <f t="shared" si="33"/>
        <v>0</v>
      </c>
      <c r="M484" s="2"/>
      <c r="N484" s="2"/>
      <c r="O484" s="2"/>
      <c r="P484" s="2"/>
      <c r="Q484" s="2"/>
      <c r="R484" s="3"/>
      <c r="S484" s="3"/>
      <c r="T484" s="2"/>
      <c r="U484" s="2"/>
      <c r="V484" s="4"/>
      <c r="W484" s="4"/>
    </row>
    <row r="485" spans="1:23" s="5" customFormat="1" ht="15" customHeight="1" x14ac:dyDescent="0.25">
      <c r="A485" s="389">
        <v>45382</v>
      </c>
      <c r="B485" s="316" t="s">
        <v>163</v>
      </c>
      <c r="C485" s="101">
        <v>-11000</v>
      </c>
      <c r="D485" s="55">
        <f t="shared" si="35"/>
        <v>20007758</v>
      </c>
      <c r="E485" s="36" t="s">
        <v>530</v>
      </c>
      <c r="F485" s="67"/>
      <c r="G485" s="64"/>
      <c r="H485" s="64"/>
      <c r="I485" s="64"/>
      <c r="J485" s="64"/>
      <c r="K485" s="64">
        <f t="shared" si="36"/>
        <v>-11000</v>
      </c>
      <c r="L485" s="2">
        <f t="shared" si="33"/>
        <v>0</v>
      </c>
      <c r="M485" s="2"/>
      <c r="N485" s="2"/>
      <c r="O485" s="2"/>
      <c r="P485" s="2"/>
      <c r="Q485" s="2"/>
      <c r="R485" s="3"/>
      <c r="S485" s="3"/>
      <c r="T485" s="2"/>
      <c r="U485" s="2"/>
      <c r="V485" s="4"/>
      <c r="W485" s="4"/>
    </row>
    <row r="486" spans="1:23" s="5" customFormat="1" ht="15" customHeight="1" x14ac:dyDescent="0.25">
      <c r="A486" s="93"/>
      <c r="B486" s="316" t="s">
        <v>917</v>
      </c>
      <c r="C486" s="101">
        <v>-645000</v>
      </c>
      <c r="D486" s="55">
        <f t="shared" si="35"/>
        <v>19362758</v>
      </c>
      <c r="E486" s="36" t="s">
        <v>530</v>
      </c>
      <c r="F486" s="67"/>
      <c r="G486" s="64"/>
      <c r="H486" s="64"/>
      <c r="I486" s="64"/>
      <c r="J486" s="64"/>
      <c r="K486" s="64">
        <f t="shared" si="36"/>
        <v>-645000</v>
      </c>
      <c r="L486" s="2">
        <f t="shared" si="33"/>
        <v>0</v>
      </c>
      <c r="M486" s="2"/>
      <c r="N486" s="2"/>
      <c r="O486" s="2"/>
      <c r="P486" s="2"/>
      <c r="Q486" s="2"/>
      <c r="R486" s="3"/>
      <c r="S486" s="3"/>
      <c r="T486" s="2"/>
      <c r="U486" s="2"/>
      <c r="V486" s="4"/>
      <c r="W486" s="4"/>
    </row>
    <row r="487" spans="1:23" s="5" customFormat="1" ht="15" customHeight="1" x14ac:dyDescent="0.25">
      <c r="A487" s="99"/>
      <c r="B487" s="316" t="s">
        <v>918</v>
      </c>
      <c r="C487" s="101">
        <v>1060000</v>
      </c>
      <c r="D487" s="55">
        <f t="shared" si="35"/>
        <v>20422758</v>
      </c>
      <c r="E487" s="36" t="s">
        <v>214</v>
      </c>
      <c r="F487" s="67">
        <f>C487</f>
        <v>1060000</v>
      </c>
      <c r="G487" s="64"/>
      <c r="H487" s="64"/>
      <c r="I487" s="64"/>
      <c r="J487" s="64"/>
      <c r="K487" s="64"/>
      <c r="L487" s="2">
        <f t="shared" si="33"/>
        <v>0</v>
      </c>
      <c r="M487" s="2"/>
      <c r="N487" s="2"/>
      <c r="O487" s="2"/>
      <c r="P487" s="2"/>
      <c r="Q487" s="2"/>
      <c r="R487" s="3"/>
      <c r="S487" s="3"/>
      <c r="T487" s="2"/>
      <c r="U487" s="2"/>
      <c r="V487" s="4"/>
      <c r="W487" s="4"/>
    </row>
    <row r="488" spans="1:23" s="5" customFormat="1" ht="15" customHeight="1" x14ac:dyDescent="0.25">
      <c r="A488" s="98"/>
      <c r="B488" s="316" t="s">
        <v>919</v>
      </c>
      <c r="C488" s="101">
        <v>-200000</v>
      </c>
      <c r="D488" s="55">
        <f t="shared" si="35"/>
        <v>20222758</v>
      </c>
      <c r="E488" s="36" t="s">
        <v>530</v>
      </c>
      <c r="F488" s="67"/>
      <c r="G488" s="64"/>
      <c r="H488" s="64"/>
      <c r="I488" s="64"/>
      <c r="J488" s="64"/>
      <c r="K488" s="64">
        <f t="shared" si="36"/>
        <v>-200000</v>
      </c>
      <c r="L488" s="2">
        <f t="shared" si="33"/>
        <v>0</v>
      </c>
      <c r="M488" s="2"/>
      <c r="N488" s="2"/>
      <c r="O488" s="2"/>
      <c r="P488" s="2"/>
      <c r="Q488" s="2"/>
      <c r="R488" s="3"/>
      <c r="S488" s="3"/>
      <c r="T488" s="2"/>
      <c r="U488" s="2"/>
      <c r="V488" s="4"/>
      <c r="W488" s="4"/>
    </row>
    <row r="489" spans="1:23" s="5" customFormat="1" ht="15" customHeight="1" x14ac:dyDescent="0.25">
      <c r="A489" s="93"/>
      <c r="B489" s="316" t="s">
        <v>920</v>
      </c>
      <c r="C489" s="101">
        <v>220000</v>
      </c>
      <c r="D489" s="55">
        <f t="shared" si="35"/>
        <v>20442758</v>
      </c>
      <c r="E489" s="36" t="s">
        <v>59</v>
      </c>
      <c r="F489" s="67"/>
      <c r="G489" s="64">
        <f>C489</f>
        <v>220000</v>
      </c>
      <c r="H489" s="64"/>
      <c r="I489" s="64"/>
      <c r="J489" s="64"/>
      <c r="K489" s="64"/>
      <c r="L489" s="2">
        <f t="shared" si="33"/>
        <v>0</v>
      </c>
      <c r="M489" s="2"/>
      <c r="N489" s="2"/>
      <c r="O489" s="2"/>
      <c r="P489" s="2"/>
      <c r="Q489" s="2"/>
      <c r="R489" s="3"/>
      <c r="S489" s="3"/>
      <c r="T489" s="2"/>
      <c r="U489" s="2"/>
      <c r="V489" s="4"/>
      <c r="W489" s="4"/>
    </row>
    <row r="490" spans="1:23" s="21" customFormat="1" x14ac:dyDescent="0.25">
      <c r="A490" s="27"/>
      <c r="B490" s="27"/>
      <c r="C490" s="6"/>
      <c r="D490" s="55"/>
      <c r="E490" s="27"/>
      <c r="F490" s="83">
        <f>SUM(F2:F489)</f>
        <v>115986000</v>
      </c>
      <c r="G490" s="83">
        <f t="shared" ref="G490:K490" si="37">SUM(G2:G489)</f>
        <v>7610375</v>
      </c>
      <c r="H490" s="83">
        <f t="shared" si="37"/>
        <v>6490000</v>
      </c>
      <c r="I490" s="83">
        <f t="shared" si="37"/>
        <v>35450000</v>
      </c>
      <c r="J490" s="83">
        <f t="shared" si="37"/>
        <v>35000000</v>
      </c>
      <c r="K490" s="83">
        <f t="shared" si="37"/>
        <v>-211555346</v>
      </c>
      <c r="L490" s="119">
        <f>SUM(F490:K490)+D1</f>
        <v>20442758</v>
      </c>
      <c r="N490" s="119">
        <f>L490-C491</f>
        <v>0</v>
      </c>
    </row>
    <row r="491" spans="1:23" x14ac:dyDescent="0.25">
      <c r="C491" s="66">
        <f>SUM(C2:C489)+D1</f>
        <v>20442758</v>
      </c>
      <c r="D491" s="55"/>
    </row>
    <row r="492" spans="1:23" x14ac:dyDescent="0.25">
      <c r="A492" s="445" t="s">
        <v>246</v>
      </c>
      <c r="B492" s="447"/>
      <c r="C492" s="447"/>
      <c r="D492" s="447"/>
      <c r="E492" s="447"/>
      <c r="F492" s="447"/>
      <c r="G492" s="446"/>
      <c r="H492" s="55"/>
    </row>
    <row r="493" spans="1:23" s="34" customFormat="1" x14ac:dyDescent="0.25">
      <c r="A493" s="94" t="s">
        <v>38</v>
      </c>
      <c r="B493" s="94" t="s">
        <v>5</v>
      </c>
      <c r="C493" s="157" t="s">
        <v>50</v>
      </c>
      <c r="D493" s="93" t="s">
        <v>11</v>
      </c>
      <c r="E493" s="93" t="s">
        <v>196</v>
      </c>
      <c r="F493" s="144" t="s">
        <v>118</v>
      </c>
      <c r="G493" s="156" t="s">
        <v>268</v>
      </c>
      <c r="H493" s="157" t="s">
        <v>925</v>
      </c>
      <c r="I493" s="98"/>
      <c r="J493" s="98"/>
      <c r="K493" s="98"/>
    </row>
    <row r="494" spans="1:23" x14ac:dyDescent="0.25">
      <c r="A494" s="445" t="s">
        <v>521</v>
      </c>
      <c r="B494" s="446"/>
      <c r="D494" s="55"/>
      <c r="E494" s="55"/>
      <c r="F494" s="62"/>
      <c r="G494" s="123"/>
      <c r="H494" s="55"/>
    </row>
    <row r="495" spans="1:23" x14ac:dyDescent="0.25">
      <c r="A495" s="390">
        <v>45358</v>
      </c>
      <c r="B495" s="316" t="s">
        <v>921</v>
      </c>
      <c r="C495" s="64"/>
      <c r="D495" s="55"/>
      <c r="E495" s="55">
        <v>500000000</v>
      </c>
      <c r="F495" s="62"/>
      <c r="G495" s="55">
        <v>-500000000</v>
      </c>
      <c r="H495" s="55"/>
    </row>
    <row r="496" spans="1:23" x14ac:dyDescent="0.25">
      <c r="A496" s="389">
        <v>45359</v>
      </c>
      <c r="B496" s="50" t="s">
        <v>922</v>
      </c>
      <c r="C496" s="101"/>
      <c r="D496" s="55"/>
      <c r="E496" s="55">
        <v>95000000</v>
      </c>
      <c r="F496" s="62"/>
      <c r="G496" s="55"/>
      <c r="H496" s="55">
        <v>-95000000</v>
      </c>
    </row>
    <row r="497" spans="1:11" x14ac:dyDescent="0.25">
      <c r="A497" s="389">
        <v>45360</v>
      </c>
      <c r="B497" s="50" t="s">
        <v>923</v>
      </c>
      <c r="C497" s="101"/>
      <c r="D497" s="55"/>
      <c r="E497" s="55">
        <v>95000000</v>
      </c>
      <c r="F497" s="62"/>
      <c r="G497" s="55"/>
      <c r="H497" s="55">
        <v>-95000000</v>
      </c>
    </row>
    <row r="498" spans="1:11" x14ac:dyDescent="0.25">
      <c r="A498" s="389">
        <v>45360</v>
      </c>
      <c r="B498" s="50" t="s">
        <v>924</v>
      </c>
      <c r="C498" s="101"/>
      <c r="D498" s="55"/>
      <c r="E498" s="55"/>
      <c r="F498" s="62">
        <v>400000000</v>
      </c>
      <c r="G498" s="55"/>
      <c r="H498" s="55"/>
    </row>
    <row r="499" spans="1:11" x14ac:dyDescent="0.25">
      <c r="A499" s="389">
        <v>45370</v>
      </c>
      <c r="B499" s="50" t="s">
        <v>789</v>
      </c>
      <c r="C499" s="101">
        <v>20000000</v>
      </c>
      <c r="D499" s="55"/>
      <c r="E499" s="55"/>
      <c r="F499" s="62">
        <v>-20000000</v>
      </c>
      <c r="G499" s="55"/>
      <c r="H499" s="55"/>
    </row>
    <row r="500" spans="1:11" x14ac:dyDescent="0.25">
      <c r="A500" s="390">
        <v>45377</v>
      </c>
      <c r="B500" s="316" t="s">
        <v>926</v>
      </c>
      <c r="C500" s="101">
        <v>15000000</v>
      </c>
      <c r="D500" s="55">
        <f>-C500</f>
        <v>-15000000</v>
      </c>
      <c r="E500" s="55"/>
      <c r="F500" s="62"/>
      <c r="G500" s="55"/>
      <c r="H500" s="55"/>
    </row>
    <row r="501" spans="1:11" x14ac:dyDescent="0.25">
      <c r="A501" s="61"/>
      <c r="B501" s="50"/>
      <c r="C501" s="101"/>
      <c r="D501" s="55"/>
      <c r="E501" s="55"/>
      <c r="F501" s="62"/>
      <c r="G501" s="55"/>
      <c r="H501" s="55"/>
    </row>
    <row r="502" spans="1:11" x14ac:dyDescent="0.25">
      <c r="A502" s="445" t="s">
        <v>96</v>
      </c>
      <c r="B502" s="446"/>
      <c r="C502" s="55">
        <f>SUM(C495:C501)</f>
        <v>35000000</v>
      </c>
      <c r="D502" s="55">
        <f t="shared" ref="D502:E502" si="38">SUM(D495:D501)</f>
        <v>-15000000</v>
      </c>
      <c r="E502" s="55">
        <f t="shared" si="38"/>
        <v>690000000</v>
      </c>
      <c r="F502" s="55">
        <f>SUM(F495:F501)</f>
        <v>380000000</v>
      </c>
      <c r="G502" s="55">
        <f>SUM(G495:G501)</f>
        <v>-500000000</v>
      </c>
      <c r="H502" s="55">
        <f>SUM(H495:H501)</f>
        <v>-190000000</v>
      </c>
    </row>
    <row r="504" spans="1:11" x14ac:dyDescent="0.25">
      <c r="B504" s="82" t="s">
        <v>134</v>
      </c>
      <c r="C504" s="92">
        <f>C502</f>
        <v>35000000</v>
      </c>
      <c r="D504" s="63"/>
      <c r="E504" s="66"/>
      <c r="F504" s="66"/>
      <c r="J504"/>
      <c r="K504"/>
    </row>
    <row r="506" spans="1:11" x14ac:dyDescent="0.25">
      <c r="B506" t="s">
        <v>405</v>
      </c>
      <c r="C506" s="66">
        <f>D1</f>
        <v>31461729</v>
      </c>
    </row>
    <row r="507" spans="1:11" x14ac:dyDescent="0.25">
      <c r="B507" t="s">
        <v>406</v>
      </c>
      <c r="C507" s="66">
        <f>F490</f>
        <v>115986000</v>
      </c>
      <c r="D507" s="91"/>
    </row>
    <row r="508" spans="1:11" x14ac:dyDescent="0.25">
      <c r="B508" t="s">
        <v>407</v>
      </c>
      <c r="C508" s="66">
        <f>G490</f>
        <v>7610375</v>
      </c>
    </row>
    <row r="509" spans="1:11" x14ac:dyDescent="0.25">
      <c r="B509" t="s">
        <v>517</v>
      </c>
      <c r="C509" s="66">
        <f>Kuitansi!E87+Kuitansi!E46</f>
        <v>840000</v>
      </c>
    </row>
    <row r="510" spans="1:11" x14ac:dyDescent="0.25">
      <c r="B510" t="s">
        <v>124</v>
      </c>
      <c r="C510" s="66">
        <f>Kuitansi!E117</f>
        <v>6310000</v>
      </c>
    </row>
    <row r="511" spans="1:11" x14ac:dyDescent="0.25">
      <c r="B511" t="s">
        <v>482</v>
      </c>
      <c r="C511" s="66">
        <f>Kuitansi!E120</f>
        <v>28300000</v>
      </c>
    </row>
    <row r="512" spans="1:11" x14ac:dyDescent="0.25">
      <c r="B512" t="s">
        <v>408</v>
      </c>
      <c r="C512" s="66">
        <f>H490</f>
        <v>6490000</v>
      </c>
    </row>
    <row r="513" spans="2:4" x14ac:dyDescent="0.25">
      <c r="B513" t="s">
        <v>518</v>
      </c>
      <c r="C513" s="66">
        <f>-D502</f>
        <v>15000000</v>
      </c>
    </row>
    <row r="514" spans="2:4" x14ac:dyDescent="0.25">
      <c r="B514" t="s">
        <v>1239</v>
      </c>
      <c r="C514" s="66">
        <f>C499</f>
        <v>20000000</v>
      </c>
    </row>
    <row r="515" spans="2:4" x14ac:dyDescent="0.25">
      <c r="B515" t="s">
        <v>3</v>
      </c>
      <c r="C515" s="66">
        <f>K490</f>
        <v>-211555346</v>
      </c>
    </row>
    <row r="516" spans="2:4" x14ac:dyDescent="0.25">
      <c r="B516" t="s">
        <v>411</v>
      </c>
      <c r="C516" s="66">
        <f>SUM(C506:C515)</f>
        <v>20442758</v>
      </c>
    </row>
    <row r="519" spans="2:4" x14ac:dyDescent="0.25">
      <c r="D519" s="66">
        <f>C491-C516</f>
        <v>0</v>
      </c>
    </row>
  </sheetData>
  <mergeCells count="3">
    <mergeCell ref="A502:B502"/>
    <mergeCell ref="A494:B494"/>
    <mergeCell ref="A492:G492"/>
  </mergeCells>
  <pageMargins left="0.7" right="0.7" top="0.75" bottom="0.75" header="0.3" footer="0.3"/>
  <pageSetup paperSize="9" scale="29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24"/>
  <sheetViews>
    <sheetView zoomScale="86" zoomScaleNormal="86" workbookViewId="0">
      <pane ySplit="1" topLeftCell="A104" activePane="bottomLeft" state="frozen"/>
      <selection pane="bottomLeft" activeCell="G112" sqref="G112"/>
    </sheetView>
  </sheetViews>
  <sheetFormatPr defaultRowHeight="15" x14ac:dyDescent="0.25"/>
  <cols>
    <col min="1" max="1" width="6.42578125" customWidth="1"/>
    <col min="2" max="2" width="11.140625" customWidth="1"/>
    <col min="3" max="3" width="95" bestFit="1" customWidth="1"/>
    <col min="4" max="4" width="26" style="225" customWidth="1"/>
    <col min="5" max="5" width="17.28515625" style="125" customWidth="1"/>
    <col min="6" max="6" width="12.5703125" style="125" customWidth="1"/>
    <col min="7" max="7" width="13.28515625" style="125" customWidth="1"/>
    <col min="8" max="9" width="14.42578125" style="70" customWidth="1"/>
    <col min="10" max="10" width="14.7109375" style="125" bestFit="1" customWidth="1"/>
    <col min="11" max="11" width="15.42578125" style="125" customWidth="1"/>
    <col min="12" max="12" width="19.85546875" style="125" bestFit="1" customWidth="1"/>
    <col min="13" max="13" width="12" bestFit="1" customWidth="1"/>
  </cols>
  <sheetData>
    <row r="1" spans="1:13" s="34" customFormat="1" ht="30" x14ac:dyDescent="0.25">
      <c r="A1" s="207" t="s">
        <v>62</v>
      </c>
      <c r="B1" s="176" t="s">
        <v>38</v>
      </c>
      <c r="C1" s="197" t="s">
        <v>5</v>
      </c>
      <c r="D1" s="235" t="s">
        <v>6</v>
      </c>
      <c r="E1" s="206" t="s">
        <v>63</v>
      </c>
      <c r="F1" s="282" t="s">
        <v>1318</v>
      </c>
      <c r="G1" s="206" t="s">
        <v>124</v>
      </c>
      <c r="H1" s="120" t="s">
        <v>125</v>
      </c>
      <c r="I1" s="120" t="s">
        <v>1</v>
      </c>
      <c r="J1" s="198" t="s">
        <v>126</v>
      </c>
      <c r="K1" s="206" t="s">
        <v>64</v>
      </c>
      <c r="L1" s="206" t="s">
        <v>65</v>
      </c>
    </row>
    <row r="2" spans="1:13" s="70" customFormat="1" x14ac:dyDescent="0.25">
      <c r="A2" s="171" t="s">
        <v>1094</v>
      </c>
      <c r="B2" s="99">
        <v>45352</v>
      </c>
      <c r="C2" s="50" t="s">
        <v>593</v>
      </c>
      <c r="D2" s="64">
        <v>-65000</v>
      </c>
      <c r="E2" s="89"/>
      <c r="F2" s="89"/>
      <c r="G2" s="89"/>
      <c r="H2" s="62"/>
      <c r="I2" s="89"/>
      <c r="J2" s="89"/>
      <c r="K2" s="89">
        <f>D2</f>
        <v>-65000</v>
      </c>
      <c r="L2" s="152"/>
      <c r="M2" s="239">
        <f>D2-E1:E2-F2-G2-H2-I2-J2-K2</f>
        <v>0</v>
      </c>
    </row>
    <row r="3" spans="1:13" s="70" customFormat="1" x14ac:dyDescent="0.25">
      <c r="A3" s="171" t="s">
        <v>1095</v>
      </c>
      <c r="B3" s="99">
        <v>45352</v>
      </c>
      <c r="C3" s="50" t="s">
        <v>598</v>
      </c>
      <c r="D3" s="64">
        <v>-75000</v>
      </c>
      <c r="E3" s="89"/>
      <c r="F3" s="89"/>
      <c r="G3" s="89"/>
      <c r="H3" s="62"/>
      <c r="I3" s="89"/>
      <c r="J3" s="89"/>
      <c r="K3" s="89">
        <f>D3</f>
        <v>-75000</v>
      </c>
      <c r="L3" s="152"/>
      <c r="M3" s="239">
        <f t="shared" ref="M3:M66" si="0">D3-E2:E3-F3-G3-H3-I3-J3-K3</f>
        <v>0</v>
      </c>
    </row>
    <row r="4" spans="1:13" s="70" customFormat="1" x14ac:dyDescent="0.25">
      <c r="A4" s="171" t="s">
        <v>1044</v>
      </c>
      <c r="B4" s="99">
        <v>45352</v>
      </c>
      <c r="C4" s="50" t="s">
        <v>1096</v>
      </c>
      <c r="D4" s="64">
        <v>500000</v>
      </c>
      <c r="E4" s="89"/>
      <c r="F4" s="89"/>
      <c r="G4" s="89">
        <f>D4</f>
        <v>500000</v>
      </c>
      <c r="H4" s="62"/>
      <c r="I4" s="89"/>
      <c r="J4" s="89"/>
      <c r="K4" s="89"/>
      <c r="L4" s="152"/>
      <c r="M4" s="239">
        <f t="shared" si="0"/>
        <v>0</v>
      </c>
    </row>
    <row r="5" spans="1:13" s="70" customFormat="1" x14ac:dyDescent="0.25">
      <c r="A5" s="171" t="s">
        <v>1097</v>
      </c>
      <c r="B5" s="99">
        <v>45353</v>
      </c>
      <c r="C5" s="50" t="s">
        <v>601</v>
      </c>
      <c r="D5" s="64">
        <v>-65000</v>
      </c>
      <c r="E5" s="89"/>
      <c r="F5" s="89"/>
      <c r="G5" s="89"/>
      <c r="H5" s="62"/>
      <c r="I5" s="89"/>
      <c r="J5" s="89"/>
      <c r="K5" s="89">
        <f>D5</f>
        <v>-65000</v>
      </c>
      <c r="L5" s="152"/>
      <c r="M5" s="239">
        <f t="shared" si="0"/>
        <v>0</v>
      </c>
    </row>
    <row r="6" spans="1:13" s="70" customFormat="1" x14ac:dyDescent="0.25">
      <c r="A6" s="171" t="s">
        <v>1098</v>
      </c>
      <c r="B6" s="99">
        <v>45353</v>
      </c>
      <c r="C6" s="50" t="s">
        <v>602</v>
      </c>
      <c r="D6" s="64">
        <v>1800000</v>
      </c>
      <c r="E6" s="89"/>
      <c r="F6" s="89"/>
      <c r="G6" s="89"/>
      <c r="H6" s="62"/>
      <c r="I6" s="89"/>
      <c r="J6" s="89">
        <f>D6</f>
        <v>1800000</v>
      </c>
      <c r="K6" s="89"/>
      <c r="L6" s="152"/>
      <c r="M6" s="239">
        <f t="shared" si="0"/>
        <v>0</v>
      </c>
    </row>
    <row r="7" spans="1:13" s="70" customFormat="1" x14ac:dyDescent="0.25">
      <c r="A7" s="171" t="s">
        <v>1099</v>
      </c>
      <c r="B7" s="99">
        <v>45353</v>
      </c>
      <c r="C7" s="50" t="s">
        <v>605</v>
      </c>
      <c r="D7" s="64">
        <v>-492368</v>
      </c>
      <c r="E7" s="89"/>
      <c r="F7" s="89"/>
      <c r="G7" s="89"/>
      <c r="H7" s="62"/>
      <c r="I7" s="89"/>
      <c r="J7" s="89"/>
      <c r="K7" s="89">
        <f>D7</f>
        <v>-492368</v>
      </c>
      <c r="L7" s="152"/>
      <c r="M7" s="239">
        <f t="shared" si="0"/>
        <v>0</v>
      </c>
    </row>
    <row r="8" spans="1:13" s="70" customFormat="1" x14ac:dyDescent="0.25">
      <c r="A8" s="171" t="s">
        <v>1100</v>
      </c>
      <c r="B8" s="99">
        <v>45353</v>
      </c>
      <c r="C8" s="50" t="s">
        <v>1074</v>
      </c>
      <c r="D8" s="64">
        <v>1000000</v>
      </c>
      <c r="E8" s="89"/>
      <c r="F8" s="89"/>
      <c r="G8" s="89"/>
      <c r="H8" s="62">
        <f>D8</f>
        <v>1000000</v>
      </c>
      <c r="I8" s="89"/>
      <c r="J8" s="89"/>
      <c r="K8" s="89"/>
      <c r="L8" s="152"/>
      <c r="M8" s="239">
        <f t="shared" si="0"/>
        <v>0</v>
      </c>
    </row>
    <row r="9" spans="1:13" s="70" customFormat="1" x14ac:dyDescent="0.25">
      <c r="A9" s="171" t="s">
        <v>1039</v>
      </c>
      <c r="B9" s="99">
        <v>45353</v>
      </c>
      <c r="C9" s="50" t="s">
        <v>1075</v>
      </c>
      <c r="D9" s="64">
        <v>1000000</v>
      </c>
      <c r="E9" s="89"/>
      <c r="F9" s="89"/>
      <c r="G9" s="89"/>
      <c r="H9" s="62">
        <f>D9</f>
        <v>1000000</v>
      </c>
      <c r="I9" s="89"/>
      <c r="J9" s="89"/>
      <c r="K9" s="89"/>
      <c r="L9" s="152"/>
      <c r="M9" s="239">
        <f t="shared" si="0"/>
        <v>0</v>
      </c>
    </row>
    <row r="10" spans="1:13" s="70" customFormat="1" x14ac:dyDescent="0.25">
      <c r="A10" s="171" t="s">
        <v>1101</v>
      </c>
      <c r="B10" s="99">
        <v>45353</v>
      </c>
      <c r="C10" s="50" t="s">
        <v>608</v>
      </c>
      <c r="D10" s="64">
        <v>-2500000</v>
      </c>
      <c r="E10" s="89"/>
      <c r="F10" s="89"/>
      <c r="G10" s="89"/>
      <c r="H10" s="62"/>
      <c r="I10" s="89"/>
      <c r="J10" s="89"/>
      <c r="K10" s="89">
        <f>D10</f>
        <v>-2500000</v>
      </c>
      <c r="L10" s="152"/>
      <c r="M10" s="239">
        <f t="shared" si="0"/>
        <v>0</v>
      </c>
    </row>
    <row r="11" spans="1:13" s="70" customFormat="1" x14ac:dyDescent="0.25">
      <c r="A11" s="171" t="s">
        <v>1102</v>
      </c>
      <c r="B11" s="99">
        <v>45353</v>
      </c>
      <c r="C11" s="50" t="s">
        <v>609</v>
      </c>
      <c r="D11" s="64">
        <v>-75000</v>
      </c>
      <c r="E11" s="89"/>
      <c r="F11" s="89"/>
      <c r="G11" s="89"/>
      <c r="H11" s="62"/>
      <c r="I11" s="89"/>
      <c r="J11" s="89"/>
      <c r="K11" s="89">
        <f>D11</f>
        <v>-75000</v>
      </c>
      <c r="L11" s="152"/>
      <c r="M11" s="239">
        <f t="shared" si="0"/>
        <v>0</v>
      </c>
    </row>
    <row r="12" spans="1:13" s="70" customFormat="1" x14ac:dyDescent="0.25">
      <c r="A12" s="171" t="s">
        <v>1103</v>
      </c>
      <c r="B12" s="99">
        <v>45354</v>
      </c>
      <c r="C12" s="50" t="s">
        <v>612</v>
      </c>
      <c r="D12" s="64">
        <v>-360000</v>
      </c>
      <c r="E12" s="89"/>
      <c r="F12" s="89"/>
      <c r="G12" s="89"/>
      <c r="H12" s="62"/>
      <c r="I12" s="89"/>
      <c r="J12" s="89"/>
      <c r="K12" s="89">
        <f>D12</f>
        <v>-360000</v>
      </c>
      <c r="L12" s="152"/>
      <c r="M12" s="239">
        <f t="shared" si="0"/>
        <v>0</v>
      </c>
    </row>
    <row r="13" spans="1:13" s="70" customFormat="1" x14ac:dyDescent="0.25">
      <c r="A13" s="171" t="s">
        <v>1104</v>
      </c>
      <c r="B13" s="99">
        <v>45354</v>
      </c>
      <c r="C13" s="50" t="s">
        <v>615</v>
      </c>
      <c r="D13" s="64">
        <v>-65000</v>
      </c>
      <c r="E13" s="89"/>
      <c r="F13" s="89"/>
      <c r="G13" s="89"/>
      <c r="H13" s="62"/>
      <c r="I13" s="89"/>
      <c r="J13" s="89"/>
      <c r="K13" s="89">
        <f t="shared" ref="K13:K17" si="1">D13</f>
        <v>-65000</v>
      </c>
      <c r="L13" s="152"/>
      <c r="M13" s="239">
        <f t="shared" si="0"/>
        <v>0</v>
      </c>
    </row>
    <row r="14" spans="1:13" s="70" customFormat="1" x14ac:dyDescent="0.25">
      <c r="A14" s="171" t="s">
        <v>1105</v>
      </c>
      <c r="B14" s="99">
        <v>45354</v>
      </c>
      <c r="C14" s="50" t="s">
        <v>614</v>
      </c>
      <c r="D14" s="64">
        <v>-65000</v>
      </c>
      <c r="E14" s="89"/>
      <c r="F14" s="89"/>
      <c r="G14" s="89"/>
      <c r="H14" s="62"/>
      <c r="I14" s="89"/>
      <c r="J14" s="89"/>
      <c r="K14" s="89">
        <f t="shared" si="1"/>
        <v>-65000</v>
      </c>
      <c r="L14" s="152"/>
      <c r="M14" s="239">
        <f t="shared" si="0"/>
        <v>0</v>
      </c>
    </row>
    <row r="15" spans="1:13" s="70" customFormat="1" x14ac:dyDescent="0.25">
      <c r="A15" s="171" t="s">
        <v>1106</v>
      </c>
      <c r="B15" s="99">
        <v>45354</v>
      </c>
      <c r="C15" s="50" t="s">
        <v>619</v>
      </c>
      <c r="D15" s="101">
        <v>-75000</v>
      </c>
      <c r="E15" s="89"/>
      <c r="F15" s="89"/>
      <c r="G15" s="89"/>
      <c r="H15" s="62"/>
      <c r="I15" s="89"/>
      <c r="J15" s="89"/>
      <c r="K15" s="89">
        <f t="shared" si="1"/>
        <v>-75000</v>
      </c>
      <c r="L15" s="152"/>
      <c r="M15" s="239">
        <f t="shared" si="0"/>
        <v>0</v>
      </c>
    </row>
    <row r="16" spans="1:13" s="70" customFormat="1" x14ac:dyDescent="0.25">
      <c r="A16" s="171" t="s">
        <v>1107</v>
      </c>
      <c r="B16" s="99">
        <v>45354</v>
      </c>
      <c r="C16" s="50" t="s">
        <v>620</v>
      </c>
      <c r="D16" s="101">
        <v>-75000</v>
      </c>
      <c r="E16" s="89"/>
      <c r="F16" s="89"/>
      <c r="G16" s="89"/>
      <c r="H16" s="62"/>
      <c r="I16" s="89"/>
      <c r="J16" s="89"/>
      <c r="K16" s="89">
        <f t="shared" si="1"/>
        <v>-75000</v>
      </c>
      <c r="L16" s="152"/>
      <c r="M16" s="239">
        <f t="shared" si="0"/>
        <v>0</v>
      </c>
    </row>
    <row r="17" spans="1:13" s="70" customFormat="1" x14ac:dyDescent="0.25">
      <c r="A17" s="171" t="s">
        <v>1108</v>
      </c>
      <c r="B17" s="99">
        <v>45354</v>
      </c>
      <c r="C17" s="50" t="s">
        <v>624</v>
      </c>
      <c r="D17" s="101">
        <v>-65000</v>
      </c>
      <c r="E17" s="89"/>
      <c r="F17" s="89"/>
      <c r="G17" s="89"/>
      <c r="H17" s="62"/>
      <c r="I17" s="89"/>
      <c r="J17" s="89"/>
      <c r="K17" s="89">
        <f t="shared" si="1"/>
        <v>-65000</v>
      </c>
      <c r="L17" s="152"/>
      <c r="M17" s="239">
        <f t="shared" si="0"/>
        <v>0</v>
      </c>
    </row>
    <row r="18" spans="1:13" s="70" customFormat="1" x14ac:dyDescent="0.25">
      <c r="A18" s="171" t="s">
        <v>1109</v>
      </c>
      <c r="B18" s="99">
        <v>45355</v>
      </c>
      <c r="C18" s="50" t="s">
        <v>1076</v>
      </c>
      <c r="D18" s="101">
        <v>10000000</v>
      </c>
      <c r="E18" s="89"/>
      <c r="F18" s="89"/>
      <c r="G18" s="89"/>
      <c r="H18" s="62">
        <f>D18</f>
        <v>10000000</v>
      </c>
      <c r="I18" s="89"/>
      <c r="J18" s="89"/>
      <c r="K18" s="89"/>
      <c r="L18" s="152"/>
      <c r="M18" s="239">
        <f t="shared" si="0"/>
        <v>0</v>
      </c>
    </row>
    <row r="19" spans="1:13" s="70" customFormat="1" x14ac:dyDescent="0.25">
      <c r="A19" s="171" t="s">
        <v>1110</v>
      </c>
      <c r="B19" s="99">
        <v>45355</v>
      </c>
      <c r="C19" s="50" t="s">
        <v>1111</v>
      </c>
      <c r="D19" s="101">
        <v>300000</v>
      </c>
      <c r="E19" s="89"/>
      <c r="F19" s="89"/>
      <c r="G19" s="89">
        <f>D19</f>
        <v>300000</v>
      </c>
      <c r="H19" s="62"/>
      <c r="I19" s="89"/>
      <c r="J19" s="89"/>
      <c r="K19" s="89"/>
      <c r="L19" s="152"/>
      <c r="M19" s="239">
        <f t="shared" si="0"/>
        <v>0</v>
      </c>
    </row>
    <row r="20" spans="1:13" s="70" customFormat="1" x14ac:dyDescent="0.25">
      <c r="A20" s="171" t="s">
        <v>1112</v>
      </c>
      <c r="B20" s="99">
        <v>45355</v>
      </c>
      <c r="C20" s="50" t="s">
        <v>631</v>
      </c>
      <c r="D20" s="101">
        <v>-65000</v>
      </c>
      <c r="E20" s="89"/>
      <c r="F20" s="89"/>
      <c r="G20" s="89"/>
      <c r="H20" s="62"/>
      <c r="I20" s="89"/>
      <c r="J20" s="89"/>
      <c r="K20" s="89">
        <f>D20</f>
        <v>-65000</v>
      </c>
      <c r="L20" s="152"/>
      <c r="M20" s="239">
        <f t="shared" si="0"/>
        <v>0</v>
      </c>
    </row>
    <row r="21" spans="1:13" s="70" customFormat="1" x14ac:dyDescent="0.25">
      <c r="A21" s="171" t="s">
        <v>1113</v>
      </c>
      <c r="B21" s="99">
        <v>45355</v>
      </c>
      <c r="C21" s="50" t="s">
        <v>636</v>
      </c>
      <c r="D21" s="101">
        <v>-75000</v>
      </c>
      <c r="E21" s="89"/>
      <c r="F21" s="89"/>
      <c r="G21" s="89"/>
      <c r="H21" s="62"/>
      <c r="I21" s="89"/>
      <c r="J21" s="89"/>
      <c r="K21" s="89">
        <f>D21</f>
        <v>-75000</v>
      </c>
      <c r="L21" s="152"/>
      <c r="M21" s="239">
        <f t="shared" si="0"/>
        <v>0</v>
      </c>
    </row>
    <row r="22" spans="1:13" s="70" customFormat="1" x14ac:dyDescent="0.25">
      <c r="A22" s="171" t="s">
        <v>1114</v>
      </c>
      <c r="B22" s="99">
        <v>45355</v>
      </c>
      <c r="C22" s="50" t="s">
        <v>639</v>
      </c>
      <c r="D22" s="101">
        <v>-2500000</v>
      </c>
      <c r="E22" s="89"/>
      <c r="F22" s="89"/>
      <c r="G22" s="89"/>
      <c r="H22" s="62"/>
      <c r="I22" s="89"/>
      <c r="J22" s="89"/>
      <c r="K22" s="89">
        <f>D22</f>
        <v>-2500000</v>
      </c>
      <c r="L22" s="152"/>
      <c r="M22" s="239">
        <f t="shared" si="0"/>
        <v>0</v>
      </c>
    </row>
    <row r="23" spans="1:13" s="70" customFormat="1" x14ac:dyDescent="0.25">
      <c r="A23" s="171" t="s">
        <v>1115</v>
      </c>
      <c r="B23" s="99">
        <v>45355</v>
      </c>
      <c r="C23" s="50" t="s">
        <v>642</v>
      </c>
      <c r="D23" s="101">
        <v>500000</v>
      </c>
      <c r="E23" s="89"/>
      <c r="F23" s="89"/>
      <c r="G23" s="89"/>
      <c r="H23" s="62">
        <f>D23</f>
        <v>500000</v>
      </c>
      <c r="I23" s="89"/>
      <c r="J23" s="89"/>
      <c r="K23" s="89"/>
      <c r="L23" s="152"/>
      <c r="M23" s="239">
        <f t="shared" si="0"/>
        <v>0</v>
      </c>
    </row>
    <row r="24" spans="1:13" s="70" customFormat="1" x14ac:dyDescent="0.25">
      <c r="A24" s="171" t="s">
        <v>1116</v>
      </c>
      <c r="B24" s="99">
        <v>45355</v>
      </c>
      <c r="C24" s="50" t="s">
        <v>644</v>
      </c>
      <c r="D24" s="101">
        <v>-65000</v>
      </c>
      <c r="E24" s="89"/>
      <c r="F24" s="89"/>
      <c r="G24" s="89"/>
      <c r="H24" s="62"/>
      <c r="I24" s="89"/>
      <c r="J24" s="89"/>
      <c r="K24" s="89">
        <f>D24</f>
        <v>-65000</v>
      </c>
      <c r="L24" s="152"/>
      <c r="M24" s="239">
        <f t="shared" si="0"/>
        <v>0</v>
      </c>
    </row>
    <row r="25" spans="1:13" s="70" customFormat="1" x14ac:dyDescent="0.25">
      <c r="A25" s="171" t="s">
        <v>1117</v>
      </c>
      <c r="B25" s="99">
        <v>45356</v>
      </c>
      <c r="C25" s="50" t="s">
        <v>648</v>
      </c>
      <c r="D25" s="101">
        <v>3700000</v>
      </c>
      <c r="E25" s="89"/>
      <c r="F25" s="89"/>
      <c r="G25" s="89"/>
      <c r="H25" s="62"/>
      <c r="I25" s="89"/>
      <c r="J25" s="89">
        <f>D25</f>
        <v>3700000</v>
      </c>
      <c r="K25" s="89"/>
      <c r="L25" s="152"/>
      <c r="M25" s="239">
        <f t="shared" si="0"/>
        <v>0</v>
      </c>
    </row>
    <row r="26" spans="1:13" s="70" customFormat="1" x14ac:dyDescent="0.25">
      <c r="A26" s="171" t="s">
        <v>1118</v>
      </c>
      <c r="B26" s="99">
        <v>45356</v>
      </c>
      <c r="C26" s="50" t="s">
        <v>649</v>
      </c>
      <c r="D26" s="101">
        <v>-65000</v>
      </c>
      <c r="E26" s="89"/>
      <c r="F26" s="89"/>
      <c r="G26" s="89"/>
      <c r="H26" s="62"/>
      <c r="I26" s="89"/>
      <c r="J26" s="89"/>
      <c r="K26" s="89">
        <f>D26</f>
        <v>-65000</v>
      </c>
      <c r="L26" s="152"/>
      <c r="M26" s="239">
        <f t="shared" si="0"/>
        <v>0</v>
      </c>
    </row>
    <row r="27" spans="1:13" s="70" customFormat="1" x14ac:dyDescent="0.25">
      <c r="A27" s="171" t="s">
        <v>1119</v>
      </c>
      <c r="B27" s="99">
        <v>45356</v>
      </c>
      <c r="C27" s="50" t="s">
        <v>655</v>
      </c>
      <c r="D27" s="101">
        <v>-75000</v>
      </c>
      <c r="E27" s="89"/>
      <c r="F27" s="89"/>
      <c r="G27" s="89"/>
      <c r="H27" s="62"/>
      <c r="I27" s="89"/>
      <c r="J27" s="89"/>
      <c r="K27" s="89">
        <f t="shared" ref="K27:K28" si="2">D27</f>
        <v>-75000</v>
      </c>
      <c r="L27" s="152"/>
      <c r="M27" s="239">
        <f t="shared" si="0"/>
        <v>0</v>
      </c>
    </row>
    <row r="28" spans="1:13" s="70" customFormat="1" x14ac:dyDescent="0.25">
      <c r="A28" s="171" t="s">
        <v>1120</v>
      </c>
      <c r="B28" s="99">
        <v>45356</v>
      </c>
      <c r="C28" s="50" t="s">
        <v>656</v>
      </c>
      <c r="D28" s="101">
        <v>-75000</v>
      </c>
      <c r="E28" s="89"/>
      <c r="F28" s="89"/>
      <c r="G28" s="89"/>
      <c r="H28" s="62"/>
      <c r="I28" s="89"/>
      <c r="J28" s="89"/>
      <c r="K28" s="89">
        <f t="shared" si="2"/>
        <v>-75000</v>
      </c>
      <c r="L28" s="152"/>
      <c r="M28" s="239">
        <f t="shared" si="0"/>
        <v>0</v>
      </c>
    </row>
    <row r="29" spans="1:13" s="70" customFormat="1" x14ac:dyDescent="0.25">
      <c r="A29" s="171" t="s">
        <v>1121</v>
      </c>
      <c r="B29" s="99">
        <v>45357</v>
      </c>
      <c r="C29" s="50" t="s">
        <v>658</v>
      </c>
      <c r="D29" s="101">
        <v>-280000</v>
      </c>
      <c r="E29" s="89"/>
      <c r="F29" s="89"/>
      <c r="G29" s="89"/>
      <c r="H29" s="62"/>
      <c r="I29" s="89"/>
      <c r="J29" s="89"/>
      <c r="K29" s="89">
        <f>D29</f>
        <v>-280000</v>
      </c>
      <c r="L29" s="152"/>
      <c r="M29" s="239">
        <f t="shared" si="0"/>
        <v>0</v>
      </c>
    </row>
    <row r="30" spans="1:13" s="70" customFormat="1" x14ac:dyDescent="0.25">
      <c r="A30" s="171" t="s">
        <v>1122</v>
      </c>
      <c r="B30" s="99">
        <v>45357</v>
      </c>
      <c r="C30" s="50" t="s">
        <v>659</v>
      </c>
      <c r="D30" s="101">
        <v>-200000</v>
      </c>
      <c r="E30" s="89"/>
      <c r="F30" s="89"/>
      <c r="G30" s="89"/>
      <c r="H30" s="62"/>
      <c r="I30" s="89"/>
      <c r="J30" s="89"/>
      <c r="K30" s="89">
        <f>D30</f>
        <v>-200000</v>
      </c>
      <c r="L30" s="152"/>
      <c r="M30" s="239">
        <f t="shared" si="0"/>
        <v>0</v>
      </c>
    </row>
    <row r="31" spans="1:13" s="70" customFormat="1" x14ac:dyDescent="0.25">
      <c r="A31" s="171" t="s">
        <v>1123</v>
      </c>
      <c r="B31" s="99">
        <v>45357</v>
      </c>
      <c r="C31" s="50" t="s">
        <v>660</v>
      </c>
      <c r="D31" s="101">
        <v>-65000</v>
      </c>
      <c r="E31" s="89"/>
      <c r="F31" s="89"/>
      <c r="G31" s="89"/>
      <c r="H31" s="62"/>
      <c r="I31" s="89"/>
      <c r="J31" s="89"/>
      <c r="K31" s="89">
        <f>D31</f>
        <v>-65000</v>
      </c>
      <c r="L31" s="152"/>
      <c r="M31" s="239">
        <f t="shared" si="0"/>
        <v>0</v>
      </c>
    </row>
    <row r="32" spans="1:13" s="70" customFormat="1" x14ac:dyDescent="0.25">
      <c r="A32" s="171" t="s">
        <v>1124</v>
      </c>
      <c r="B32" s="99">
        <v>45357</v>
      </c>
      <c r="C32" s="50" t="s">
        <v>1125</v>
      </c>
      <c r="D32" s="101">
        <v>2000000</v>
      </c>
      <c r="E32" s="89"/>
      <c r="F32" s="89"/>
      <c r="G32" s="89">
        <f>D32</f>
        <v>2000000</v>
      </c>
      <c r="H32" s="62"/>
      <c r="I32" s="89"/>
      <c r="J32" s="89"/>
      <c r="K32" s="89"/>
      <c r="L32" s="152"/>
      <c r="M32" s="239">
        <f t="shared" si="0"/>
        <v>0</v>
      </c>
    </row>
    <row r="33" spans="1:14" s="70" customFormat="1" x14ac:dyDescent="0.25">
      <c r="A33" s="171" t="s">
        <v>1126</v>
      </c>
      <c r="B33" s="99">
        <v>45357</v>
      </c>
      <c r="C33" s="50" t="s">
        <v>668</v>
      </c>
      <c r="D33" s="101">
        <v>-75000</v>
      </c>
      <c r="E33" s="89"/>
      <c r="F33" s="89"/>
      <c r="G33" s="89"/>
      <c r="H33" s="62"/>
      <c r="I33" s="89"/>
      <c r="J33" s="89"/>
      <c r="K33" s="89">
        <f>D33</f>
        <v>-75000</v>
      </c>
      <c r="L33" s="152"/>
      <c r="M33" s="239">
        <f t="shared" si="0"/>
        <v>0</v>
      </c>
    </row>
    <row r="34" spans="1:14" s="70" customFormat="1" x14ac:dyDescent="0.25">
      <c r="A34" s="171" t="s">
        <v>1127</v>
      </c>
      <c r="B34" s="99">
        <v>45357</v>
      </c>
      <c r="C34" s="50" t="s">
        <v>1077</v>
      </c>
      <c r="D34" s="101">
        <v>1000000</v>
      </c>
      <c r="E34" s="89"/>
      <c r="F34" s="89"/>
      <c r="G34" s="89"/>
      <c r="H34" s="62">
        <f>D34</f>
        <v>1000000</v>
      </c>
      <c r="I34" s="89"/>
      <c r="J34" s="89"/>
      <c r="K34" s="89"/>
      <c r="L34" s="152"/>
      <c r="M34" s="239">
        <f t="shared" si="0"/>
        <v>0</v>
      </c>
      <c r="N34" s="239">
        <f>Bank!K55-Kuitansi!H112</f>
        <v>0</v>
      </c>
    </row>
    <row r="35" spans="1:14" s="70" customFormat="1" x14ac:dyDescent="0.25">
      <c r="A35" s="171" t="s">
        <v>1128</v>
      </c>
      <c r="B35" s="99">
        <v>45358</v>
      </c>
      <c r="C35" s="316" t="s">
        <v>671</v>
      </c>
      <c r="D35" s="101">
        <v>1500000</v>
      </c>
      <c r="E35" s="89"/>
      <c r="F35" s="89"/>
      <c r="G35" s="89"/>
      <c r="H35" s="62"/>
      <c r="I35" s="89"/>
      <c r="J35" s="89">
        <f>D35</f>
        <v>1500000</v>
      </c>
      <c r="K35" s="89"/>
      <c r="L35" s="152"/>
      <c r="M35" s="239">
        <f t="shared" si="0"/>
        <v>0</v>
      </c>
    </row>
    <row r="36" spans="1:14" s="70" customFormat="1" x14ac:dyDescent="0.25">
      <c r="A36" s="171" t="s">
        <v>1129</v>
      </c>
      <c r="B36" s="99">
        <v>45358</v>
      </c>
      <c r="C36" s="316" t="s">
        <v>1078</v>
      </c>
      <c r="D36" s="101">
        <v>1000000</v>
      </c>
      <c r="E36" s="89"/>
      <c r="F36" s="89"/>
      <c r="G36" s="89"/>
      <c r="H36" s="169">
        <f>D36</f>
        <v>1000000</v>
      </c>
      <c r="I36" s="89"/>
      <c r="J36" s="89"/>
      <c r="K36" s="89"/>
      <c r="L36" s="152"/>
      <c r="M36" s="239">
        <f t="shared" si="0"/>
        <v>0</v>
      </c>
    </row>
    <row r="37" spans="1:14" s="70" customFormat="1" x14ac:dyDescent="0.25">
      <c r="A37" s="171" t="s">
        <v>1130</v>
      </c>
      <c r="B37" s="99">
        <v>45358</v>
      </c>
      <c r="C37" s="316" t="s">
        <v>677</v>
      </c>
      <c r="D37" s="101">
        <v>-75000</v>
      </c>
      <c r="E37" s="89"/>
      <c r="F37" s="89"/>
      <c r="G37" s="89"/>
      <c r="H37" s="62"/>
      <c r="I37" s="89"/>
      <c r="J37" s="89"/>
      <c r="K37" s="89">
        <f>D37</f>
        <v>-75000</v>
      </c>
      <c r="L37" s="152"/>
      <c r="M37" s="239">
        <f t="shared" si="0"/>
        <v>0</v>
      </c>
    </row>
    <row r="38" spans="1:14" s="70" customFormat="1" x14ac:dyDescent="0.25">
      <c r="A38" s="171" t="s">
        <v>1131</v>
      </c>
      <c r="B38" s="99">
        <v>45359</v>
      </c>
      <c r="C38" s="50" t="s">
        <v>681</v>
      </c>
      <c r="D38" s="101">
        <v>1200000</v>
      </c>
      <c r="E38" s="89"/>
      <c r="F38" s="89"/>
      <c r="G38" s="89"/>
      <c r="H38" s="62"/>
      <c r="I38" s="89"/>
      <c r="J38" s="89">
        <f>D38</f>
        <v>1200000</v>
      </c>
      <c r="K38" s="89"/>
      <c r="L38" s="152"/>
      <c r="M38" s="239">
        <f t="shared" si="0"/>
        <v>0</v>
      </c>
    </row>
    <row r="39" spans="1:14" s="70" customFormat="1" x14ac:dyDescent="0.25">
      <c r="A39" s="171" t="s">
        <v>1132</v>
      </c>
      <c r="B39" s="99">
        <v>45359</v>
      </c>
      <c r="C39" s="50" t="s">
        <v>682</v>
      </c>
      <c r="D39" s="101">
        <v>120000</v>
      </c>
      <c r="E39" s="89"/>
      <c r="F39" s="89"/>
      <c r="G39" s="89"/>
      <c r="H39" s="62"/>
      <c r="I39" s="89">
        <f>D39</f>
        <v>120000</v>
      </c>
      <c r="J39" s="89"/>
      <c r="K39" s="89"/>
      <c r="L39" s="152" t="s">
        <v>1133</v>
      </c>
      <c r="M39" s="239">
        <f t="shared" si="0"/>
        <v>0</v>
      </c>
    </row>
    <row r="40" spans="1:14" s="70" customFormat="1" x14ac:dyDescent="0.25">
      <c r="A40" s="171" t="s">
        <v>1134</v>
      </c>
      <c r="B40" s="99">
        <v>45359</v>
      </c>
      <c r="C40" s="50" t="s">
        <v>683</v>
      </c>
      <c r="D40" s="101">
        <v>90000</v>
      </c>
      <c r="E40" s="89"/>
      <c r="F40" s="89"/>
      <c r="G40" s="89"/>
      <c r="H40" s="62"/>
      <c r="I40" s="89">
        <f>D40</f>
        <v>90000</v>
      </c>
      <c r="J40" s="89"/>
      <c r="K40" s="89"/>
      <c r="L40" s="152" t="s">
        <v>1133</v>
      </c>
      <c r="M40" s="239">
        <f t="shared" si="0"/>
        <v>0</v>
      </c>
    </row>
    <row r="41" spans="1:14" s="70" customFormat="1" x14ac:dyDescent="0.25">
      <c r="A41" s="171" t="s">
        <v>1135</v>
      </c>
      <c r="B41" s="99">
        <v>45359</v>
      </c>
      <c r="C41" s="50" t="s">
        <v>685</v>
      </c>
      <c r="D41" s="101">
        <v>-75000</v>
      </c>
      <c r="E41" s="89"/>
      <c r="F41" s="89"/>
      <c r="G41" s="89"/>
      <c r="H41" s="62"/>
      <c r="I41" s="89"/>
      <c r="J41" s="89"/>
      <c r="K41" s="89">
        <f>D41</f>
        <v>-75000</v>
      </c>
      <c r="L41" s="152"/>
      <c r="M41" s="239">
        <f t="shared" si="0"/>
        <v>0</v>
      </c>
    </row>
    <row r="42" spans="1:14" s="70" customFormat="1" x14ac:dyDescent="0.25">
      <c r="A42" s="171" t="s">
        <v>1136</v>
      </c>
      <c r="B42" s="99">
        <v>45359</v>
      </c>
      <c r="C42" s="50" t="s">
        <v>688</v>
      </c>
      <c r="D42" s="101">
        <v>-30000</v>
      </c>
      <c r="E42" s="89"/>
      <c r="F42" s="89"/>
      <c r="G42" s="89"/>
      <c r="H42" s="62"/>
      <c r="I42" s="89"/>
      <c r="J42" s="89"/>
      <c r="K42" s="89">
        <f>D42</f>
        <v>-30000</v>
      </c>
      <c r="L42" s="152"/>
      <c r="M42" s="239">
        <f t="shared" si="0"/>
        <v>0</v>
      </c>
    </row>
    <row r="43" spans="1:14" s="70" customFormat="1" x14ac:dyDescent="0.25">
      <c r="A43" s="171" t="s">
        <v>1137</v>
      </c>
      <c r="B43" s="99">
        <v>45360</v>
      </c>
      <c r="C43" s="50" t="s">
        <v>692</v>
      </c>
      <c r="D43" s="101">
        <v>-180000</v>
      </c>
      <c r="E43" s="89"/>
      <c r="F43" s="89"/>
      <c r="G43" s="89"/>
      <c r="H43" s="62"/>
      <c r="I43" s="89"/>
      <c r="J43" s="89"/>
      <c r="K43" s="89">
        <f>D43</f>
        <v>-180000</v>
      </c>
      <c r="L43" s="152"/>
      <c r="M43" s="239">
        <f t="shared" si="0"/>
        <v>0</v>
      </c>
    </row>
    <row r="44" spans="1:14" s="70" customFormat="1" x14ac:dyDescent="0.25">
      <c r="A44" s="171" t="s">
        <v>1138</v>
      </c>
      <c r="B44" s="99">
        <v>45360</v>
      </c>
      <c r="C44" s="50" t="s">
        <v>1079</v>
      </c>
      <c r="D44" s="101">
        <v>1000000</v>
      </c>
      <c r="E44" s="89"/>
      <c r="F44" s="89"/>
      <c r="G44" s="89"/>
      <c r="H44" s="62">
        <f>D44</f>
        <v>1000000</v>
      </c>
      <c r="I44" s="89"/>
      <c r="J44" s="89"/>
      <c r="K44" s="89"/>
      <c r="L44" s="152"/>
      <c r="M44" s="239">
        <f t="shared" si="0"/>
        <v>0</v>
      </c>
    </row>
    <row r="45" spans="1:14" s="70" customFormat="1" x14ac:dyDescent="0.25">
      <c r="A45" s="171" t="s">
        <v>1139</v>
      </c>
      <c r="B45" s="99">
        <v>45360</v>
      </c>
      <c r="C45" s="50" t="s">
        <v>698</v>
      </c>
      <c r="D45" s="101">
        <v>-65000</v>
      </c>
      <c r="E45" s="89"/>
      <c r="F45" s="89"/>
      <c r="G45" s="89"/>
      <c r="H45" s="62"/>
      <c r="I45" s="89"/>
      <c r="J45" s="89"/>
      <c r="K45" s="89">
        <f>D45</f>
        <v>-65000</v>
      </c>
      <c r="L45" s="152"/>
      <c r="M45" s="239">
        <f t="shared" si="0"/>
        <v>0</v>
      </c>
    </row>
    <row r="46" spans="1:14" s="70" customFormat="1" x14ac:dyDescent="0.25">
      <c r="A46" s="171" t="s">
        <v>1140</v>
      </c>
      <c r="B46" s="99">
        <v>45361</v>
      </c>
      <c r="C46" s="50" t="s">
        <v>1141</v>
      </c>
      <c r="D46" s="101">
        <v>180000</v>
      </c>
      <c r="E46" s="89">
        <f>D46</f>
        <v>180000</v>
      </c>
      <c r="F46" s="89"/>
      <c r="G46" s="89"/>
      <c r="H46" s="62"/>
      <c r="I46" s="89"/>
      <c r="J46" s="89"/>
      <c r="K46" s="89"/>
      <c r="L46" s="152"/>
      <c r="M46" s="239">
        <f t="shared" si="0"/>
        <v>0</v>
      </c>
    </row>
    <row r="47" spans="1:14" s="70" customFormat="1" x14ac:dyDescent="0.25">
      <c r="A47" s="171" t="s">
        <v>1142</v>
      </c>
      <c r="B47" s="99">
        <v>45361</v>
      </c>
      <c r="C47" s="50" t="s">
        <v>718</v>
      </c>
      <c r="D47" s="101">
        <v>1090000</v>
      </c>
      <c r="E47" s="89"/>
      <c r="F47" s="89"/>
      <c r="G47" s="89"/>
      <c r="H47" s="62"/>
      <c r="I47" s="89">
        <f>D47</f>
        <v>1090000</v>
      </c>
      <c r="J47" s="89"/>
      <c r="K47" s="89"/>
      <c r="L47" s="152" t="s">
        <v>216</v>
      </c>
      <c r="M47" s="239">
        <f t="shared" si="0"/>
        <v>0</v>
      </c>
    </row>
    <row r="48" spans="1:14" s="70" customFormat="1" x14ac:dyDescent="0.25">
      <c r="A48" s="171" t="s">
        <v>1143</v>
      </c>
      <c r="B48" s="413">
        <v>45362</v>
      </c>
      <c r="C48" s="50" t="s">
        <v>724</v>
      </c>
      <c r="D48" s="101">
        <v>3000000</v>
      </c>
      <c r="E48" s="89"/>
      <c r="F48" s="89"/>
      <c r="G48" s="89"/>
      <c r="H48" s="62"/>
      <c r="I48" s="89"/>
      <c r="J48" s="89">
        <f>D48</f>
        <v>3000000</v>
      </c>
      <c r="K48" s="89"/>
      <c r="L48" s="152"/>
      <c r="M48" s="239">
        <f t="shared" si="0"/>
        <v>0</v>
      </c>
    </row>
    <row r="49" spans="1:13" s="70" customFormat="1" x14ac:dyDescent="0.25">
      <c r="A49" s="171" t="s">
        <v>1053</v>
      </c>
      <c r="B49" s="413">
        <v>45362</v>
      </c>
      <c r="C49" s="50" t="s">
        <v>728</v>
      </c>
      <c r="D49" s="101">
        <v>500000</v>
      </c>
      <c r="E49" s="62"/>
      <c r="F49" s="62"/>
      <c r="G49" s="62">
        <f>D49</f>
        <v>500000</v>
      </c>
      <c r="H49" s="62"/>
      <c r="I49" s="62"/>
      <c r="J49" s="62"/>
      <c r="K49" s="62"/>
      <c r="L49" s="404"/>
      <c r="M49" s="239">
        <f t="shared" si="0"/>
        <v>0</v>
      </c>
    </row>
    <row r="50" spans="1:13" s="70" customFormat="1" x14ac:dyDescent="0.25">
      <c r="A50" s="171" t="s">
        <v>1144</v>
      </c>
      <c r="B50" s="413">
        <v>45363</v>
      </c>
      <c r="C50" s="50" t="s">
        <v>730</v>
      </c>
      <c r="D50" s="101">
        <v>1700000</v>
      </c>
      <c r="E50" s="293"/>
      <c r="F50" s="293"/>
      <c r="G50" s="152"/>
      <c r="H50" s="152"/>
      <c r="I50" s="152"/>
      <c r="J50" s="293">
        <f>D50</f>
        <v>1700000</v>
      </c>
      <c r="K50" s="293"/>
      <c r="L50" s="152"/>
      <c r="M50" s="239">
        <f t="shared" si="0"/>
        <v>0</v>
      </c>
    </row>
    <row r="51" spans="1:13" s="70" customFormat="1" x14ac:dyDescent="0.25">
      <c r="A51" s="171" t="s">
        <v>1050</v>
      </c>
      <c r="B51" s="413">
        <v>45363</v>
      </c>
      <c r="C51" s="50" t="s">
        <v>1080</v>
      </c>
      <c r="D51" s="101">
        <v>300000</v>
      </c>
      <c r="E51" s="89"/>
      <c r="F51" s="89"/>
      <c r="G51" s="89"/>
      <c r="H51" s="62">
        <v>300000</v>
      </c>
      <c r="I51" s="89"/>
      <c r="J51" s="89"/>
      <c r="K51" s="89"/>
      <c r="L51" s="152"/>
      <c r="M51" s="239">
        <f t="shared" si="0"/>
        <v>0</v>
      </c>
    </row>
    <row r="52" spans="1:13" s="70" customFormat="1" x14ac:dyDescent="0.25">
      <c r="A52" s="171" t="s">
        <v>1145</v>
      </c>
      <c r="B52" s="413">
        <v>45364</v>
      </c>
      <c r="C52" s="50" t="s">
        <v>741</v>
      </c>
      <c r="D52" s="101">
        <v>1000000</v>
      </c>
      <c r="E52" s="89"/>
      <c r="F52" s="89"/>
      <c r="G52" s="89"/>
      <c r="H52" s="62"/>
      <c r="I52" s="89"/>
      <c r="J52" s="89">
        <f>D52</f>
        <v>1000000</v>
      </c>
      <c r="K52" s="89"/>
      <c r="L52" s="152"/>
      <c r="M52" s="239">
        <f t="shared" si="0"/>
        <v>0</v>
      </c>
    </row>
    <row r="53" spans="1:13" s="70" customFormat="1" x14ac:dyDescent="0.25">
      <c r="A53" s="171" t="s">
        <v>1146</v>
      </c>
      <c r="B53" s="413">
        <v>45364</v>
      </c>
      <c r="C53" s="50" t="s">
        <v>742</v>
      </c>
      <c r="D53" s="101">
        <f>-5781417+-150000</f>
        <v>-5931417</v>
      </c>
      <c r="E53" s="89"/>
      <c r="F53" s="89"/>
      <c r="G53" s="89"/>
      <c r="H53" s="62"/>
      <c r="I53" s="89"/>
      <c r="J53" s="89"/>
      <c r="K53" s="89">
        <f>D53</f>
        <v>-5931417</v>
      </c>
      <c r="L53" s="152"/>
      <c r="M53" s="239">
        <f t="shared" si="0"/>
        <v>0</v>
      </c>
    </row>
    <row r="54" spans="1:13" s="70" customFormat="1" x14ac:dyDescent="0.25">
      <c r="A54" s="171" t="s">
        <v>1147</v>
      </c>
      <c r="B54" s="413">
        <v>45364</v>
      </c>
      <c r="C54" s="50" t="s">
        <v>754</v>
      </c>
      <c r="D54" s="101">
        <v>-500000</v>
      </c>
      <c r="E54" s="89"/>
      <c r="F54" s="89"/>
      <c r="G54" s="89"/>
      <c r="H54" s="62"/>
      <c r="I54" s="89"/>
      <c r="J54" s="89"/>
      <c r="K54" s="89">
        <f>D54</f>
        <v>-500000</v>
      </c>
      <c r="L54" s="152"/>
      <c r="M54" s="239">
        <f t="shared" si="0"/>
        <v>0</v>
      </c>
    </row>
    <row r="55" spans="1:13" s="70" customFormat="1" x14ac:dyDescent="0.25">
      <c r="A55" s="171" t="s">
        <v>1148</v>
      </c>
      <c r="B55" s="413">
        <v>45365</v>
      </c>
      <c r="C55" s="50" t="s">
        <v>758</v>
      </c>
      <c r="D55" s="101">
        <v>1000000</v>
      </c>
      <c r="E55" s="62"/>
      <c r="F55" s="62"/>
      <c r="G55" s="62"/>
      <c r="H55" s="62"/>
      <c r="I55" s="62"/>
      <c r="J55" s="62">
        <f>D55</f>
        <v>1000000</v>
      </c>
      <c r="K55" s="62"/>
      <c r="L55" s="152"/>
      <c r="M55" s="239">
        <f t="shared" si="0"/>
        <v>0</v>
      </c>
    </row>
    <row r="56" spans="1:13" s="70" customFormat="1" x14ac:dyDescent="0.25">
      <c r="A56" s="171" t="s">
        <v>1149</v>
      </c>
      <c r="B56" s="413">
        <v>45365</v>
      </c>
      <c r="C56" s="50" t="s">
        <v>1150</v>
      </c>
      <c r="D56" s="101">
        <v>1000000</v>
      </c>
      <c r="E56" s="89"/>
      <c r="F56" s="89"/>
      <c r="G56" s="89">
        <f>D56</f>
        <v>1000000</v>
      </c>
      <c r="H56" s="62"/>
      <c r="I56" s="89"/>
      <c r="J56" s="89"/>
      <c r="K56" s="89"/>
      <c r="L56" s="152"/>
      <c r="M56" s="239">
        <f t="shared" si="0"/>
        <v>0</v>
      </c>
    </row>
    <row r="57" spans="1:13" s="70" customFormat="1" x14ac:dyDescent="0.25">
      <c r="A57" s="171" t="s">
        <v>1151</v>
      </c>
      <c r="B57" s="413">
        <v>45365</v>
      </c>
      <c r="C57" s="50" t="s">
        <v>763</v>
      </c>
      <c r="D57" s="101">
        <v>-12000000</v>
      </c>
      <c r="E57" s="89"/>
      <c r="F57" s="89"/>
      <c r="G57" s="89"/>
      <c r="H57" s="62"/>
      <c r="I57" s="89"/>
      <c r="J57" s="89"/>
      <c r="K57" s="89">
        <f>D57</f>
        <v>-12000000</v>
      </c>
      <c r="L57" s="152"/>
      <c r="M57" s="239">
        <f t="shared" si="0"/>
        <v>0</v>
      </c>
    </row>
    <row r="58" spans="1:13" s="70" customFormat="1" x14ac:dyDescent="0.25">
      <c r="A58" s="171" t="s">
        <v>1152</v>
      </c>
      <c r="B58" s="413">
        <v>45365</v>
      </c>
      <c r="C58" s="50" t="s">
        <v>765</v>
      </c>
      <c r="D58" s="101">
        <v>4000000</v>
      </c>
      <c r="E58" s="89"/>
      <c r="F58" s="89"/>
      <c r="G58" s="89"/>
      <c r="H58" s="62"/>
      <c r="I58" s="89">
        <f>D58</f>
        <v>4000000</v>
      </c>
      <c r="J58" s="89"/>
      <c r="K58" s="89"/>
      <c r="L58" s="152"/>
      <c r="M58" s="239">
        <f t="shared" si="0"/>
        <v>0</v>
      </c>
    </row>
    <row r="59" spans="1:13" s="70" customFormat="1" x14ac:dyDescent="0.25">
      <c r="A59" s="171" t="s">
        <v>1153</v>
      </c>
      <c r="B59" s="413">
        <v>45366</v>
      </c>
      <c r="C59" s="50" t="s">
        <v>1081</v>
      </c>
      <c r="D59" s="101">
        <v>500000</v>
      </c>
      <c r="E59" s="89"/>
      <c r="F59" s="89"/>
      <c r="G59" s="89"/>
      <c r="H59" s="62">
        <f>D59</f>
        <v>500000</v>
      </c>
      <c r="I59" s="89"/>
      <c r="J59" s="89"/>
      <c r="K59" s="89"/>
      <c r="L59" s="152"/>
      <c r="M59" s="239">
        <f t="shared" si="0"/>
        <v>0</v>
      </c>
    </row>
    <row r="60" spans="1:13" s="70" customFormat="1" x14ac:dyDescent="0.25">
      <c r="A60" s="171" t="s">
        <v>1154</v>
      </c>
      <c r="B60" s="413">
        <v>45366</v>
      </c>
      <c r="C60" s="50" t="s">
        <v>770</v>
      </c>
      <c r="D60" s="77">
        <v>-650000</v>
      </c>
      <c r="E60" s="89"/>
      <c r="F60" s="89"/>
      <c r="G60" s="89"/>
      <c r="H60" s="62"/>
      <c r="I60" s="89"/>
      <c r="J60" s="89"/>
      <c r="K60" s="89">
        <f>D60</f>
        <v>-650000</v>
      </c>
      <c r="L60" s="152"/>
      <c r="M60" s="239">
        <f t="shared" si="0"/>
        <v>0</v>
      </c>
    </row>
    <row r="61" spans="1:13" s="70" customFormat="1" x14ac:dyDescent="0.25">
      <c r="A61" s="171" t="s">
        <v>1059</v>
      </c>
      <c r="B61" s="413">
        <v>45367</v>
      </c>
      <c r="C61" s="316" t="s">
        <v>1083</v>
      </c>
      <c r="D61" s="77">
        <v>300000</v>
      </c>
      <c r="E61" s="89"/>
      <c r="F61" s="89"/>
      <c r="G61" s="89"/>
      <c r="H61" s="62">
        <f>D61</f>
        <v>300000</v>
      </c>
      <c r="I61" s="89"/>
      <c r="J61" s="89"/>
      <c r="K61" s="89"/>
      <c r="L61" s="152"/>
      <c r="M61" s="239">
        <f t="shared" si="0"/>
        <v>0</v>
      </c>
    </row>
    <row r="62" spans="1:13" s="70" customFormat="1" x14ac:dyDescent="0.25">
      <c r="A62" s="171" t="s">
        <v>1155</v>
      </c>
      <c r="B62" s="413">
        <v>45369</v>
      </c>
      <c r="C62" s="316" t="s">
        <v>781</v>
      </c>
      <c r="D62" s="77">
        <v>2300000</v>
      </c>
      <c r="E62" s="89"/>
      <c r="F62" s="89"/>
      <c r="G62" s="89"/>
      <c r="H62" s="62"/>
      <c r="I62" s="89"/>
      <c r="J62" s="89">
        <f>D62</f>
        <v>2300000</v>
      </c>
      <c r="K62" s="89"/>
      <c r="L62" s="152"/>
      <c r="M62" s="239">
        <f t="shared" si="0"/>
        <v>0</v>
      </c>
    </row>
    <row r="63" spans="1:13" s="70" customFormat="1" x14ac:dyDescent="0.25">
      <c r="A63" s="171" t="s">
        <v>1156</v>
      </c>
      <c r="B63" s="413">
        <v>45369</v>
      </c>
      <c r="C63" s="208" t="s">
        <v>1157</v>
      </c>
      <c r="E63" s="89"/>
      <c r="F63" s="89"/>
      <c r="G63" s="89"/>
      <c r="H63" s="62"/>
      <c r="I63" s="89"/>
      <c r="J63" s="89"/>
      <c r="K63" s="89"/>
      <c r="L63" s="152"/>
      <c r="M63" s="239">
        <f t="shared" si="0"/>
        <v>0</v>
      </c>
    </row>
    <row r="64" spans="1:13" s="70" customFormat="1" x14ac:dyDescent="0.25">
      <c r="A64" s="171" t="s">
        <v>1158</v>
      </c>
      <c r="B64" s="413">
        <v>45369</v>
      </c>
      <c r="C64" s="316" t="s">
        <v>1159</v>
      </c>
      <c r="D64" s="77">
        <v>310000</v>
      </c>
      <c r="E64" s="89"/>
      <c r="F64" s="89"/>
      <c r="G64" s="89">
        <f>D64</f>
        <v>310000</v>
      </c>
      <c r="H64" s="62"/>
      <c r="I64" s="89"/>
      <c r="J64" s="89"/>
      <c r="K64" s="89"/>
      <c r="L64" s="152"/>
      <c r="M64" s="239">
        <f t="shared" si="0"/>
        <v>0</v>
      </c>
    </row>
    <row r="65" spans="1:13" s="70" customFormat="1" x14ac:dyDescent="0.25">
      <c r="A65" s="171" t="s">
        <v>1160</v>
      </c>
      <c r="B65" s="413">
        <v>45369</v>
      </c>
      <c r="C65" s="316" t="s">
        <v>1084</v>
      </c>
      <c r="D65" s="77">
        <v>500000</v>
      </c>
      <c r="E65" s="89"/>
      <c r="F65" s="89"/>
      <c r="G65" s="89"/>
      <c r="H65" s="62">
        <f>D65</f>
        <v>500000</v>
      </c>
      <c r="I65" s="89"/>
      <c r="J65" s="89"/>
      <c r="K65" s="89"/>
      <c r="L65" s="152"/>
      <c r="M65" s="239">
        <f t="shared" si="0"/>
        <v>0</v>
      </c>
    </row>
    <row r="66" spans="1:13" s="70" customFormat="1" x14ac:dyDescent="0.25">
      <c r="A66" s="171" t="s">
        <v>1161</v>
      </c>
      <c r="B66" s="413">
        <v>45370</v>
      </c>
      <c r="C66" s="414" t="s">
        <v>1157</v>
      </c>
      <c r="D66" s="77"/>
      <c r="E66" s="89"/>
      <c r="F66" s="89"/>
      <c r="G66" s="89"/>
      <c r="H66" s="62"/>
      <c r="I66" s="89"/>
      <c r="J66" s="89"/>
      <c r="K66" s="89"/>
      <c r="L66" s="152"/>
      <c r="M66" s="239">
        <f t="shared" si="0"/>
        <v>0</v>
      </c>
    </row>
    <row r="67" spans="1:13" s="70" customFormat="1" x14ac:dyDescent="0.25">
      <c r="A67" s="171" t="s">
        <v>1162</v>
      </c>
      <c r="B67" s="413">
        <v>45370</v>
      </c>
      <c r="C67" s="50" t="s">
        <v>787</v>
      </c>
      <c r="D67" s="101">
        <v>1000000</v>
      </c>
      <c r="E67" s="89"/>
      <c r="F67" s="89"/>
      <c r="G67" s="89"/>
      <c r="H67" s="62"/>
      <c r="I67" s="89"/>
      <c r="J67" s="89">
        <f>D67</f>
        <v>1000000</v>
      </c>
      <c r="K67" s="89"/>
      <c r="L67" s="152"/>
      <c r="M67" s="239">
        <f t="shared" ref="M67:M111" si="3">D67-E66:E67-F67-G67-H67-I67-J67-K67</f>
        <v>0</v>
      </c>
    </row>
    <row r="68" spans="1:13" s="70" customFormat="1" x14ac:dyDescent="0.25">
      <c r="A68" s="171" t="s">
        <v>1063</v>
      </c>
      <c r="B68" s="413">
        <v>45370</v>
      </c>
      <c r="C68" s="50" t="s">
        <v>1163</v>
      </c>
      <c r="D68" s="101">
        <v>300000</v>
      </c>
      <c r="E68" s="89"/>
      <c r="F68" s="89"/>
      <c r="G68" s="89">
        <f>D68</f>
        <v>300000</v>
      </c>
      <c r="H68" s="62"/>
      <c r="I68" s="89"/>
      <c r="J68" s="89"/>
      <c r="K68" s="89"/>
      <c r="L68" s="152"/>
      <c r="M68" s="239">
        <f t="shared" si="3"/>
        <v>0</v>
      </c>
    </row>
    <row r="69" spans="1:13" s="70" customFormat="1" x14ac:dyDescent="0.25">
      <c r="A69" s="171" t="s">
        <v>1164</v>
      </c>
      <c r="B69" s="413">
        <v>45370</v>
      </c>
      <c r="C69" s="50" t="s">
        <v>1085</v>
      </c>
      <c r="D69" s="101">
        <v>2000000</v>
      </c>
      <c r="E69" s="89"/>
      <c r="F69" s="89"/>
      <c r="G69" s="89"/>
      <c r="H69" s="62">
        <f>D69</f>
        <v>2000000</v>
      </c>
      <c r="I69" s="89"/>
      <c r="J69" s="89"/>
      <c r="K69" s="89"/>
      <c r="L69" s="152"/>
      <c r="M69" s="239">
        <f t="shared" si="3"/>
        <v>0</v>
      </c>
    </row>
    <row r="70" spans="1:13" s="70" customFormat="1" x14ac:dyDescent="0.25">
      <c r="A70" s="171" t="s">
        <v>1165</v>
      </c>
      <c r="B70" s="99">
        <v>45372</v>
      </c>
      <c r="C70" s="50" t="s">
        <v>809</v>
      </c>
      <c r="D70" s="101">
        <v>1300000</v>
      </c>
      <c r="E70" s="89"/>
      <c r="F70" s="89"/>
      <c r="G70" s="89"/>
      <c r="H70" s="62"/>
      <c r="I70" s="89"/>
      <c r="J70" s="89">
        <f>D70</f>
        <v>1300000</v>
      </c>
      <c r="K70" s="89"/>
      <c r="L70" s="152"/>
      <c r="M70" s="239">
        <f t="shared" si="3"/>
        <v>0</v>
      </c>
    </row>
    <row r="71" spans="1:13" s="70" customFormat="1" x14ac:dyDescent="0.25">
      <c r="A71" s="171" t="s">
        <v>1166</v>
      </c>
      <c r="B71" s="99">
        <v>45372</v>
      </c>
      <c r="C71" s="391" t="s">
        <v>1086</v>
      </c>
      <c r="D71" s="101">
        <v>500000</v>
      </c>
      <c r="E71" s="89"/>
      <c r="F71" s="89"/>
      <c r="G71" s="89"/>
      <c r="H71" s="62">
        <f>D71</f>
        <v>500000</v>
      </c>
      <c r="I71" s="89"/>
      <c r="J71" s="89"/>
      <c r="K71" s="89"/>
      <c r="L71" s="152"/>
      <c r="M71" s="239">
        <f t="shared" si="3"/>
        <v>0</v>
      </c>
    </row>
    <row r="72" spans="1:13" s="70" customFormat="1" x14ac:dyDescent="0.25">
      <c r="A72" s="171" t="s">
        <v>1071</v>
      </c>
      <c r="B72" s="99">
        <v>45373</v>
      </c>
      <c r="C72" s="50" t="s">
        <v>1087</v>
      </c>
      <c r="D72" s="101">
        <v>500000</v>
      </c>
      <c r="E72" s="89"/>
      <c r="F72" s="89"/>
      <c r="G72" s="89"/>
      <c r="H72" s="62">
        <f>D72</f>
        <v>500000</v>
      </c>
      <c r="I72" s="89"/>
      <c r="J72" s="89"/>
      <c r="K72" s="89"/>
      <c r="L72" s="152"/>
      <c r="M72" s="239">
        <f t="shared" si="3"/>
        <v>0</v>
      </c>
    </row>
    <row r="73" spans="1:13" s="70" customFormat="1" x14ac:dyDescent="0.25">
      <c r="A73" s="171" t="s">
        <v>1065</v>
      </c>
      <c r="B73" s="99">
        <v>45373</v>
      </c>
      <c r="C73" s="391" t="s">
        <v>1088</v>
      </c>
      <c r="D73" s="101">
        <v>1000000</v>
      </c>
      <c r="E73" s="89"/>
      <c r="F73" s="89"/>
      <c r="G73" s="89"/>
      <c r="H73" s="62">
        <f>D73</f>
        <v>1000000</v>
      </c>
      <c r="I73" s="89"/>
      <c r="J73" s="89"/>
      <c r="K73" s="89"/>
      <c r="L73" s="152"/>
      <c r="M73" s="239">
        <f t="shared" si="3"/>
        <v>0</v>
      </c>
    </row>
    <row r="74" spans="1:13" s="70" customFormat="1" x14ac:dyDescent="0.25">
      <c r="A74" s="171" t="s">
        <v>1167</v>
      </c>
      <c r="B74" s="99">
        <v>45373</v>
      </c>
      <c r="C74" s="50" t="s">
        <v>825</v>
      </c>
      <c r="D74" s="101">
        <v>-100000</v>
      </c>
      <c r="E74" s="89"/>
      <c r="F74" s="89"/>
      <c r="G74" s="89"/>
      <c r="H74" s="62"/>
      <c r="I74" s="89"/>
      <c r="J74" s="89"/>
      <c r="K74" s="89">
        <f>D74</f>
        <v>-100000</v>
      </c>
      <c r="L74" s="152"/>
      <c r="M74" s="239">
        <f t="shared" si="3"/>
        <v>0</v>
      </c>
    </row>
    <row r="75" spans="1:13" s="70" customFormat="1" x14ac:dyDescent="0.25">
      <c r="A75" s="171" t="s">
        <v>1061</v>
      </c>
      <c r="B75" s="99">
        <v>45373</v>
      </c>
      <c r="C75" s="50" t="s">
        <v>1168</v>
      </c>
      <c r="D75" s="101">
        <v>300000</v>
      </c>
      <c r="E75" s="89"/>
      <c r="F75" s="89"/>
      <c r="G75" s="89">
        <f>D75</f>
        <v>300000</v>
      </c>
      <c r="H75" s="62"/>
      <c r="I75" s="89"/>
      <c r="J75" s="89"/>
      <c r="K75" s="89"/>
      <c r="L75" s="152"/>
      <c r="M75" s="239">
        <f t="shared" si="3"/>
        <v>0</v>
      </c>
    </row>
    <row r="76" spans="1:13" s="70" customFormat="1" x14ac:dyDescent="0.25">
      <c r="A76" s="171" t="s">
        <v>1169</v>
      </c>
      <c r="B76" s="99">
        <v>45373</v>
      </c>
      <c r="C76" s="50" t="s">
        <v>830</v>
      </c>
      <c r="D76" s="101">
        <v>-650000</v>
      </c>
      <c r="E76" s="89"/>
      <c r="F76" s="89"/>
      <c r="G76" s="89"/>
      <c r="H76" s="62"/>
      <c r="I76" s="89"/>
      <c r="J76" s="89"/>
      <c r="K76" s="89">
        <f>D76</f>
        <v>-650000</v>
      </c>
      <c r="L76" s="152"/>
      <c r="M76" s="239">
        <f t="shared" si="3"/>
        <v>0</v>
      </c>
    </row>
    <row r="77" spans="1:13" s="70" customFormat="1" x14ac:dyDescent="0.25">
      <c r="A77" s="171" t="s">
        <v>1170</v>
      </c>
      <c r="B77" s="99">
        <v>45374</v>
      </c>
      <c r="C77" s="316" t="s">
        <v>833</v>
      </c>
      <c r="D77" s="101">
        <v>1300000</v>
      </c>
      <c r="E77" s="89"/>
      <c r="F77" s="89"/>
      <c r="G77" s="89"/>
      <c r="H77" s="62"/>
      <c r="I77" s="89"/>
      <c r="J77" s="89">
        <f>D77</f>
        <v>1300000</v>
      </c>
      <c r="K77" s="89"/>
      <c r="L77" s="152"/>
      <c r="M77" s="239">
        <f t="shared" si="3"/>
        <v>0</v>
      </c>
    </row>
    <row r="78" spans="1:13" s="70" customFormat="1" x14ac:dyDescent="0.25">
      <c r="A78" s="171" t="s">
        <v>1171</v>
      </c>
      <c r="B78" s="99">
        <v>45374</v>
      </c>
      <c r="C78" s="316" t="s">
        <v>1089</v>
      </c>
      <c r="D78" s="101">
        <v>1000000</v>
      </c>
      <c r="E78" s="89"/>
      <c r="F78" s="89"/>
      <c r="G78" s="89"/>
      <c r="H78" s="62">
        <f>D78</f>
        <v>1000000</v>
      </c>
      <c r="I78" s="89"/>
      <c r="J78" s="89"/>
      <c r="K78" s="89"/>
      <c r="L78" s="152"/>
      <c r="M78" s="239">
        <f t="shared" si="3"/>
        <v>0</v>
      </c>
    </row>
    <row r="79" spans="1:13" s="70" customFormat="1" x14ac:dyDescent="0.25">
      <c r="A79" s="171" t="s">
        <v>1056</v>
      </c>
      <c r="B79" s="99">
        <v>45374</v>
      </c>
      <c r="C79" s="316" t="s">
        <v>1090</v>
      </c>
      <c r="D79" s="101">
        <v>500000</v>
      </c>
      <c r="E79" s="89"/>
      <c r="F79" s="89"/>
      <c r="G79" s="89"/>
      <c r="H79" s="62">
        <f>D79</f>
        <v>500000</v>
      </c>
      <c r="I79" s="89"/>
      <c r="J79" s="89"/>
      <c r="K79" s="89"/>
      <c r="L79" s="152"/>
      <c r="M79" s="239">
        <f t="shared" si="3"/>
        <v>0</v>
      </c>
    </row>
    <row r="80" spans="1:13" s="70" customFormat="1" x14ac:dyDescent="0.25">
      <c r="A80" s="171" t="s">
        <v>1172</v>
      </c>
      <c r="B80" s="99">
        <v>45374</v>
      </c>
      <c r="C80" s="316" t="s">
        <v>837</v>
      </c>
      <c r="D80" s="101">
        <v>-200000</v>
      </c>
      <c r="E80" s="89"/>
      <c r="F80" s="89"/>
      <c r="G80" s="89"/>
      <c r="H80" s="62"/>
      <c r="I80" s="89"/>
      <c r="J80" s="89"/>
      <c r="K80" s="89">
        <f>D80</f>
        <v>-200000</v>
      </c>
      <c r="L80" s="152"/>
      <c r="M80" s="239">
        <f t="shared" si="3"/>
        <v>0</v>
      </c>
    </row>
    <row r="81" spans="1:13" s="70" customFormat="1" x14ac:dyDescent="0.25">
      <c r="A81" s="171" t="s">
        <v>1173</v>
      </c>
      <c r="B81" s="99">
        <v>45374</v>
      </c>
      <c r="C81" s="316" t="s">
        <v>839</v>
      </c>
      <c r="D81" s="101">
        <v>-1500000</v>
      </c>
      <c r="E81" s="89"/>
      <c r="F81" s="89"/>
      <c r="G81" s="89"/>
      <c r="H81" s="62"/>
      <c r="I81" s="89"/>
      <c r="J81" s="89"/>
      <c r="K81" s="89">
        <f t="shared" ref="K81:K82" si="4">D81</f>
        <v>-1500000</v>
      </c>
      <c r="L81" s="152"/>
      <c r="M81" s="239">
        <f t="shared" si="3"/>
        <v>0</v>
      </c>
    </row>
    <row r="82" spans="1:13" s="70" customFormat="1" x14ac:dyDescent="0.25">
      <c r="A82" s="171" t="s">
        <v>1174</v>
      </c>
      <c r="B82" s="99">
        <v>45374</v>
      </c>
      <c r="C82" s="316" t="s">
        <v>840</v>
      </c>
      <c r="D82" s="101">
        <v>-1000000</v>
      </c>
      <c r="E82" s="89"/>
      <c r="F82" s="89"/>
      <c r="G82" s="89"/>
      <c r="H82" s="62"/>
      <c r="I82" s="89"/>
      <c r="J82" s="89"/>
      <c r="K82" s="89">
        <f t="shared" si="4"/>
        <v>-1000000</v>
      </c>
      <c r="L82" s="152"/>
      <c r="M82" s="239">
        <f t="shared" si="3"/>
        <v>0</v>
      </c>
    </row>
    <row r="83" spans="1:13" s="70" customFormat="1" x14ac:dyDescent="0.25">
      <c r="A83" s="171" t="s">
        <v>1175</v>
      </c>
      <c r="B83" s="99">
        <v>45374</v>
      </c>
      <c r="C83" s="316" t="s">
        <v>841</v>
      </c>
      <c r="D83" s="101">
        <v>30000</v>
      </c>
      <c r="E83" s="89"/>
      <c r="F83" s="89"/>
      <c r="G83" s="89"/>
      <c r="H83" s="62"/>
      <c r="I83" s="89">
        <f>D83</f>
        <v>30000</v>
      </c>
      <c r="J83" s="89"/>
      <c r="K83" s="89"/>
      <c r="L83" s="152" t="s">
        <v>216</v>
      </c>
      <c r="M83" s="239">
        <f t="shared" si="3"/>
        <v>0</v>
      </c>
    </row>
    <row r="84" spans="1:13" s="70" customFormat="1" x14ac:dyDescent="0.25">
      <c r="A84" s="171" t="s">
        <v>1069</v>
      </c>
      <c r="B84" s="99">
        <v>45374</v>
      </c>
      <c r="C84" s="316" t="s">
        <v>1176</v>
      </c>
      <c r="D84" s="101">
        <v>200000</v>
      </c>
      <c r="E84" s="89"/>
      <c r="F84" s="89"/>
      <c r="G84" s="89">
        <f>D84</f>
        <v>200000</v>
      </c>
      <c r="H84" s="62"/>
      <c r="I84" s="89"/>
      <c r="J84" s="89"/>
      <c r="K84" s="89"/>
      <c r="L84" s="152"/>
      <c r="M84" s="239">
        <f t="shared" si="3"/>
        <v>0</v>
      </c>
    </row>
    <row r="85" spans="1:13" s="70" customFormat="1" x14ac:dyDescent="0.25">
      <c r="A85" s="171" t="s">
        <v>1177</v>
      </c>
      <c r="B85" s="99">
        <v>45374</v>
      </c>
      <c r="C85" s="316" t="s">
        <v>843</v>
      </c>
      <c r="D85" s="101">
        <v>-5000000</v>
      </c>
      <c r="E85" s="89"/>
      <c r="F85" s="89"/>
      <c r="G85" s="89"/>
      <c r="H85" s="62"/>
      <c r="I85" s="89"/>
      <c r="J85" s="89"/>
      <c r="K85" s="89">
        <f>D85</f>
        <v>-5000000</v>
      </c>
      <c r="L85" s="152"/>
      <c r="M85" s="239">
        <f t="shared" si="3"/>
        <v>0</v>
      </c>
    </row>
    <row r="86" spans="1:13" s="70" customFormat="1" x14ac:dyDescent="0.25">
      <c r="A86" s="171" t="s">
        <v>1178</v>
      </c>
      <c r="B86" s="99">
        <v>45374</v>
      </c>
      <c r="C86" s="316" t="s">
        <v>844</v>
      </c>
      <c r="D86" s="101">
        <v>100000</v>
      </c>
      <c r="E86" s="89"/>
      <c r="F86" s="89"/>
      <c r="G86" s="89"/>
      <c r="H86" s="62"/>
      <c r="I86" s="89">
        <f>D86</f>
        <v>100000</v>
      </c>
      <c r="J86" s="89"/>
      <c r="K86" s="89"/>
      <c r="L86" s="152"/>
      <c r="M86" s="239">
        <f t="shared" si="3"/>
        <v>0</v>
      </c>
    </row>
    <row r="87" spans="1:13" s="70" customFormat="1" x14ac:dyDescent="0.25">
      <c r="A87" s="171" t="s">
        <v>1179</v>
      </c>
      <c r="B87" s="99">
        <v>45374</v>
      </c>
      <c r="C87" s="316" t="s">
        <v>845</v>
      </c>
      <c r="D87" s="101">
        <v>660000</v>
      </c>
      <c r="E87" s="293">
        <f>D87</f>
        <v>660000</v>
      </c>
      <c r="F87" s="152"/>
      <c r="G87" s="152"/>
      <c r="H87" s="152"/>
      <c r="I87" s="152"/>
      <c r="J87" s="152"/>
      <c r="K87" s="293"/>
      <c r="L87" s="152" t="s">
        <v>59</v>
      </c>
      <c r="M87" s="239">
        <f t="shared" si="3"/>
        <v>0</v>
      </c>
    </row>
    <row r="88" spans="1:13" s="70" customFormat="1" x14ac:dyDescent="0.25">
      <c r="A88" s="171" t="s">
        <v>1180</v>
      </c>
      <c r="B88" s="99">
        <v>45375</v>
      </c>
      <c r="C88" s="316" t="s">
        <v>848</v>
      </c>
      <c r="D88" s="101">
        <v>-11000</v>
      </c>
      <c r="E88" s="89"/>
      <c r="F88" s="89"/>
      <c r="G88" s="89"/>
      <c r="H88" s="62"/>
      <c r="I88" s="89"/>
      <c r="J88" s="89"/>
      <c r="K88" s="89">
        <f>D88</f>
        <v>-11000</v>
      </c>
      <c r="L88" s="152"/>
      <c r="M88" s="239">
        <f t="shared" si="3"/>
        <v>0</v>
      </c>
    </row>
    <row r="89" spans="1:13" s="70" customFormat="1" x14ac:dyDescent="0.25">
      <c r="A89" s="171" t="s">
        <v>1181</v>
      </c>
      <c r="B89" s="99">
        <v>45375</v>
      </c>
      <c r="C89" s="316" t="s">
        <v>1182</v>
      </c>
      <c r="D89" s="101">
        <v>2000000</v>
      </c>
      <c r="E89" s="89"/>
      <c r="F89" s="89"/>
      <c r="G89" s="89"/>
      <c r="H89" s="62">
        <f>D89</f>
        <v>2000000</v>
      </c>
      <c r="I89" s="89"/>
      <c r="J89" s="89"/>
      <c r="K89" s="89"/>
      <c r="L89" s="152"/>
      <c r="M89" s="239">
        <f t="shared" si="3"/>
        <v>0</v>
      </c>
    </row>
    <row r="90" spans="1:13" s="70" customFormat="1" x14ac:dyDescent="0.25">
      <c r="A90" s="171" t="s">
        <v>1183</v>
      </c>
      <c r="B90" s="99">
        <v>45375</v>
      </c>
      <c r="C90" s="316" t="s">
        <v>855</v>
      </c>
      <c r="D90" s="101">
        <v>40000</v>
      </c>
      <c r="E90" s="89"/>
      <c r="F90" s="89"/>
      <c r="G90" s="89"/>
      <c r="H90" s="62"/>
      <c r="I90" s="89">
        <f>D90</f>
        <v>40000</v>
      </c>
      <c r="J90" s="89"/>
      <c r="K90" s="89"/>
      <c r="L90" s="152" t="s">
        <v>216</v>
      </c>
      <c r="M90" s="239">
        <f t="shared" si="3"/>
        <v>0</v>
      </c>
    </row>
    <row r="91" spans="1:13" s="70" customFormat="1" x14ac:dyDescent="0.25">
      <c r="A91" s="171" t="s">
        <v>1184</v>
      </c>
      <c r="B91" s="99">
        <v>45375</v>
      </c>
      <c r="C91" s="316" t="s">
        <v>859</v>
      </c>
      <c r="D91" s="101">
        <v>-40000</v>
      </c>
      <c r="E91" s="89"/>
      <c r="F91" s="89"/>
      <c r="G91" s="89"/>
      <c r="H91" s="62"/>
      <c r="I91" s="89"/>
      <c r="J91" s="89"/>
      <c r="K91" s="89">
        <f>D91</f>
        <v>-40000</v>
      </c>
      <c r="L91" s="152"/>
      <c r="M91" s="239">
        <f t="shared" si="3"/>
        <v>0</v>
      </c>
    </row>
    <row r="92" spans="1:13" s="70" customFormat="1" x14ac:dyDescent="0.25">
      <c r="A92" s="171" t="s">
        <v>1185</v>
      </c>
      <c r="B92" s="99">
        <v>45376</v>
      </c>
      <c r="C92" s="316" t="s">
        <v>862</v>
      </c>
      <c r="D92" s="101">
        <v>2500000</v>
      </c>
      <c r="E92" s="89"/>
      <c r="F92" s="89"/>
      <c r="G92" s="89"/>
      <c r="H92" s="62"/>
      <c r="I92" s="89"/>
      <c r="J92" s="89">
        <f>D92</f>
        <v>2500000</v>
      </c>
      <c r="K92" s="89"/>
      <c r="L92" s="152"/>
      <c r="M92" s="239">
        <f t="shared" si="3"/>
        <v>0</v>
      </c>
    </row>
    <row r="93" spans="1:13" s="70" customFormat="1" x14ac:dyDescent="0.25">
      <c r="A93" s="171" t="s">
        <v>1186</v>
      </c>
      <c r="B93" s="99">
        <v>45376</v>
      </c>
      <c r="C93" s="316" t="s">
        <v>864</v>
      </c>
      <c r="D93" s="101">
        <v>-100000</v>
      </c>
      <c r="E93" s="89"/>
      <c r="F93" s="89"/>
      <c r="G93" s="89"/>
      <c r="H93" s="62"/>
      <c r="I93" s="89"/>
      <c r="J93" s="89"/>
      <c r="K93" s="89">
        <f>D93</f>
        <v>-100000</v>
      </c>
      <c r="L93" s="152"/>
      <c r="M93" s="239">
        <f t="shared" si="3"/>
        <v>0</v>
      </c>
    </row>
    <row r="94" spans="1:13" s="70" customFormat="1" x14ac:dyDescent="0.25">
      <c r="A94" s="171" t="s">
        <v>1187</v>
      </c>
      <c r="B94" s="99">
        <v>45376</v>
      </c>
      <c r="C94" s="316" t="s">
        <v>865</v>
      </c>
      <c r="D94" s="101">
        <v>-800000</v>
      </c>
      <c r="E94" s="89"/>
      <c r="F94" s="89"/>
      <c r="G94" s="89"/>
      <c r="H94" s="62"/>
      <c r="I94" s="89"/>
      <c r="J94" s="89"/>
      <c r="K94" s="89">
        <f>D94</f>
        <v>-800000</v>
      </c>
      <c r="L94" s="152"/>
      <c r="M94" s="239">
        <f t="shared" si="3"/>
        <v>0</v>
      </c>
    </row>
    <row r="95" spans="1:13" s="70" customFormat="1" x14ac:dyDescent="0.25">
      <c r="A95" s="171" t="s">
        <v>1188</v>
      </c>
      <c r="B95" s="99">
        <v>45376</v>
      </c>
      <c r="C95" s="316" t="s">
        <v>1093</v>
      </c>
      <c r="D95" s="101">
        <v>1000000</v>
      </c>
      <c r="E95" s="89"/>
      <c r="F95" s="89"/>
      <c r="G95" s="89"/>
      <c r="H95" s="62">
        <f>D95</f>
        <v>1000000</v>
      </c>
      <c r="I95" s="89"/>
      <c r="J95" s="89"/>
      <c r="K95" s="89"/>
      <c r="L95" s="152"/>
      <c r="M95" s="239">
        <f t="shared" si="3"/>
        <v>0</v>
      </c>
    </row>
    <row r="96" spans="1:13" s="70" customFormat="1" x14ac:dyDescent="0.25">
      <c r="A96" s="171" t="s">
        <v>1189</v>
      </c>
      <c r="B96" s="99">
        <v>45377</v>
      </c>
      <c r="C96" s="316" t="s">
        <v>868</v>
      </c>
      <c r="D96" s="101">
        <v>-11000</v>
      </c>
      <c r="E96" s="89"/>
      <c r="F96" s="89"/>
      <c r="G96" s="89"/>
      <c r="H96" s="62"/>
      <c r="I96" s="89"/>
      <c r="J96" s="89"/>
      <c r="K96" s="89">
        <f>D96</f>
        <v>-11000</v>
      </c>
      <c r="L96" s="152"/>
      <c r="M96" s="239">
        <f t="shared" si="3"/>
        <v>0</v>
      </c>
    </row>
    <row r="97" spans="1:13" s="70" customFormat="1" x14ac:dyDescent="0.25">
      <c r="A97" s="171" t="s">
        <v>1190</v>
      </c>
      <c r="B97" s="99">
        <v>45378</v>
      </c>
      <c r="C97" s="316" t="s">
        <v>1191</v>
      </c>
      <c r="D97" s="101">
        <v>300000</v>
      </c>
      <c r="E97" s="89"/>
      <c r="F97" s="89"/>
      <c r="G97" s="89"/>
      <c r="H97" s="62">
        <f>D97</f>
        <v>300000</v>
      </c>
      <c r="I97" s="89"/>
      <c r="J97" s="89"/>
      <c r="K97" s="89"/>
      <c r="L97" s="152"/>
      <c r="M97" s="239">
        <f t="shared" si="3"/>
        <v>0</v>
      </c>
    </row>
    <row r="98" spans="1:13" s="70" customFormat="1" x14ac:dyDescent="0.25">
      <c r="A98" s="171" t="s">
        <v>1192</v>
      </c>
      <c r="B98" s="99">
        <v>45378</v>
      </c>
      <c r="C98" s="316" t="s">
        <v>877</v>
      </c>
      <c r="D98" s="101">
        <v>1500000</v>
      </c>
      <c r="E98" s="89"/>
      <c r="F98" s="89"/>
      <c r="G98" s="89"/>
      <c r="H98" s="62"/>
      <c r="I98" s="89"/>
      <c r="J98" s="89">
        <f>D98</f>
        <v>1500000</v>
      </c>
      <c r="K98" s="89"/>
      <c r="L98" s="152"/>
      <c r="M98" s="239">
        <f t="shared" si="3"/>
        <v>0</v>
      </c>
    </row>
    <row r="99" spans="1:13" s="70" customFormat="1" x14ac:dyDescent="0.25">
      <c r="A99" s="171" t="s">
        <v>1193</v>
      </c>
      <c r="B99" s="99">
        <v>45378</v>
      </c>
      <c r="C99" s="316" t="s">
        <v>875</v>
      </c>
      <c r="D99" s="101">
        <v>-11000</v>
      </c>
      <c r="E99" s="89"/>
      <c r="F99" s="89"/>
      <c r="G99" s="89"/>
      <c r="H99" s="62"/>
      <c r="I99" s="89"/>
      <c r="J99" s="89"/>
      <c r="K99" s="89">
        <f>D99</f>
        <v>-11000</v>
      </c>
      <c r="L99" s="152"/>
      <c r="M99" s="239">
        <f t="shared" si="3"/>
        <v>0</v>
      </c>
    </row>
    <row r="100" spans="1:13" s="70" customFormat="1" x14ac:dyDescent="0.25">
      <c r="A100" s="171" t="s">
        <v>1194</v>
      </c>
      <c r="B100" s="99">
        <v>45378</v>
      </c>
      <c r="C100" s="316" t="s">
        <v>1195</v>
      </c>
      <c r="D100" s="101">
        <v>500000</v>
      </c>
      <c r="E100" s="89"/>
      <c r="F100" s="89"/>
      <c r="G100" s="89"/>
      <c r="H100" s="62">
        <f>D100</f>
        <v>500000</v>
      </c>
      <c r="I100" s="89"/>
      <c r="J100" s="89"/>
      <c r="K100" s="89"/>
      <c r="L100" s="152"/>
      <c r="M100" s="239">
        <f t="shared" si="3"/>
        <v>0</v>
      </c>
    </row>
    <row r="101" spans="1:13" s="70" customFormat="1" x14ac:dyDescent="0.25">
      <c r="A101" s="171" t="s">
        <v>1196</v>
      </c>
      <c r="B101" s="99">
        <v>45379</v>
      </c>
      <c r="C101" s="316" t="s">
        <v>885</v>
      </c>
      <c r="D101" s="101">
        <v>1000000</v>
      </c>
      <c r="E101" s="89"/>
      <c r="F101" s="89"/>
      <c r="G101" s="89"/>
      <c r="H101" s="62"/>
      <c r="I101" s="89"/>
      <c r="J101" s="89">
        <f>D101</f>
        <v>1000000</v>
      </c>
      <c r="K101" s="89"/>
      <c r="L101" s="152"/>
      <c r="M101" s="239">
        <f t="shared" si="3"/>
        <v>0</v>
      </c>
    </row>
    <row r="102" spans="1:13" s="70" customFormat="1" x14ac:dyDescent="0.25">
      <c r="A102" s="171" t="s">
        <v>1197</v>
      </c>
      <c r="B102" s="99">
        <v>45379</v>
      </c>
      <c r="C102" s="316" t="s">
        <v>890</v>
      </c>
      <c r="D102" s="101">
        <v>-1000000</v>
      </c>
      <c r="E102" s="89"/>
      <c r="F102" s="89"/>
      <c r="G102" s="89"/>
      <c r="H102" s="62"/>
      <c r="I102" s="89"/>
      <c r="J102" s="89"/>
      <c r="K102" s="89">
        <f>D102</f>
        <v>-1000000</v>
      </c>
      <c r="L102" s="152"/>
      <c r="M102" s="239">
        <f t="shared" si="3"/>
        <v>0</v>
      </c>
    </row>
    <row r="103" spans="1:13" s="70" customFormat="1" x14ac:dyDescent="0.25">
      <c r="A103" s="171" t="s">
        <v>1073</v>
      </c>
      <c r="B103" s="99">
        <v>45379</v>
      </c>
      <c r="C103" s="316" t="s">
        <v>1198</v>
      </c>
      <c r="D103" s="101">
        <v>900000</v>
      </c>
      <c r="E103" s="89"/>
      <c r="F103" s="89"/>
      <c r="G103" s="89">
        <f>D103</f>
        <v>900000</v>
      </c>
      <c r="H103" s="62"/>
      <c r="I103" s="89"/>
      <c r="J103" s="89"/>
      <c r="K103" s="89"/>
      <c r="L103" s="152"/>
      <c r="M103" s="239">
        <f t="shared" si="3"/>
        <v>0</v>
      </c>
    </row>
    <row r="104" spans="1:13" s="70" customFormat="1" x14ac:dyDescent="0.25">
      <c r="A104" s="171" t="s">
        <v>1067</v>
      </c>
      <c r="B104" s="99">
        <v>45379</v>
      </c>
      <c r="C104" s="392" t="s">
        <v>1199</v>
      </c>
      <c r="D104" s="101">
        <v>300000</v>
      </c>
      <c r="E104" s="89"/>
      <c r="F104" s="89"/>
      <c r="G104" s="89"/>
      <c r="H104" s="62">
        <f>D104</f>
        <v>300000</v>
      </c>
      <c r="I104" s="89"/>
      <c r="J104" s="89"/>
      <c r="K104" s="89"/>
      <c r="L104" s="152"/>
      <c r="M104" s="239">
        <f t="shared" si="3"/>
        <v>0</v>
      </c>
    </row>
    <row r="105" spans="1:13" s="70" customFormat="1" x14ac:dyDescent="0.25">
      <c r="A105" s="171" t="s">
        <v>1200</v>
      </c>
      <c r="B105" s="99">
        <v>45379</v>
      </c>
      <c r="C105" s="392" t="s">
        <v>897</v>
      </c>
      <c r="D105" s="101">
        <v>-600000</v>
      </c>
      <c r="E105" s="89"/>
      <c r="F105" s="89"/>
      <c r="G105" s="89"/>
      <c r="H105" s="62"/>
      <c r="I105" s="89"/>
      <c r="J105" s="89"/>
      <c r="K105" s="89">
        <f>D105</f>
        <v>-600000</v>
      </c>
      <c r="L105" s="152"/>
      <c r="M105" s="239">
        <f t="shared" si="3"/>
        <v>0</v>
      </c>
    </row>
    <row r="106" spans="1:13" s="70" customFormat="1" x14ac:dyDescent="0.25">
      <c r="A106" s="171" t="s">
        <v>1201</v>
      </c>
      <c r="B106" s="99">
        <v>45379</v>
      </c>
      <c r="C106" s="392" t="s">
        <v>898</v>
      </c>
      <c r="D106" s="101">
        <v>-65000</v>
      </c>
      <c r="E106" s="89"/>
      <c r="F106" s="89"/>
      <c r="G106" s="89"/>
      <c r="H106" s="62"/>
      <c r="I106" s="89"/>
      <c r="J106" s="89"/>
      <c r="K106" s="89">
        <f>D106</f>
        <v>-65000</v>
      </c>
      <c r="L106" s="152"/>
      <c r="M106" s="239">
        <f t="shared" si="3"/>
        <v>0</v>
      </c>
    </row>
    <row r="107" spans="1:13" s="70" customFormat="1" x14ac:dyDescent="0.25">
      <c r="A107" s="171" t="s">
        <v>1202</v>
      </c>
      <c r="B107" s="99">
        <v>45380</v>
      </c>
      <c r="C107" s="316" t="s">
        <v>900</v>
      </c>
      <c r="D107" s="101">
        <v>1000000</v>
      </c>
      <c r="E107" s="89"/>
      <c r="F107" s="89"/>
      <c r="G107" s="89"/>
      <c r="H107" s="62"/>
      <c r="I107" s="89"/>
      <c r="J107" s="89">
        <f>D107</f>
        <v>1000000</v>
      </c>
      <c r="K107" s="89"/>
      <c r="L107" s="152"/>
      <c r="M107" s="239">
        <f t="shared" si="3"/>
        <v>0</v>
      </c>
    </row>
    <row r="108" spans="1:13" s="70" customFormat="1" x14ac:dyDescent="0.25">
      <c r="A108" s="171" t="s">
        <v>1203</v>
      </c>
      <c r="B108" s="99">
        <v>45381</v>
      </c>
      <c r="C108" s="316" t="s">
        <v>909</v>
      </c>
      <c r="D108" s="64">
        <v>1500000</v>
      </c>
      <c r="E108" s="89"/>
      <c r="F108" s="89"/>
      <c r="G108" s="89"/>
      <c r="H108" s="62"/>
      <c r="I108" s="89"/>
      <c r="J108" s="89">
        <f>D108</f>
        <v>1500000</v>
      </c>
      <c r="K108" s="89"/>
      <c r="L108" s="152"/>
      <c r="M108" s="239">
        <f t="shared" si="3"/>
        <v>0</v>
      </c>
    </row>
    <row r="109" spans="1:13" s="70" customFormat="1" x14ac:dyDescent="0.25">
      <c r="A109" s="171" t="s">
        <v>1204</v>
      </c>
      <c r="B109" s="99">
        <v>45381</v>
      </c>
      <c r="C109" s="316" t="s">
        <v>1205</v>
      </c>
      <c r="D109" s="64">
        <v>300000</v>
      </c>
      <c r="E109" s="89"/>
      <c r="F109" s="89"/>
      <c r="G109" s="89"/>
      <c r="H109" s="62">
        <f>D109</f>
        <v>300000</v>
      </c>
      <c r="I109" s="89"/>
      <c r="J109" s="89"/>
      <c r="K109" s="89"/>
      <c r="L109" s="152"/>
      <c r="M109" s="239">
        <f t="shared" si="3"/>
        <v>0</v>
      </c>
    </row>
    <row r="110" spans="1:13" s="70" customFormat="1" x14ac:dyDescent="0.25">
      <c r="A110" s="171" t="s">
        <v>1206</v>
      </c>
      <c r="B110" s="99">
        <v>45381</v>
      </c>
      <c r="C110" s="316" t="s">
        <v>916</v>
      </c>
      <c r="D110" s="64">
        <v>-65000</v>
      </c>
      <c r="E110" s="89"/>
      <c r="F110" s="89"/>
      <c r="G110" s="89"/>
      <c r="H110" s="62"/>
      <c r="I110" s="89"/>
      <c r="J110" s="89"/>
      <c r="K110" s="89">
        <f>D110</f>
        <v>-65000</v>
      </c>
      <c r="L110" s="152"/>
      <c r="M110" s="239">
        <f t="shared" si="3"/>
        <v>0</v>
      </c>
    </row>
    <row r="111" spans="1:13" s="70" customFormat="1" x14ac:dyDescent="0.25">
      <c r="A111" s="171" t="s">
        <v>1207</v>
      </c>
      <c r="B111" s="99">
        <v>45382</v>
      </c>
      <c r="C111" s="316" t="s">
        <v>919</v>
      </c>
      <c r="D111" s="101">
        <v>-200000</v>
      </c>
      <c r="E111" s="89"/>
      <c r="F111" s="89"/>
      <c r="G111" s="89"/>
      <c r="H111" s="62"/>
      <c r="I111" s="89"/>
      <c r="J111" s="89"/>
      <c r="K111" s="89">
        <f>D111</f>
        <v>-200000</v>
      </c>
      <c r="L111" s="152"/>
      <c r="M111" s="239">
        <f t="shared" si="3"/>
        <v>0</v>
      </c>
    </row>
    <row r="112" spans="1:13" x14ac:dyDescent="0.25">
      <c r="A112" s="46" t="s">
        <v>96</v>
      </c>
      <c r="B112" s="46"/>
      <c r="C112" s="46"/>
      <c r="D112" s="237">
        <f t="shared" ref="D112:M112" si="5">SUM(D2:D111)</f>
        <v>29543215</v>
      </c>
      <c r="E112" s="237">
        <f t="shared" si="5"/>
        <v>840000</v>
      </c>
      <c r="F112" s="237">
        <f t="shared" si="5"/>
        <v>0</v>
      </c>
      <c r="G112" s="237">
        <f t="shared" si="5"/>
        <v>6310000</v>
      </c>
      <c r="H112" s="237">
        <f t="shared" si="5"/>
        <v>27000000</v>
      </c>
      <c r="I112" s="237">
        <f t="shared" si="5"/>
        <v>5470000</v>
      </c>
      <c r="J112" s="237">
        <f t="shared" si="5"/>
        <v>28300000</v>
      </c>
      <c r="K112" s="237">
        <f t="shared" si="5"/>
        <v>-38376785</v>
      </c>
      <c r="L112" s="237">
        <f t="shared" si="5"/>
        <v>0</v>
      </c>
      <c r="M112" s="237">
        <f t="shared" si="5"/>
        <v>0</v>
      </c>
    </row>
    <row r="114" spans="4:9" x14ac:dyDescent="0.25">
      <c r="E114" s="124"/>
      <c r="F114" s="124"/>
      <c r="G114" s="124"/>
      <c r="H114" s="169"/>
      <c r="I114" s="169"/>
    </row>
    <row r="115" spans="4:9" x14ac:dyDescent="0.25">
      <c r="D115" s="238" t="s">
        <v>1263</v>
      </c>
      <c r="E115" s="126">
        <f>E87+E46</f>
        <v>840000</v>
      </c>
      <c r="F115" s="294"/>
    </row>
    <row r="116" spans="4:9" x14ac:dyDescent="0.25">
      <c r="D116" s="238" t="str">
        <f>F1</f>
        <v>Pendapatan lainnya</v>
      </c>
      <c r="E116" s="126">
        <f>F112</f>
        <v>0</v>
      </c>
      <c r="F116" s="294"/>
      <c r="G116" s="124"/>
    </row>
    <row r="117" spans="4:9" x14ac:dyDescent="0.25">
      <c r="D117" s="238" t="s">
        <v>124</v>
      </c>
      <c r="E117" s="126">
        <f>G112</f>
        <v>6310000</v>
      </c>
      <c r="F117" s="294"/>
    </row>
    <row r="118" spans="4:9" x14ac:dyDescent="0.25">
      <c r="D118" s="238" t="s">
        <v>125</v>
      </c>
      <c r="E118" s="126">
        <f>H112</f>
        <v>27000000</v>
      </c>
      <c r="F118" s="294"/>
    </row>
    <row r="119" spans="4:9" x14ac:dyDescent="0.25">
      <c r="D119" s="238" t="s">
        <v>1</v>
      </c>
      <c r="E119" s="126">
        <f>I112</f>
        <v>5470000</v>
      </c>
      <c r="F119" s="294"/>
    </row>
    <row r="120" spans="4:9" x14ac:dyDescent="0.25">
      <c r="D120" s="238" t="s">
        <v>133</v>
      </c>
      <c r="E120" s="126">
        <f>J112</f>
        <v>28300000</v>
      </c>
      <c r="F120" s="294"/>
    </row>
    <row r="121" spans="4:9" x14ac:dyDescent="0.25">
      <c r="D121" s="238" t="s">
        <v>64</v>
      </c>
      <c r="E121" s="126">
        <f>K112</f>
        <v>-38376785</v>
      </c>
      <c r="F121" s="294"/>
    </row>
    <row r="122" spans="4:9" x14ac:dyDescent="0.25">
      <c r="D122" s="238" t="s">
        <v>96</v>
      </c>
      <c r="E122" s="126">
        <f>SUM(E115:E121)</f>
        <v>29543215</v>
      </c>
      <c r="F122" s="294"/>
    </row>
    <row r="124" spans="4:9" x14ac:dyDescent="0.25">
      <c r="E124" s="124"/>
      <c r="F124" s="124"/>
    </row>
  </sheetData>
  <phoneticPr fontId="23" type="noConversion"/>
  <pageMargins left="0.7" right="0.7" top="0.75" bottom="0.75" header="0.3" footer="0.3"/>
  <pageSetup paperSize="9" scale="30" orientation="landscape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10"/>
  <sheetViews>
    <sheetView topLeftCell="A46" workbookViewId="0">
      <selection activeCell="F42" sqref="F42"/>
    </sheetView>
  </sheetViews>
  <sheetFormatPr defaultRowHeight="15" x14ac:dyDescent="0.25"/>
  <cols>
    <col min="1" max="1" width="28.5703125" style="232" customWidth="1"/>
    <col min="2" max="2" width="14" style="234" customWidth="1"/>
    <col min="3" max="3" width="14.28515625" customWidth="1"/>
    <col min="4" max="5" width="12.5703125" style="234" customWidth="1"/>
    <col min="6" max="6" width="14.7109375" style="225" customWidth="1"/>
  </cols>
  <sheetData>
    <row r="1" spans="1:6" ht="15" customHeight="1" x14ac:dyDescent="0.25">
      <c r="A1" s="261" t="s">
        <v>1209</v>
      </c>
      <c r="B1" s="262"/>
      <c r="D1" s="262"/>
      <c r="E1" s="262"/>
      <c r="F1" s="262"/>
    </row>
    <row r="2" spans="1:6" ht="15" customHeight="1" x14ac:dyDescent="0.25">
      <c r="A2" s="261"/>
      <c r="B2" s="327"/>
      <c r="D2" s="327"/>
      <c r="E2" s="327"/>
      <c r="F2" s="327"/>
    </row>
    <row r="3" spans="1:6" s="58" customFormat="1" x14ac:dyDescent="0.25">
      <c r="A3" s="328" t="s">
        <v>5</v>
      </c>
      <c r="B3" s="328"/>
      <c r="C3" s="364" t="s">
        <v>7</v>
      </c>
      <c r="D3" s="328" t="s">
        <v>404</v>
      </c>
      <c r="E3" s="328" t="s">
        <v>564</v>
      </c>
      <c r="F3" s="329" t="s">
        <v>1208</v>
      </c>
    </row>
    <row r="4" spans="1:6" x14ac:dyDescent="0.25">
      <c r="A4" s="330" t="s">
        <v>66</v>
      </c>
      <c r="B4" s="331" t="s">
        <v>334</v>
      </c>
      <c r="C4" s="365">
        <f>D4+E4+F4</f>
        <v>601876000</v>
      </c>
      <c r="D4" s="332">
        <v>247613000</v>
      </c>
      <c r="E4" s="332">
        <v>238277000</v>
      </c>
      <c r="F4" s="309">
        <f>Invoices!G27</f>
        <v>115986000</v>
      </c>
    </row>
    <row r="5" spans="1:6" x14ac:dyDescent="0.25">
      <c r="A5" s="363"/>
      <c r="B5" s="331" t="s">
        <v>11</v>
      </c>
      <c r="C5" s="365">
        <f t="shared" ref="C5:C28" si="0">D5+E5+F5</f>
        <v>163900000</v>
      </c>
      <c r="D5" s="332">
        <v>95335000</v>
      </c>
      <c r="E5" s="332">
        <v>60795000</v>
      </c>
      <c r="F5" s="309">
        <f>Invoices!H27</f>
        <v>7770000</v>
      </c>
    </row>
    <row r="6" spans="1:6" x14ac:dyDescent="0.25">
      <c r="A6" s="363"/>
      <c r="B6" s="331" t="s">
        <v>171</v>
      </c>
      <c r="C6" s="365">
        <f t="shared" si="0"/>
        <v>0</v>
      </c>
      <c r="D6" s="332">
        <v>0</v>
      </c>
      <c r="E6" s="332">
        <v>0</v>
      </c>
      <c r="F6" s="309">
        <f>Invoices!I27</f>
        <v>0</v>
      </c>
    </row>
    <row r="7" spans="1:6" x14ac:dyDescent="0.25">
      <c r="A7" s="330"/>
      <c r="B7" s="331" t="s">
        <v>67</v>
      </c>
      <c r="C7" s="365">
        <f t="shared" si="0"/>
        <v>160451000</v>
      </c>
      <c r="D7" s="332">
        <v>74550000</v>
      </c>
      <c r="E7" s="332">
        <v>42576000</v>
      </c>
      <c r="F7" s="309">
        <f>Invoices!L29</f>
        <v>43325000</v>
      </c>
    </row>
    <row r="8" spans="1:6" x14ac:dyDescent="0.25">
      <c r="A8" s="330" t="s">
        <v>68</v>
      </c>
      <c r="B8" s="331" t="s">
        <v>335</v>
      </c>
      <c r="C8" s="365">
        <f t="shared" si="0"/>
        <v>14000375</v>
      </c>
      <c r="D8" s="332">
        <v>2140000</v>
      </c>
      <c r="E8" s="332">
        <v>4250000</v>
      </c>
      <c r="F8" s="309">
        <f>Bills!J53</f>
        <v>7610375</v>
      </c>
    </row>
    <row r="9" spans="1:6" x14ac:dyDescent="0.25">
      <c r="A9" s="330"/>
      <c r="B9" s="331" t="s">
        <v>336</v>
      </c>
      <c r="C9" s="365">
        <f t="shared" si="0"/>
        <v>1580000</v>
      </c>
      <c r="D9" s="332">
        <v>460000</v>
      </c>
      <c r="E9" s="332">
        <v>280000</v>
      </c>
      <c r="F9" s="309">
        <f>Kuitansi!E115</f>
        <v>840000</v>
      </c>
    </row>
    <row r="10" spans="1:6" x14ac:dyDescent="0.25">
      <c r="A10" s="331"/>
      <c r="B10" s="331" t="s">
        <v>11</v>
      </c>
      <c r="C10" s="365">
        <f t="shared" si="0"/>
        <v>6345000</v>
      </c>
      <c r="D10" s="332">
        <v>2290000</v>
      </c>
      <c r="E10" s="332">
        <v>1090000</v>
      </c>
      <c r="F10" s="309">
        <f>Bills!N53</f>
        <v>2965000</v>
      </c>
    </row>
    <row r="11" spans="1:6" x14ac:dyDescent="0.25">
      <c r="A11" s="331" t="s">
        <v>337</v>
      </c>
      <c r="B11" s="331" t="s">
        <v>338</v>
      </c>
      <c r="C11" s="365">
        <f t="shared" si="0"/>
        <v>7337457</v>
      </c>
      <c r="D11" s="332">
        <v>5819200</v>
      </c>
      <c r="E11" s="332">
        <v>384394</v>
      </c>
      <c r="F11" s="309">
        <f>Bank!H55</f>
        <v>1133863</v>
      </c>
    </row>
    <row r="12" spans="1:6" x14ac:dyDescent="0.25">
      <c r="A12" s="331"/>
      <c r="B12" s="331" t="s">
        <v>101</v>
      </c>
      <c r="C12" s="365">
        <f t="shared" si="0"/>
        <v>20630700</v>
      </c>
      <c r="D12" s="332">
        <v>17459550</v>
      </c>
      <c r="E12" s="332">
        <v>417150</v>
      </c>
      <c r="F12" s="309">
        <f>Bank!I55</f>
        <v>2754000</v>
      </c>
    </row>
    <row r="13" spans="1:6" x14ac:dyDescent="0.25">
      <c r="A13" s="330" t="s">
        <v>71</v>
      </c>
      <c r="B13" s="331" t="s">
        <v>339</v>
      </c>
      <c r="C13" s="365">
        <f t="shared" si="0"/>
        <v>6440000</v>
      </c>
      <c r="D13" s="332">
        <v>1930000</v>
      </c>
      <c r="E13" s="332">
        <v>2120000</v>
      </c>
      <c r="F13" s="309">
        <f>OOD!H25</f>
        <v>2390000</v>
      </c>
    </row>
    <row r="14" spans="1:6" x14ac:dyDescent="0.25">
      <c r="A14" s="330"/>
      <c r="B14" s="331" t="s">
        <v>340</v>
      </c>
      <c r="C14" s="365">
        <f t="shared" si="0"/>
        <v>3175500</v>
      </c>
      <c r="D14" s="332">
        <v>736000</v>
      </c>
      <c r="E14" s="332">
        <v>2439500</v>
      </c>
      <c r="F14" s="309">
        <f>OOD!H28</f>
        <v>0</v>
      </c>
    </row>
    <row r="15" spans="1:6" x14ac:dyDescent="0.25">
      <c r="A15" s="330"/>
      <c r="B15" s="331" t="s">
        <v>341</v>
      </c>
      <c r="C15" s="365">
        <f t="shared" si="0"/>
        <v>0</v>
      </c>
      <c r="D15" s="332">
        <v>0</v>
      </c>
      <c r="E15" s="332">
        <v>0</v>
      </c>
      <c r="F15" s="309">
        <f>OOD!H26</f>
        <v>0</v>
      </c>
    </row>
    <row r="16" spans="1:6" x14ac:dyDescent="0.25">
      <c r="A16" s="330"/>
      <c r="B16" s="331" t="s">
        <v>342</v>
      </c>
      <c r="C16" s="365">
        <f t="shared" si="0"/>
        <v>0</v>
      </c>
      <c r="D16" s="332">
        <v>0</v>
      </c>
      <c r="E16" s="332">
        <v>0</v>
      </c>
      <c r="F16" s="309">
        <f>OOD!H29</f>
        <v>0</v>
      </c>
    </row>
    <row r="17" spans="1:6" x14ac:dyDescent="0.25">
      <c r="A17" s="330"/>
      <c r="B17" s="331" t="s">
        <v>343</v>
      </c>
      <c r="C17" s="365">
        <f t="shared" si="0"/>
        <v>5000000</v>
      </c>
      <c r="D17" s="332">
        <v>0</v>
      </c>
      <c r="E17" s="332">
        <v>900000</v>
      </c>
      <c r="F17" s="309">
        <f>OOD!H11</f>
        <v>4100000</v>
      </c>
    </row>
    <row r="18" spans="1:6" x14ac:dyDescent="0.25">
      <c r="A18" s="330" t="s">
        <v>415</v>
      </c>
      <c r="B18" s="331" t="s">
        <v>416</v>
      </c>
      <c r="C18" s="365">
        <f t="shared" si="0"/>
        <v>960000</v>
      </c>
      <c r="D18" s="332">
        <v>960000</v>
      </c>
      <c r="E18" s="332">
        <v>0</v>
      </c>
      <c r="F18" s="309">
        <f>Bank!R55</f>
        <v>0</v>
      </c>
    </row>
    <row r="19" spans="1:6" x14ac:dyDescent="0.25">
      <c r="A19" s="330"/>
      <c r="B19" s="331" t="s">
        <v>520</v>
      </c>
      <c r="C19" s="365">
        <f t="shared" si="0"/>
        <v>0</v>
      </c>
      <c r="D19" s="332"/>
      <c r="E19" s="332"/>
      <c r="F19" s="309"/>
    </row>
    <row r="20" spans="1:6" x14ac:dyDescent="0.25">
      <c r="A20" s="330" t="s">
        <v>309</v>
      </c>
      <c r="B20" s="331" t="s">
        <v>11</v>
      </c>
      <c r="C20" s="365">
        <f t="shared" si="0"/>
        <v>-196346</v>
      </c>
      <c r="D20" s="332">
        <v>-56284</v>
      </c>
      <c r="E20" s="332">
        <v>-86350</v>
      </c>
      <c r="F20" s="309">
        <f>Bank!C72</f>
        <v>-53712</v>
      </c>
    </row>
    <row r="21" spans="1:6" x14ac:dyDescent="0.25">
      <c r="A21" s="330"/>
      <c r="B21" s="331" t="s">
        <v>344</v>
      </c>
      <c r="C21" s="365">
        <f t="shared" si="0"/>
        <v>6506134</v>
      </c>
      <c r="D21" s="332">
        <v>2747058</v>
      </c>
      <c r="E21" s="332">
        <v>2476534</v>
      </c>
      <c r="F21" s="309">
        <f>Bank!C83</f>
        <v>1282542</v>
      </c>
    </row>
    <row r="22" spans="1:6" x14ac:dyDescent="0.25">
      <c r="A22" s="330"/>
      <c r="B22" s="331" t="s">
        <v>196</v>
      </c>
      <c r="C22" s="365">
        <f t="shared" si="0"/>
        <v>-90000</v>
      </c>
      <c r="D22" s="332">
        <v>-30000</v>
      </c>
      <c r="E22" s="332">
        <v>-30000</v>
      </c>
      <c r="F22" s="309">
        <f>Bank!C99</f>
        <v>-30000</v>
      </c>
    </row>
    <row r="23" spans="1:6" x14ac:dyDescent="0.25">
      <c r="A23" s="330"/>
      <c r="B23" s="331" t="s">
        <v>473</v>
      </c>
      <c r="C23" s="365">
        <f t="shared" si="0"/>
        <v>-115000</v>
      </c>
      <c r="D23" s="332">
        <v>-55000</v>
      </c>
      <c r="E23" s="332">
        <v>-30000</v>
      </c>
      <c r="F23" s="309">
        <f>Bank!C106</f>
        <v>-30000</v>
      </c>
    </row>
    <row r="24" spans="1:6" x14ac:dyDescent="0.25">
      <c r="A24" s="330"/>
      <c r="B24" s="331" t="s">
        <v>345</v>
      </c>
      <c r="C24" s="365">
        <f t="shared" si="0"/>
        <v>0</v>
      </c>
      <c r="D24" s="332">
        <v>0</v>
      </c>
      <c r="E24" s="332">
        <v>0</v>
      </c>
      <c r="F24" s="309">
        <v>0</v>
      </c>
    </row>
    <row r="25" spans="1:6" x14ac:dyDescent="0.25">
      <c r="A25" s="330" t="s">
        <v>563</v>
      </c>
      <c r="B25" s="333" t="s">
        <v>334</v>
      </c>
      <c r="C25" s="365">
        <f t="shared" si="0"/>
        <v>2860000</v>
      </c>
      <c r="D25" s="334"/>
      <c r="E25" s="340">
        <v>2860000</v>
      </c>
      <c r="F25" s="309">
        <v>0</v>
      </c>
    </row>
    <row r="26" spans="1:6" s="21" customFormat="1" x14ac:dyDescent="0.25">
      <c r="A26" s="362" t="s">
        <v>346</v>
      </c>
      <c r="B26" s="362"/>
      <c r="C26" s="415">
        <f t="shared" si="0"/>
        <v>1000660820</v>
      </c>
      <c r="D26" s="335">
        <f>SUM(D4:D24)</f>
        <v>451898524</v>
      </c>
      <c r="E26" s="335">
        <v>358719228</v>
      </c>
      <c r="F26" s="335">
        <f>SUM(F4:F25)</f>
        <v>190043068</v>
      </c>
    </row>
    <row r="27" spans="1:6" x14ac:dyDescent="0.25">
      <c r="A27" s="351" t="s">
        <v>347</v>
      </c>
      <c r="B27" s="334" t="s">
        <v>334</v>
      </c>
      <c r="C27" s="365">
        <f t="shared" si="0"/>
        <v>12410000</v>
      </c>
      <c r="D27" s="312">
        <f>[2]Kuitansi!F163</f>
        <v>4600000</v>
      </c>
      <c r="E27" s="312">
        <v>1500000</v>
      </c>
      <c r="F27" s="309">
        <f>Kuitansi!G112</f>
        <v>6310000</v>
      </c>
    </row>
    <row r="28" spans="1:6" x14ac:dyDescent="0.25">
      <c r="A28" s="351"/>
      <c r="B28" s="334" t="s">
        <v>11</v>
      </c>
      <c r="C28" s="365">
        <f t="shared" si="0"/>
        <v>151061000</v>
      </c>
      <c r="D28" s="312">
        <f>[2]Bank!J95</f>
        <v>60310000</v>
      </c>
      <c r="E28" s="312">
        <v>63751000</v>
      </c>
      <c r="F28" s="309">
        <f>Bank!K55</f>
        <v>27000000</v>
      </c>
    </row>
    <row r="29" spans="1:6" x14ac:dyDescent="0.25">
      <c r="A29" s="336"/>
      <c r="B29" s="337"/>
      <c r="C29" s="337"/>
      <c r="D29" s="337"/>
      <c r="E29" s="337"/>
      <c r="F29" s="338"/>
    </row>
    <row r="30" spans="1:6" x14ac:dyDescent="0.25">
      <c r="A30" s="339" t="s">
        <v>348</v>
      </c>
      <c r="B30" s="334" t="s">
        <v>349</v>
      </c>
      <c r="C30" s="365">
        <f>D30+E30+F30</f>
        <v>0</v>
      </c>
      <c r="D30" s="340">
        <v>0</v>
      </c>
      <c r="E30" s="340">
        <v>0</v>
      </c>
      <c r="F30" s="312">
        <v>0</v>
      </c>
    </row>
    <row r="31" spans="1:6" x14ac:dyDescent="0.25">
      <c r="A31" s="341" t="s">
        <v>350</v>
      </c>
      <c r="B31" s="331" t="s">
        <v>334</v>
      </c>
      <c r="C31" s="365">
        <f t="shared" ref="C31:C37" si="1">D31+E31+F31</f>
        <v>3883000</v>
      </c>
      <c r="D31" s="332">
        <v>1280000</v>
      </c>
      <c r="E31" s="332">
        <v>1703000</v>
      </c>
      <c r="F31" s="309">
        <f>-KK!Y338</f>
        <v>900000</v>
      </c>
    </row>
    <row r="32" spans="1:6" x14ac:dyDescent="0.25">
      <c r="A32" s="342" t="s">
        <v>351</v>
      </c>
      <c r="B32" s="331" t="s">
        <v>334</v>
      </c>
      <c r="C32" s="365">
        <f t="shared" si="1"/>
        <v>8789670</v>
      </c>
      <c r="D32" s="332">
        <v>0</v>
      </c>
      <c r="E32" s="332">
        <v>0</v>
      </c>
      <c r="F32" s="309">
        <f>-KK!O338</f>
        <v>8789670</v>
      </c>
    </row>
    <row r="33" spans="1:6" x14ac:dyDescent="0.25">
      <c r="A33" s="342" t="s">
        <v>352</v>
      </c>
      <c r="B33" s="331" t="s">
        <v>334</v>
      </c>
      <c r="C33" s="365">
        <f t="shared" si="1"/>
        <v>1489558</v>
      </c>
      <c r="D33" s="332">
        <v>275734</v>
      </c>
      <c r="E33" s="332">
        <v>275734</v>
      </c>
      <c r="F33" s="309">
        <f>-KK!P338</f>
        <v>938090</v>
      </c>
    </row>
    <row r="34" spans="1:6" x14ac:dyDescent="0.25">
      <c r="A34" s="342" t="s">
        <v>353</v>
      </c>
      <c r="B34" s="331" t="s">
        <v>334</v>
      </c>
      <c r="C34" s="365">
        <f t="shared" si="1"/>
        <v>20008500</v>
      </c>
      <c r="D34" s="332">
        <v>13492500</v>
      </c>
      <c r="E34" s="332">
        <v>4016000</v>
      </c>
      <c r="F34" s="309">
        <f>-KK!Q338</f>
        <v>2500000</v>
      </c>
    </row>
    <row r="35" spans="1:6" x14ac:dyDescent="0.25">
      <c r="A35" s="342" t="s">
        <v>354</v>
      </c>
      <c r="B35" s="331" t="s">
        <v>334</v>
      </c>
      <c r="C35" s="365">
        <f t="shared" si="1"/>
        <v>3042801</v>
      </c>
      <c r="D35" s="332">
        <v>1014267</v>
      </c>
      <c r="E35" s="332">
        <v>1014267</v>
      </c>
      <c r="F35" s="309">
        <f>-KK!R338</f>
        <v>1014267</v>
      </c>
    </row>
    <row r="36" spans="1:6" x14ac:dyDescent="0.25">
      <c r="A36" s="342" t="s">
        <v>355</v>
      </c>
      <c r="B36" s="331" t="s">
        <v>334</v>
      </c>
      <c r="C36" s="365">
        <f t="shared" si="1"/>
        <v>1296000</v>
      </c>
      <c r="D36" s="332">
        <v>432000</v>
      </c>
      <c r="E36" s="332">
        <v>432000</v>
      </c>
      <c r="F36" s="309">
        <f>-KK!N338</f>
        <v>432000</v>
      </c>
    </row>
    <row r="37" spans="1:6" x14ac:dyDescent="0.25">
      <c r="A37" s="342" t="s">
        <v>356</v>
      </c>
      <c r="B37" s="331" t="s">
        <v>334</v>
      </c>
      <c r="C37" s="365">
        <f t="shared" si="1"/>
        <v>160000</v>
      </c>
      <c r="D37" s="332">
        <v>60000</v>
      </c>
      <c r="E37" s="332">
        <v>0</v>
      </c>
      <c r="F37" s="309">
        <f>-KK!M338</f>
        <v>100000</v>
      </c>
    </row>
    <row r="38" spans="1:6" x14ac:dyDescent="0.25">
      <c r="A38" s="343"/>
      <c r="B38" s="344"/>
      <c r="C38" s="344"/>
      <c r="D38" s="344"/>
      <c r="E38" s="344"/>
      <c r="F38" s="338"/>
    </row>
    <row r="39" spans="1:6" x14ac:dyDescent="0.25">
      <c r="A39" s="345" t="s">
        <v>357</v>
      </c>
      <c r="B39" s="331" t="s">
        <v>11</v>
      </c>
      <c r="C39" s="365">
        <f>D39+E39+F39</f>
        <v>0</v>
      </c>
      <c r="D39" s="332"/>
      <c r="E39" s="332"/>
      <c r="F39" s="312"/>
    </row>
    <row r="40" spans="1:6" x14ac:dyDescent="0.25">
      <c r="A40" s="345" t="s">
        <v>358</v>
      </c>
      <c r="B40" s="331" t="s">
        <v>196</v>
      </c>
      <c r="C40" s="365">
        <f t="shared" ref="C40:C49" si="2">D40+E40+F40</f>
        <v>185242571</v>
      </c>
      <c r="D40" s="332">
        <v>64512917</v>
      </c>
      <c r="E40" s="332">
        <v>61766085</v>
      </c>
      <c r="F40" s="309">
        <f>-Bank!C91</f>
        <v>58963569</v>
      </c>
    </row>
    <row r="41" spans="1:6" x14ac:dyDescent="0.25">
      <c r="A41" s="345" t="s">
        <v>359</v>
      </c>
      <c r="B41" s="331" t="s">
        <v>360</v>
      </c>
      <c r="C41" s="365">
        <f t="shared" si="2"/>
        <v>10940000</v>
      </c>
      <c r="D41" s="332">
        <v>3140000</v>
      </c>
      <c r="E41" s="332">
        <v>3800000</v>
      </c>
      <c r="F41" s="309">
        <v>4000000</v>
      </c>
    </row>
    <row r="42" spans="1:6" x14ac:dyDescent="0.25">
      <c r="A42" s="346" t="s">
        <v>361</v>
      </c>
      <c r="B42" s="331" t="s">
        <v>334</v>
      </c>
      <c r="C42" s="365">
        <f t="shared" si="2"/>
        <v>7537368</v>
      </c>
      <c r="D42" s="332">
        <v>2305000</v>
      </c>
      <c r="E42" s="332">
        <v>3125000</v>
      </c>
      <c r="F42" s="309">
        <f>-KK!D343</f>
        <v>2107368</v>
      </c>
    </row>
    <row r="43" spans="1:6" x14ac:dyDescent="0.25">
      <c r="A43" s="345" t="s">
        <v>413</v>
      </c>
      <c r="B43" s="331" t="s">
        <v>334</v>
      </c>
      <c r="C43" s="365">
        <f t="shared" si="2"/>
        <v>7273722</v>
      </c>
      <c r="D43" s="332">
        <v>3811157</v>
      </c>
      <c r="E43" s="332">
        <v>3462565</v>
      </c>
      <c r="F43" s="309">
        <f>-KK!D342</f>
        <v>0</v>
      </c>
    </row>
    <row r="44" spans="1:6" x14ac:dyDescent="0.25">
      <c r="A44" s="345" t="s">
        <v>362</v>
      </c>
      <c r="B44" s="331" t="s">
        <v>334</v>
      </c>
      <c r="C44" s="365">
        <f t="shared" si="2"/>
        <v>0</v>
      </c>
      <c r="D44" s="332">
        <v>0</v>
      </c>
      <c r="E44" s="332">
        <v>0</v>
      </c>
      <c r="F44" s="309">
        <f>KK!D345</f>
        <v>0</v>
      </c>
    </row>
    <row r="45" spans="1:6" x14ac:dyDescent="0.25">
      <c r="A45" s="345" t="s">
        <v>424</v>
      </c>
      <c r="B45" s="331"/>
      <c r="C45" s="365">
        <f t="shared" si="2"/>
        <v>0</v>
      </c>
      <c r="D45" s="332"/>
      <c r="E45" s="332"/>
      <c r="F45" s="309"/>
    </row>
    <row r="46" spans="1:6" x14ac:dyDescent="0.25">
      <c r="A46" s="345" t="s">
        <v>425</v>
      </c>
      <c r="B46" s="331"/>
      <c r="C46" s="365">
        <f t="shared" si="2"/>
        <v>0</v>
      </c>
      <c r="D46" s="332"/>
      <c r="E46" s="332"/>
      <c r="F46" s="309"/>
    </row>
    <row r="47" spans="1:6" x14ac:dyDescent="0.25">
      <c r="A47" s="345" t="s">
        <v>426</v>
      </c>
      <c r="B47" s="331"/>
      <c r="C47" s="365">
        <f t="shared" si="2"/>
        <v>0</v>
      </c>
      <c r="D47" s="332"/>
      <c r="E47" s="332"/>
      <c r="F47" s="309"/>
    </row>
    <row r="48" spans="1:6" x14ac:dyDescent="0.25">
      <c r="A48" s="345" t="s">
        <v>427</v>
      </c>
      <c r="B48" s="331" t="s">
        <v>196</v>
      </c>
      <c r="C48" s="365">
        <f t="shared" si="2"/>
        <v>385095</v>
      </c>
      <c r="D48" s="332">
        <v>385095</v>
      </c>
      <c r="E48" s="332"/>
      <c r="F48" s="312"/>
    </row>
    <row r="49" spans="1:9" x14ac:dyDescent="0.25">
      <c r="A49" s="345" t="s">
        <v>1321</v>
      </c>
      <c r="B49" s="331" t="s">
        <v>434</v>
      </c>
      <c r="C49" s="365">
        <f t="shared" si="2"/>
        <v>30000000</v>
      </c>
      <c r="D49" s="332">
        <v>30000000</v>
      </c>
      <c r="E49" s="332"/>
      <c r="F49" s="312"/>
    </row>
    <row r="50" spans="1:9" x14ac:dyDescent="0.25">
      <c r="A50" s="347"/>
      <c r="B50" s="348"/>
      <c r="C50" s="348"/>
      <c r="D50" s="348"/>
      <c r="E50" s="348"/>
      <c r="F50" s="349"/>
    </row>
    <row r="51" spans="1:9" x14ac:dyDescent="0.25">
      <c r="A51" s="345" t="s">
        <v>363</v>
      </c>
      <c r="B51" s="334" t="s">
        <v>334</v>
      </c>
      <c r="C51" s="365">
        <f>D51+E51+F51</f>
        <v>13850000</v>
      </c>
      <c r="D51" s="340">
        <v>7800000</v>
      </c>
      <c r="E51" s="340">
        <v>1500000</v>
      </c>
      <c r="F51" s="309">
        <f>-KK!X338</f>
        <v>4550000</v>
      </c>
    </row>
    <row r="52" spans="1:9" x14ac:dyDescent="0.25">
      <c r="A52" s="345" t="s">
        <v>364</v>
      </c>
      <c r="B52" s="331" t="s">
        <v>334</v>
      </c>
      <c r="C52" s="365">
        <f t="shared" ref="C52:C53" si="3">D52+E52+F52</f>
        <v>2050000</v>
      </c>
      <c r="D52" s="332">
        <v>0</v>
      </c>
      <c r="E52" s="332">
        <v>2050000</v>
      </c>
      <c r="F52" s="309">
        <f>-KK!D344</f>
        <v>0</v>
      </c>
    </row>
    <row r="53" spans="1:9" x14ac:dyDescent="0.25">
      <c r="A53" s="345" t="s">
        <v>365</v>
      </c>
      <c r="B53" s="331" t="s">
        <v>334</v>
      </c>
      <c r="C53" s="365">
        <f t="shared" si="3"/>
        <v>958000</v>
      </c>
      <c r="D53" s="332">
        <v>59000</v>
      </c>
      <c r="E53" s="332">
        <v>99000</v>
      </c>
      <c r="F53" s="309">
        <f>-KK!W338</f>
        <v>800000</v>
      </c>
    </row>
    <row r="54" spans="1:9" x14ac:dyDescent="0.25">
      <c r="A54" s="359"/>
      <c r="B54" s="359"/>
      <c r="C54" s="359"/>
      <c r="D54" s="359"/>
      <c r="E54" s="359"/>
      <c r="F54" s="359"/>
      <c r="G54" s="360"/>
      <c r="H54" s="360"/>
      <c r="I54" s="360"/>
    </row>
    <row r="55" spans="1:9" x14ac:dyDescent="0.25">
      <c r="A55" s="342" t="s">
        <v>366</v>
      </c>
      <c r="B55" s="331" t="s">
        <v>334</v>
      </c>
      <c r="C55" s="365">
        <f>D55+E55+F55</f>
        <v>12513263</v>
      </c>
      <c r="D55" s="332">
        <v>5826800</v>
      </c>
      <c r="E55" s="332">
        <v>3676463</v>
      </c>
      <c r="F55" s="309">
        <f>-KK!K338</f>
        <v>3010000</v>
      </c>
    </row>
    <row r="56" spans="1:9" x14ac:dyDescent="0.25">
      <c r="A56" s="342" t="s">
        <v>367</v>
      </c>
      <c r="B56" s="331" t="s">
        <v>334</v>
      </c>
      <c r="C56" s="365">
        <f t="shared" ref="C56:C78" si="4">D56+E56+F56</f>
        <v>193937850</v>
      </c>
      <c r="D56" s="332">
        <v>85252900</v>
      </c>
      <c r="E56" s="332">
        <v>68285500</v>
      </c>
      <c r="F56" s="309">
        <f>-KK!H338</f>
        <v>40399450</v>
      </c>
    </row>
    <row r="57" spans="1:9" x14ac:dyDescent="0.25">
      <c r="A57" s="342" t="s">
        <v>368</v>
      </c>
      <c r="B57" s="331" t="s">
        <v>334</v>
      </c>
      <c r="C57" s="365">
        <f t="shared" si="4"/>
        <v>17850950</v>
      </c>
      <c r="D57" s="332">
        <v>5390550</v>
      </c>
      <c r="E57" s="332">
        <v>7306000</v>
      </c>
      <c r="F57" s="309">
        <f>-KK!I338</f>
        <v>5154400</v>
      </c>
    </row>
    <row r="58" spans="1:9" x14ac:dyDescent="0.25">
      <c r="A58" s="342" t="s">
        <v>369</v>
      </c>
      <c r="B58" s="331" t="s">
        <v>334</v>
      </c>
      <c r="C58" s="365">
        <f t="shared" si="4"/>
        <v>31615500</v>
      </c>
      <c r="D58" s="332">
        <v>13949000</v>
      </c>
      <c r="E58" s="332">
        <v>10146200</v>
      </c>
      <c r="F58" s="309">
        <f>-KK!J338</f>
        <v>7520300</v>
      </c>
    </row>
    <row r="59" spans="1:9" x14ac:dyDescent="0.25">
      <c r="A59" s="342" t="s">
        <v>370</v>
      </c>
      <c r="B59" s="331" t="s">
        <v>334</v>
      </c>
      <c r="C59" s="365">
        <f t="shared" si="4"/>
        <v>1824100</v>
      </c>
      <c r="D59" s="332">
        <v>278800</v>
      </c>
      <c r="E59" s="332">
        <v>137500</v>
      </c>
      <c r="F59" s="309">
        <f>-KK!L338</f>
        <v>1407800</v>
      </c>
    </row>
    <row r="60" spans="1:9" x14ac:dyDescent="0.25">
      <c r="A60" s="342" t="s">
        <v>371</v>
      </c>
      <c r="B60" s="331" t="s">
        <v>334</v>
      </c>
      <c r="C60" s="365">
        <f t="shared" si="4"/>
        <v>93335993</v>
      </c>
      <c r="D60" s="332">
        <v>39544610</v>
      </c>
      <c r="E60" s="332">
        <v>29765561</v>
      </c>
      <c r="F60" s="309">
        <f>-KK!S338</f>
        <v>24025822</v>
      </c>
    </row>
    <row r="61" spans="1:9" x14ac:dyDescent="0.25">
      <c r="A61" s="342" t="s">
        <v>372</v>
      </c>
      <c r="B61" s="331" t="s">
        <v>334</v>
      </c>
      <c r="C61" s="365">
        <f t="shared" si="4"/>
        <v>189325</v>
      </c>
      <c r="D61" s="332">
        <v>61166</v>
      </c>
      <c r="E61" s="332">
        <v>64773</v>
      </c>
      <c r="F61" s="309">
        <f>-KK!V338</f>
        <v>63386</v>
      </c>
    </row>
    <row r="62" spans="1:9" x14ac:dyDescent="0.25">
      <c r="A62" s="342" t="s">
        <v>373</v>
      </c>
      <c r="B62" s="331" t="s">
        <v>334</v>
      </c>
      <c r="C62" s="365">
        <f t="shared" si="4"/>
        <v>1705800</v>
      </c>
      <c r="D62" s="332">
        <v>568600</v>
      </c>
      <c r="E62" s="332">
        <v>568600</v>
      </c>
      <c r="F62" s="309">
        <f>-KK!T338</f>
        <v>568600</v>
      </c>
    </row>
    <row r="63" spans="1:9" x14ac:dyDescent="0.25">
      <c r="A63" s="342" t="s">
        <v>374</v>
      </c>
      <c r="B63" s="331" t="s">
        <v>334</v>
      </c>
      <c r="C63" s="365">
        <f t="shared" si="4"/>
        <v>3745500</v>
      </c>
      <c r="D63" s="332">
        <v>1497800</v>
      </c>
      <c r="E63" s="332">
        <v>1125850</v>
      </c>
      <c r="F63" s="309">
        <f>-KK!Z338</f>
        <v>1121850</v>
      </c>
    </row>
    <row r="64" spans="1:9" x14ac:dyDescent="0.25">
      <c r="A64" s="342" t="s">
        <v>375</v>
      </c>
      <c r="B64" s="331" t="s">
        <v>334</v>
      </c>
      <c r="C64" s="365">
        <f t="shared" si="4"/>
        <v>6650679</v>
      </c>
      <c r="D64" s="332">
        <v>2085503</v>
      </c>
      <c r="E64" s="332">
        <v>2282588</v>
      </c>
      <c r="F64" s="309">
        <f>-KK!AA338</f>
        <v>2282588</v>
      </c>
    </row>
    <row r="65" spans="1:9" x14ac:dyDescent="0.25">
      <c r="A65" s="342" t="s">
        <v>376</v>
      </c>
      <c r="B65" s="331" t="s">
        <v>334</v>
      </c>
      <c r="C65" s="365">
        <f t="shared" si="4"/>
        <v>700000</v>
      </c>
      <c r="D65" s="332">
        <v>300000</v>
      </c>
      <c r="E65" s="332">
        <v>100000</v>
      </c>
      <c r="F65" s="309">
        <f>-KK!AI338</f>
        <v>300000</v>
      </c>
    </row>
    <row r="66" spans="1:9" x14ac:dyDescent="0.25">
      <c r="A66" s="342" t="s">
        <v>377</v>
      </c>
      <c r="B66" s="331" t="s">
        <v>334</v>
      </c>
      <c r="C66" s="365">
        <f t="shared" si="4"/>
        <v>1572350</v>
      </c>
      <c r="D66" s="332">
        <v>383000</v>
      </c>
      <c r="E66" s="332">
        <v>356200</v>
      </c>
      <c r="F66" s="309">
        <f>-KK!AB338</f>
        <v>833150</v>
      </c>
    </row>
    <row r="67" spans="1:9" x14ac:dyDescent="0.25">
      <c r="A67" s="342" t="s">
        <v>378</v>
      </c>
      <c r="B67" s="331" t="s">
        <v>334</v>
      </c>
      <c r="C67" s="365">
        <f t="shared" si="4"/>
        <v>5250000</v>
      </c>
      <c r="D67" s="332">
        <v>1750000</v>
      </c>
      <c r="E67" s="332">
        <v>1750000</v>
      </c>
      <c r="F67" s="309">
        <f>-KK!AC338</f>
        <v>1750000</v>
      </c>
    </row>
    <row r="68" spans="1:9" x14ac:dyDescent="0.25">
      <c r="A68" s="342" t="s">
        <v>379</v>
      </c>
      <c r="B68" s="331" t="s">
        <v>334</v>
      </c>
      <c r="C68" s="365">
        <f t="shared" si="4"/>
        <v>1215478</v>
      </c>
      <c r="D68" s="332">
        <v>290500</v>
      </c>
      <c r="E68" s="332">
        <v>334508</v>
      </c>
      <c r="F68" s="309">
        <f>-KK!AJ338</f>
        <v>590470</v>
      </c>
    </row>
    <row r="69" spans="1:9" x14ac:dyDescent="0.25">
      <c r="A69" s="342" t="s">
        <v>414</v>
      </c>
      <c r="B69" s="331" t="s">
        <v>334</v>
      </c>
      <c r="C69" s="365">
        <f t="shared" si="4"/>
        <v>1214510</v>
      </c>
      <c r="D69" s="332">
        <v>0</v>
      </c>
      <c r="E69" s="332">
        <v>0</v>
      </c>
      <c r="F69" s="309">
        <f>-KK!AK338</f>
        <v>1214510</v>
      </c>
    </row>
    <row r="70" spans="1:9" x14ac:dyDescent="0.25">
      <c r="A70" s="342" t="s">
        <v>554</v>
      </c>
      <c r="B70" s="331" t="s">
        <v>334</v>
      </c>
      <c r="C70" s="365">
        <f t="shared" si="4"/>
        <v>7170000</v>
      </c>
      <c r="D70" s="332"/>
      <c r="E70" s="332">
        <v>7170000</v>
      </c>
      <c r="F70" s="350"/>
    </row>
    <row r="71" spans="1:9" x14ac:dyDescent="0.25">
      <c r="A71" s="342"/>
      <c r="B71" s="331" t="s">
        <v>11</v>
      </c>
      <c r="C71" s="365">
        <f t="shared" si="4"/>
        <v>21650000</v>
      </c>
      <c r="D71" s="332"/>
      <c r="E71" s="332">
        <v>21650000</v>
      </c>
      <c r="F71" s="350">
        <f>-Bank!C71</f>
        <v>0</v>
      </c>
    </row>
    <row r="72" spans="1:9" x14ac:dyDescent="0.25">
      <c r="A72" s="342" t="s">
        <v>1307</v>
      </c>
      <c r="B72" s="331" t="s">
        <v>334</v>
      </c>
      <c r="C72" s="365">
        <f t="shared" si="4"/>
        <v>11841600</v>
      </c>
      <c r="D72" s="332"/>
      <c r="E72" s="332"/>
      <c r="F72" s="350">
        <f>-KK!E338</f>
        <v>11841600</v>
      </c>
    </row>
    <row r="73" spans="1:9" x14ac:dyDescent="0.25">
      <c r="A73" s="342"/>
      <c r="B73" s="331" t="s">
        <v>196</v>
      </c>
      <c r="C73" s="365">
        <f t="shared" si="4"/>
        <v>3625000</v>
      </c>
      <c r="D73" s="332"/>
      <c r="E73" s="332"/>
      <c r="F73" s="350">
        <v>3625000</v>
      </c>
    </row>
    <row r="74" spans="1:9" x14ac:dyDescent="0.25">
      <c r="A74" s="342" t="s">
        <v>571</v>
      </c>
      <c r="B74" s="331" t="s">
        <v>334</v>
      </c>
      <c r="C74" s="365">
        <f t="shared" si="4"/>
        <v>22137450</v>
      </c>
      <c r="D74" s="332"/>
      <c r="E74" s="332">
        <v>22137450</v>
      </c>
      <c r="F74" s="350">
        <f>-KK!F338</f>
        <v>0</v>
      </c>
    </row>
    <row r="75" spans="1:9" x14ac:dyDescent="0.25">
      <c r="A75" s="331" t="s">
        <v>380</v>
      </c>
      <c r="B75" s="331" t="s">
        <v>334</v>
      </c>
      <c r="C75" s="365">
        <f t="shared" si="4"/>
        <v>68559076</v>
      </c>
      <c r="D75" s="332">
        <v>36244000</v>
      </c>
      <c r="E75" s="332">
        <v>10247818</v>
      </c>
      <c r="F75" s="309">
        <f>-KK!AF338</f>
        <v>22067258</v>
      </c>
    </row>
    <row r="76" spans="1:9" x14ac:dyDescent="0.25">
      <c r="A76" s="331"/>
      <c r="B76" s="331" t="s">
        <v>11</v>
      </c>
      <c r="C76" s="365">
        <f t="shared" si="4"/>
        <v>16892746</v>
      </c>
      <c r="D76" s="332">
        <v>3100000</v>
      </c>
      <c r="E76" s="332">
        <v>1742320</v>
      </c>
      <c r="F76" s="309">
        <f>-Bank!M55</f>
        <v>12050426</v>
      </c>
    </row>
    <row r="77" spans="1:9" x14ac:dyDescent="0.25">
      <c r="A77" s="331" t="s">
        <v>381</v>
      </c>
      <c r="B77" s="331" t="s">
        <v>334</v>
      </c>
      <c r="C77" s="365">
        <f t="shared" si="4"/>
        <v>269524900</v>
      </c>
      <c r="D77" s="332">
        <v>116553700</v>
      </c>
      <c r="E77" s="332">
        <v>97942400</v>
      </c>
      <c r="F77" s="309">
        <f>-KK!AG338</f>
        <v>55028800</v>
      </c>
    </row>
    <row r="78" spans="1:9" x14ac:dyDescent="0.25">
      <c r="A78" s="331"/>
      <c r="B78" s="331" t="s">
        <v>11</v>
      </c>
      <c r="C78" s="365">
        <f t="shared" si="4"/>
        <v>34802051</v>
      </c>
      <c r="D78" s="332">
        <v>0</v>
      </c>
      <c r="E78" s="332">
        <v>34802051</v>
      </c>
      <c r="F78" s="309">
        <f>-Bank!O55</f>
        <v>0</v>
      </c>
    </row>
    <row r="79" spans="1:9" x14ac:dyDescent="0.25">
      <c r="A79" s="359"/>
      <c r="B79" s="359"/>
      <c r="C79" s="359"/>
      <c r="D79" s="359"/>
      <c r="E79" s="359"/>
      <c r="F79" s="359"/>
      <c r="G79" s="360"/>
      <c r="H79" s="360"/>
      <c r="I79" s="360"/>
    </row>
    <row r="80" spans="1:9" x14ac:dyDescent="0.25">
      <c r="A80" s="331" t="s">
        <v>382</v>
      </c>
      <c r="B80" s="334" t="s">
        <v>11</v>
      </c>
      <c r="C80" s="365">
        <f>D80+E80+F80</f>
        <v>187150000</v>
      </c>
      <c r="D80" s="340">
        <v>90000000</v>
      </c>
      <c r="E80" s="340">
        <v>82150000</v>
      </c>
      <c r="F80" s="309">
        <f>-Cashflow!D502</f>
        <v>15000000</v>
      </c>
    </row>
    <row r="81" spans="1:6" x14ac:dyDescent="0.25">
      <c r="A81" s="331"/>
      <c r="B81" s="334" t="s">
        <v>344</v>
      </c>
      <c r="C81" s="365">
        <f t="shared" ref="C81:C101" si="5">D81+E81+F81</f>
        <v>20000000</v>
      </c>
      <c r="D81" s="340"/>
      <c r="E81" s="340"/>
      <c r="F81" s="309">
        <v>20000000</v>
      </c>
    </row>
    <row r="82" spans="1:6" x14ac:dyDescent="0.25">
      <c r="A82" s="331"/>
      <c r="B82" s="334" t="s">
        <v>196</v>
      </c>
      <c r="C82" s="365">
        <f t="shared" si="5"/>
        <v>80000000</v>
      </c>
      <c r="D82" s="340">
        <v>30000000</v>
      </c>
      <c r="E82" s="340">
        <v>50000000</v>
      </c>
      <c r="F82" s="309">
        <v>0</v>
      </c>
    </row>
    <row r="83" spans="1:6" x14ac:dyDescent="0.25">
      <c r="A83" s="331"/>
      <c r="B83" s="334" t="s">
        <v>473</v>
      </c>
      <c r="C83" s="365">
        <f t="shared" si="5"/>
        <v>2000000</v>
      </c>
      <c r="D83" s="340">
        <v>2000000</v>
      </c>
      <c r="E83" s="340">
        <v>0</v>
      </c>
      <c r="F83" s="309">
        <v>0</v>
      </c>
    </row>
    <row r="84" spans="1:6" x14ac:dyDescent="0.25">
      <c r="A84" s="339" t="s">
        <v>383</v>
      </c>
      <c r="B84" s="334" t="s">
        <v>196</v>
      </c>
      <c r="C84" s="365">
        <f t="shared" si="5"/>
        <v>18354972</v>
      </c>
      <c r="D84" s="340">
        <v>6208187</v>
      </c>
      <c r="E84" s="340">
        <v>6580240</v>
      </c>
      <c r="F84" s="309">
        <f>-Bank!C92</f>
        <v>5566545</v>
      </c>
    </row>
    <row r="85" spans="1:6" x14ac:dyDescent="0.25">
      <c r="A85" s="331" t="s">
        <v>384</v>
      </c>
      <c r="B85" s="351" t="s">
        <v>11</v>
      </c>
      <c r="C85" s="365">
        <f t="shared" si="5"/>
        <v>30000000</v>
      </c>
      <c r="D85" s="352"/>
      <c r="E85" s="352">
        <v>30000000</v>
      </c>
      <c r="F85" s="309">
        <f>-Bank!C63</f>
        <v>0</v>
      </c>
    </row>
    <row r="86" spans="1:6" x14ac:dyDescent="0.25">
      <c r="A86" s="334" t="s">
        <v>385</v>
      </c>
      <c r="B86" s="351" t="s">
        <v>11</v>
      </c>
      <c r="C86" s="365">
        <f t="shared" si="5"/>
        <v>0</v>
      </c>
      <c r="D86" s="352"/>
      <c r="E86" s="352"/>
      <c r="F86" s="312"/>
    </row>
    <row r="87" spans="1:6" x14ac:dyDescent="0.25">
      <c r="A87" s="334" t="s">
        <v>386</v>
      </c>
      <c r="B87" s="351" t="s">
        <v>11</v>
      </c>
      <c r="C87" s="365">
        <f t="shared" si="5"/>
        <v>0</v>
      </c>
      <c r="D87" s="352">
        <v>0</v>
      </c>
      <c r="E87" s="352">
        <v>0</v>
      </c>
      <c r="F87" s="312">
        <v>0</v>
      </c>
    </row>
    <row r="88" spans="1:6" x14ac:dyDescent="0.25">
      <c r="A88" s="334" t="s">
        <v>387</v>
      </c>
      <c r="B88" s="351" t="s">
        <v>11</v>
      </c>
      <c r="C88" s="365">
        <f t="shared" si="5"/>
        <v>0</v>
      </c>
      <c r="D88" s="352">
        <v>0</v>
      </c>
      <c r="E88" s="352">
        <v>0</v>
      </c>
      <c r="F88" s="312">
        <v>0</v>
      </c>
    </row>
    <row r="89" spans="1:6" x14ac:dyDescent="0.25">
      <c r="A89" s="334" t="s">
        <v>388</v>
      </c>
      <c r="B89" s="351" t="s">
        <v>389</v>
      </c>
      <c r="C89" s="365">
        <f t="shared" si="5"/>
        <v>10000000</v>
      </c>
      <c r="D89" s="352">
        <v>10000000</v>
      </c>
      <c r="E89" s="352">
        <v>0</v>
      </c>
      <c r="F89" s="312">
        <v>0</v>
      </c>
    </row>
    <row r="90" spans="1:6" x14ac:dyDescent="0.25">
      <c r="A90" s="334" t="s">
        <v>390</v>
      </c>
      <c r="B90" s="351" t="s">
        <v>391</v>
      </c>
      <c r="C90" s="365">
        <f t="shared" si="5"/>
        <v>0</v>
      </c>
      <c r="D90" s="352">
        <v>0</v>
      </c>
      <c r="E90" s="352">
        <v>0</v>
      </c>
      <c r="F90" s="312">
        <v>0</v>
      </c>
    </row>
    <row r="91" spans="1:6" x14ac:dyDescent="0.25">
      <c r="A91" s="331" t="s">
        <v>392</v>
      </c>
      <c r="B91" s="351" t="s">
        <v>11</v>
      </c>
      <c r="C91" s="365">
        <f t="shared" si="5"/>
        <v>0</v>
      </c>
      <c r="D91" s="352"/>
      <c r="E91" s="352"/>
      <c r="F91" s="312"/>
    </row>
    <row r="92" spans="1:6" x14ac:dyDescent="0.25">
      <c r="A92" s="317"/>
      <c r="B92" s="353"/>
      <c r="C92" s="365">
        <f t="shared" si="5"/>
        <v>0</v>
      </c>
      <c r="D92" s="354"/>
      <c r="E92" s="354"/>
      <c r="F92" s="312"/>
    </row>
    <row r="93" spans="1:6" x14ac:dyDescent="0.25">
      <c r="A93" s="331" t="s">
        <v>393</v>
      </c>
      <c r="B93" s="342" t="s">
        <v>118</v>
      </c>
      <c r="C93" s="365">
        <f t="shared" si="5"/>
        <v>0</v>
      </c>
      <c r="D93" s="355"/>
      <c r="E93" s="355"/>
      <c r="F93" s="312"/>
    </row>
    <row r="94" spans="1:6" x14ac:dyDescent="0.25">
      <c r="A94" s="331" t="s">
        <v>1265</v>
      </c>
      <c r="B94" s="342"/>
      <c r="C94" s="365">
        <f t="shared" si="5"/>
        <v>500000000</v>
      </c>
      <c r="D94" s="355"/>
      <c r="E94" s="355"/>
      <c r="F94" s="312">
        <f>Cashflow!E495</f>
        <v>500000000</v>
      </c>
    </row>
    <row r="95" spans="1:6" x14ac:dyDescent="0.25">
      <c r="A95" s="331" t="s">
        <v>1266</v>
      </c>
      <c r="B95" s="342"/>
      <c r="C95" s="365">
        <f t="shared" si="5"/>
        <v>190000000</v>
      </c>
      <c r="D95" s="355"/>
      <c r="E95" s="355"/>
      <c r="F95" s="312">
        <f>Cashflow!E496+Cashflow!E497</f>
        <v>190000000</v>
      </c>
    </row>
    <row r="96" spans="1:6" x14ac:dyDescent="0.25">
      <c r="A96" s="331" t="s">
        <v>1267</v>
      </c>
      <c r="B96" s="342"/>
      <c r="C96" s="365">
        <f t="shared" si="5"/>
        <v>400000000</v>
      </c>
      <c r="D96" s="355"/>
      <c r="E96" s="355"/>
      <c r="F96" s="312">
        <f>Cashflow!F498</f>
        <v>400000000</v>
      </c>
    </row>
    <row r="97" spans="1:9" x14ac:dyDescent="0.25">
      <c r="A97" s="331" t="s">
        <v>570</v>
      </c>
      <c r="B97" s="342" t="s">
        <v>574</v>
      </c>
      <c r="C97" s="365">
        <f t="shared" si="5"/>
        <v>0</v>
      </c>
      <c r="D97" s="355"/>
      <c r="E97" s="355"/>
      <c r="F97" s="309"/>
    </row>
    <row r="98" spans="1:9" x14ac:dyDescent="0.25">
      <c r="A98" s="331" t="s">
        <v>394</v>
      </c>
      <c r="B98" s="342" t="s">
        <v>395</v>
      </c>
      <c r="C98" s="365">
        <f t="shared" si="5"/>
        <v>0</v>
      </c>
      <c r="D98" s="355"/>
      <c r="E98" s="355"/>
      <c r="F98" s="312"/>
    </row>
    <row r="99" spans="1:9" x14ac:dyDescent="0.25">
      <c r="A99" s="331"/>
      <c r="B99" s="342" t="s">
        <v>396</v>
      </c>
      <c r="C99" s="365">
        <f t="shared" si="5"/>
        <v>0</v>
      </c>
      <c r="D99" s="355"/>
      <c r="E99" s="355"/>
      <c r="F99" s="312"/>
    </row>
    <row r="100" spans="1:9" x14ac:dyDescent="0.25">
      <c r="A100" s="331" t="s">
        <v>1317</v>
      </c>
      <c r="B100" s="342" t="s">
        <v>118</v>
      </c>
      <c r="C100" s="365">
        <f t="shared" si="5"/>
        <v>315000000</v>
      </c>
      <c r="D100" s="355"/>
      <c r="E100" s="355"/>
      <c r="F100" s="312">
        <f>-Bank!C81+-Bank!C82</f>
        <v>315000000</v>
      </c>
    </row>
    <row r="101" spans="1:9" x14ac:dyDescent="0.25">
      <c r="A101" s="331"/>
      <c r="B101" s="342" t="s">
        <v>196</v>
      </c>
      <c r="C101" s="365">
        <f t="shared" si="5"/>
        <v>547500000</v>
      </c>
      <c r="D101" s="355"/>
      <c r="E101" s="355"/>
      <c r="F101" s="312">
        <f>-Bank!C95+-Bank!C96+-Bank!C97</f>
        <v>547500000</v>
      </c>
    </row>
    <row r="102" spans="1:9" x14ac:dyDescent="0.25">
      <c r="A102" s="361"/>
      <c r="B102" s="361"/>
      <c r="C102" s="361"/>
      <c r="D102" s="361"/>
      <c r="E102" s="361"/>
      <c r="F102" s="361"/>
      <c r="G102" s="493"/>
      <c r="H102" s="493"/>
      <c r="I102" s="493"/>
    </row>
    <row r="103" spans="1:9" x14ac:dyDescent="0.25">
      <c r="A103" s="342" t="s">
        <v>397</v>
      </c>
      <c r="B103" s="361"/>
      <c r="C103" s="361"/>
      <c r="D103" s="361"/>
      <c r="E103" s="361"/>
      <c r="F103" s="361"/>
      <c r="G103" s="493"/>
      <c r="H103" s="493"/>
      <c r="I103" s="493"/>
    </row>
    <row r="104" spans="1:9" x14ac:dyDescent="0.25">
      <c r="A104" s="342" t="s">
        <v>398</v>
      </c>
      <c r="B104" s="356" t="s">
        <v>334</v>
      </c>
      <c r="C104" s="365">
        <f>D104+E104+F104</f>
        <v>105700000</v>
      </c>
      <c r="D104" s="357">
        <v>47400000</v>
      </c>
      <c r="E104" s="357">
        <v>30000000</v>
      </c>
      <c r="F104" s="309">
        <f>Kuitansi!J112</f>
        <v>28300000</v>
      </c>
    </row>
    <row r="105" spans="1:9" x14ac:dyDescent="0.25">
      <c r="A105" s="342" t="s">
        <v>399</v>
      </c>
      <c r="B105" s="356" t="s">
        <v>334</v>
      </c>
      <c r="C105" s="365">
        <f t="shared" ref="C105:C110" si="6">D105+E105+F105</f>
        <v>23753875</v>
      </c>
      <c r="D105" s="357">
        <v>9179404</v>
      </c>
      <c r="E105" s="357">
        <v>8572054</v>
      </c>
      <c r="F105" s="309">
        <f>-KK!AE338</f>
        <v>6002417</v>
      </c>
    </row>
    <row r="106" spans="1:9" x14ac:dyDescent="0.25">
      <c r="A106" s="342"/>
      <c r="B106" s="356" t="s">
        <v>401</v>
      </c>
      <c r="C106" s="365">
        <f t="shared" si="6"/>
        <v>0</v>
      </c>
      <c r="D106" s="357"/>
      <c r="E106" s="357">
        <v>0</v>
      </c>
      <c r="F106" s="309">
        <v>0</v>
      </c>
    </row>
    <row r="107" spans="1:9" x14ac:dyDescent="0.25">
      <c r="A107" s="331" t="s">
        <v>400</v>
      </c>
      <c r="B107" s="356" t="s">
        <v>334</v>
      </c>
      <c r="C107" s="365">
        <f t="shared" si="6"/>
        <v>33069380</v>
      </c>
      <c r="D107" s="357">
        <v>21181830</v>
      </c>
      <c r="E107" s="357">
        <v>7646000</v>
      </c>
      <c r="F107" s="309">
        <f>-KK!AD338</f>
        <v>4241550</v>
      </c>
    </row>
    <row r="108" spans="1:9" x14ac:dyDescent="0.25">
      <c r="A108" s="331"/>
      <c r="B108" s="275" t="s">
        <v>401</v>
      </c>
      <c r="C108" s="365">
        <f t="shared" si="6"/>
        <v>0</v>
      </c>
      <c r="D108" s="358">
        <v>0</v>
      </c>
      <c r="E108" s="358"/>
      <c r="F108" s="309"/>
    </row>
    <row r="109" spans="1:9" x14ac:dyDescent="0.25">
      <c r="A109" s="351" t="s">
        <v>402</v>
      </c>
      <c r="B109" s="356" t="s">
        <v>334</v>
      </c>
      <c r="C109" s="365">
        <f t="shared" si="6"/>
        <v>6800000</v>
      </c>
      <c r="D109" s="357">
        <v>3800000</v>
      </c>
      <c r="E109" s="357">
        <v>3000000</v>
      </c>
      <c r="F109" s="309">
        <f>-KK!AH338</f>
        <v>0</v>
      </c>
    </row>
    <row r="110" spans="1:9" x14ac:dyDescent="0.25">
      <c r="A110" s="351"/>
      <c r="B110" s="356" t="s">
        <v>403</v>
      </c>
      <c r="C110" s="365">
        <f t="shared" si="6"/>
        <v>0</v>
      </c>
      <c r="D110" s="357">
        <v>0</v>
      </c>
      <c r="E110" s="357">
        <v>0</v>
      </c>
      <c r="F110" s="312">
        <f>Bank!P55</f>
        <v>0</v>
      </c>
    </row>
  </sheetData>
  <mergeCells count="1">
    <mergeCell ref="G102:I103"/>
  </mergeCells>
  <pageMargins left="0.70866141732283472" right="0.70866141732283472" top="0.35433070866141736" bottom="0.35433070866141736" header="0.31496062992125984" footer="0.31496062992125984"/>
  <pageSetup paperSize="9" scale="49"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96"/>
  <sheetViews>
    <sheetView topLeftCell="A28" workbookViewId="0">
      <selection activeCell="D37" sqref="D37"/>
    </sheetView>
  </sheetViews>
  <sheetFormatPr defaultRowHeight="15" x14ac:dyDescent="0.25"/>
  <cols>
    <col min="1" max="1" width="27.7109375" customWidth="1"/>
    <col min="2" max="2" width="14.28515625" style="225" bestFit="1" customWidth="1"/>
    <col min="3" max="3" width="23.42578125" style="56" customWidth="1"/>
    <col min="4" max="4" width="15.28515625" style="225" bestFit="1" customWidth="1"/>
    <col min="5" max="5" width="27.28515625" style="56" customWidth="1"/>
    <col min="6" max="6" width="12.5703125" bestFit="1" customWidth="1"/>
  </cols>
  <sheetData>
    <row r="1" spans="1:5" ht="18.75" x14ac:dyDescent="0.3">
      <c r="A1" s="214" t="s">
        <v>474</v>
      </c>
    </row>
    <row r="2" spans="1:5" ht="18.75" x14ac:dyDescent="0.3">
      <c r="A2" s="214"/>
    </row>
    <row r="3" spans="1:5" s="273" customFormat="1" ht="15.75" x14ac:dyDescent="0.25">
      <c r="B3" s="274" t="s">
        <v>476</v>
      </c>
      <c r="C3" s="273" t="s">
        <v>475</v>
      </c>
      <c r="D3" s="274" t="s">
        <v>477</v>
      </c>
      <c r="E3" s="273" t="s">
        <v>478</v>
      </c>
    </row>
    <row r="4" spans="1:5" x14ac:dyDescent="0.25">
      <c r="A4" s="317" t="s">
        <v>66</v>
      </c>
      <c r="B4" s="309">
        <f>'Jur-kum'!C4</f>
        <v>601876000</v>
      </c>
      <c r="C4" s="310" t="s">
        <v>334</v>
      </c>
      <c r="D4" s="313">
        <f>SUM(B4:B6)</f>
        <v>926227000</v>
      </c>
      <c r="E4" s="494" t="s">
        <v>66</v>
      </c>
    </row>
    <row r="5" spans="1:5" x14ac:dyDescent="0.25">
      <c r="A5" s="317"/>
      <c r="B5" s="309">
        <f>'Jur-kum'!C5</f>
        <v>163900000</v>
      </c>
      <c r="C5" s="310" t="s">
        <v>11</v>
      </c>
      <c r="D5" s="313"/>
      <c r="E5" s="494"/>
    </row>
    <row r="6" spans="1:5" x14ac:dyDescent="0.25">
      <c r="A6" s="317"/>
      <c r="B6" s="309">
        <f>'Jur-kum'!C7</f>
        <v>160451000</v>
      </c>
      <c r="C6" s="310" t="s">
        <v>67</v>
      </c>
      <c r="D6" s="313"/>
      <c r="E6" s="494"/>
    </row>
    <row r="7" spans="1:5" x14ac:dyDescent="0.25">
      <c r="A7" s="317" t="s">
        <v>68</v>
      </c>
      <c r="B7" s="309">
        <f>'Jur-kum'!C8+'Jur-kum'!C9</f>
        <v>15580375</v>
      </c>
      <c r="C7" s="310" t="s">
        <v>334</v>
      </c>
      <c r="D7" s="313">
        <f>SUM(B7:B8)</f>
        <v>21925375</v>
      </c>
      <c r="E7" s="494" t="s">
        <v>68</v>
      </c>
    </row>
    <row r="8" spans="1:5" x14ac:dyDescent="0.25">
      <c r="A8" s="317"/>
      <c r="B8" s="309">
        <f>'Jur-kum'!C10</f>
        <v>6345000</v>
      </c>
      <c r="C8" s="310" t="s">
        <v>11</v>
      </c>
      <c r="D8" s="313"/>
      <c r="E8" s="494"/>
    </row>
    <row r="9" spans="1:5" x14ac:dyDescent="0.25">
      <c r="A9" s="317" t="s">
        <v>70</v>
      </c>
      <c r="B9" s="495">
        <f>SUM(D9:D10)</f>
        <v>27968157</v>
      </c>
      <c r="C9" s="494" t="s">
        <v>11</v>
      </c>
      <c r="D9" s="312">
        <f>'Jur-kum'!C12</f>
        <v>20630700</v>
      </c>
      <c r="E9" s="310" t="s">
        <v>101</v>
      </c>
    </row>
    <row r="10" spans="1:5" x14ac:dyDescent="0.25">
      <c r="A10" s="317"/>
      <c r="B10" s="495"/>
      <c r="C10" s="494"/>
      <c r="D10" s="312">
        <f>'Jur-kum'!C11</f>
        <v>7337457</v>
      </c>
      <c r="E10" s="310" t="s">
        <v>102</v>
      </c>
    </row>
    <row r="11" spans="1:5" ht="15.75" x14ac:dyDescent="0.25">
      <c r="A11" s="317" t="s">
        <v>71</v>
      </c>
      <c r="B11" s="309">
        <f>'Jur-kum'!C13</f>
        <v>6440000</v>
      </c>
      <c r="C11" s="494" t="s">
        <v>334</v>
      </c>
      <c r="D11" s="498">
        <f>SUM(B11:B16)</f>
        <v>15575500</v>
      </c>
      <c r="E11" s="318" t="s">
        <v>339</v>
      </c>
    </row>
    <row r="12" spans="1:5" ht="15.75" x14ac:dyDescent="0.25">
      <c r="A12" s="317"/>
      <c r="B12" s="309">
        <f>'Jur-kum'!C14</f>
        <v>3175500</v>
      </c>
      <c r="C12" s="494"/>
      <c r="D12" s="498"/>
      <c r="E12" s="318" t="s">
        <v>340</v>
      </c>
    </row>
    <row r="13" spans="1:5" ht="15.75" x14ac:dyDescent="0.25">
      <c r="A13" s="317"/>
      <c r="B13" s="309">
        <f>'Jur-kum'!F15</f>
        <v>0</v>
      </c>
      <c r="C13" s="494"/>
      <c r="D13" s="498"/>
      <c r="E13" s="318" t="s">
        <v>341</v>
      </c>
    </row>
    <row r="14" spans="1:5" ht="15.75" x14ac:dyDescent="0.25">
      <c r="A14" s="317"/>
      <c r="B14" s="309">
        <f>'Jur-kum'!F16</f>
        <v>0</v>
      </c>
      <c r="C14" s="494"/>
      <c r="D14" s="498"/>
      <c r="E14" s="318" t="s">
        <v>342</v>
      </c>
    </row>
    <row r="15" spans="1:5" ht="15.75" x14ac:dyDescent="0.25">
      <c r="A15" s="317"/>
      <c r="B15" s="309">
        <f>'Jur-kum'!C17</f>
        <v>5000000</v>
      </c>
      <c r="C15" s="494"/>
      <c r="D15" s="498"/>
      <c r="E15" s="318" t="s">
        <v>343</v>
      </c>
    </row>
    <row r="16" spans="1:5" ht="15.75" x14ac:dyDescent="0.25">
      <c r="A16" s="317"/>
      <c r="B16" s="309">
        <v>960000</v>
      </c>
      <c r="C16" s="324" t="s">
        <v>11</v>
      </c>
      <c r="D16" s="498"/>
      <c r="E16" s="318" t="s">
        <v>587</v>
      </c>
    </row>
    <row r="17" spans="1:6" x14ac:dyDescent="0.25">
      <c r="A17" s="317" t="s">
        <v>479</v>
      </c>
      <c r="B17" s="309">
        <f>'Jur-kum'!C20</f>
        <v>-196346</v>
      </c>
      <c r="C17" s="311" t="s">
        <v>11</v>
      </c>
      <c r="D17" s="496">
        <f>SUM(B17:B21)</f>
        <v>6104788</v>
      </c>
      <c r="E17" s="494" t="s">
        <v>480</v>
      </c>
      <c r="F17" s="276"/>
    </row>
    <row r="18" spans="1:6" x14ac:dyDescent="0.25">
      <c r="A18" s="317"/>
      <c r="B18" s="309">
        <f>'Jur-kum'!C21</f>
        <v>6506134</v>
      </c>
      <c r="C18" s="311" t="s">
        <v>344</v>
      </c>
      <c r="D18" s="496"/>
      <c r="E18" s="494"/>
    </row>
    <row r="19" spans="1:6" x14ac:dyDescent="0.25">
      <c r="A19" s="317"/>
      <c r="B19" s="309">
        <f>'Jur-kum'!C22</f>
        <v>-90000</v>
      </c>
      <c r="C19" s="311" t="s">
        <v>434</v>
      </c>
      <c r="D19" s="496"/>
      <c r="E19" s="494"/>
    </row>
    <row r="20" spans="1:6" x14ac:dyDescent="0.25">
      <c r="A20" s="317"/>
      <c r="B20" s="309">
        <f>'Jur-kum'!C23</f>
        <v>-115000</v>
      </c>
      <c r="C20" s="311" t="s">
        <v>473</v>
      </c>
      <c r="D20" s="496"/>
      <c r="E20" s="494"/>
    </row>
    <row r="21" spans="1:6" x14ac:dyDescent="0.25">
      <c r="A21" s="317"/>
      <c r="B21" s="309">
        <f>'Jur-kum'!F24</f>
        <v>0</v>
      </c>
      <c r="C21" s="311" t="s">
        <v>349</v>
      </c>
      <c r="D21" s="496"/>
      <c r="E21" s="494"/>
      <c r="F21" s="276"/>
    </row>
    <row r="22" spans="1:6" x14ac:dyDescent="0.25">
      <c r="A22" s="317" t="s">
        <v>563</v>
      </c>
      <c r="B22" s="309">
        <f>'Jur-kum'!C25</f>
        <v>2860000</v>
      </c>
      <c r="C22" s="311" t="s">
        <v>334</v>
      </c>
      <c r="D22" s="309">
        <f>B22</f>
        <v>2860000</v>
      </c>
      <c r="E22" s="311" t="s">
        <v>466</v>
      </c>
      <c r="F22" s="276"/>
    </row>
    <row r="23" spans="1:6" x14ac:dyDescent="0.25">
      <c r="A23" s="317" t="s">
        <v>1319</v>
      </c>
      <c r="B23" s="309"/>
      <c r="C23" s="444"/>
      <c r="D23" s="309"/>
      <c r="E23" s="444"/>
      <c r="F23" s="276"/>
    </row>
    <row r="24" spans="1:6" x14ac:dyDescent="0.25">
      <c r="A24" s="317" t="s">
        <v>481</v>
      </c>
      <c r="B24" s="309">
        <f>'Jur-kum'!C27</f>
        <v>12410000</v>
      </c>
      <c r="C24" s="310" t="s">
        <v>334</v>
      </c>
      <c r="D24" s="313">
        <f>SUM(B24:B25)</f>
        <v>163471000</v>
      </c>
      <c r="E24" s="494" t="s">
        <v>67</v>
      </c>
    </row>
    <row r="25" spans="1:6" x14ac:dyDescent="0.25">
      <c r="A25" s="317"/>
      <c r="B25" s="309">
        <f>'Jur-kum'!C28</f>
        <v>151061000</v>
      </c>
      <c r="C25" s="310" t="s">
        <v>11</v>
      </c>
      <c r="D25" s="313"/>
      <c r="E25" s="494"/>
    </row>
    <row r="26" spans="1:6" x14ac:dyDescent="0.25">
      <c r="A26" s="317" t="s">
        <v>482</v>
      </c>
      <c r="B26" s="309">
        <f>'Jur-kum'!C104</f>
        <v>105700000</v>
      </c>
      <c r="C26" s="311" t="s">
        <v>334</v>
      </c>
      <c r="D26" s="312">
        <f t="shared" ref="D26:D32" si="0">B26</f>
        <v>105700000</v>
      </c>
      <c r="E26" s="311" t="s">
        <v>484</v>
      </c>
    </row>
    <row r="27" spans="1:6" x14ac:dyDescent="0.25">
      <c r="A27" s="317" t="s">
        <v>483</v>
      </c>
      <c r="B27" s="309">
        <f>'Jur-kum'!C105</f>
        <v>23753875</v>
      </c>
      <c r="C27" s="311" t="s">
        <v>484</v>
      </c>
      <c r="D27" s="312">
        <f t="shared" si="0"/>
        <v>23753875</v>
      </c>
      <c r="E27" s="311" t="s">
        <v>334</v>
      </c>
    </row>
    <row r="28" spans="1:6" x14ac:dyDescent="0.25">
      <c r="A28" s="317" t="s">
        <v>483</v>
      </c>
      <c r="B28" s="309">
        <f>'Jur-kum'!C106</f>
        <v>0</v>
      </c>
      <c r="C28" s="324" t="s">
        <v>484</v>
      </c>
      <c r="D28" s="312"/>
      <c r="E28" s="324"/>
    </row>
    <row r="29" spans="1:6" x14ac:dyDescent="0.25">
      <c r="A29" s="317" t="s">
        <v>483</v>
      </c>
      <c r="B29" s="309">
        <f>'Jur-kum'!C84</f>
        <v>18354972</v>
      </c>
      <c r="C29" s="311" t="s">
        <v>484</v>
      </c>
      <c r="D29" s="312">
        <f>B28+B29</f>
        <v>18354972</v>
      </c>
      <c r="E29" s="311" t="s">
        <v>196</v>
      </c>
    </row>
    <row r="30" spans="1:6" x14ac:dyDescent="0.25">
      <c r="A30" s="317" t="s">
        <v>485</v>
      </c>
      <c r="B30" s="309">
        <f>'Jur-kum'!C107</f>
        <v>33069380</v>
      </c>
      <c r="C30" s="310" t="s">
        <v>486</v>
      </c>
      <c r="D30" s="312">
        <f t="shared" si="0"/>
        <v>33069380</v>
      </c>
      <c r="E30" s="310" t="s">
        <v>334</v>
      </c>
    </row>
    <row r="31" spans="1:6" x14ac:dyDescent="0.25">
      <c r="A31" s="317" t="s">
        <v>487</v>
      </c>
      <c r="B31" s="309">
        <f>'Jur-kum'!C31</f>
        <v>3883000</v>
      </c>
      <c r="C31" s="310" t="s">
        <v>489</v>
      </c>
      <c r="D31" s="312">
        <f t="shared" si="0"/>
        <v>3883000</v>
      </c>
      <c r="E31" s="494" t="s">
        <v>334</v>
      </c>
    </row>
    <row r="32" spans="1:6" x14ac:dyDescent="0.25">
      <c r="A32" s="317" t="s">
        <v>488</v>
      </c>
      <c r="B32" s="309">
        <f>SUM('Jur-kum'!C32:C37)</f>
        <v>34786529</v>
      </c>
      <c r="C32" s="310" t="s">
        <v>490</v>
      </c>
      <c r="D32" s="312">
        <f t="shared" si="0"/>
        <v>34786529</v>
      </c>
      <c r="E32" s="494"/>
    </row>
    <row r="33" spans="1:6" x14ac:dyDescent="0.25">
      <c r="A33" s="317" t="s">
        <v>495</v>
      </c>
      <c r="B33" s="495">
        <f>SUM(D33:D40)</f>
        <v>210993661</v>
      </c>
      <c r="C33" s="494" t="s">
        <v>495</v>
      </c>
      <c r="D33" s="312">
        <f>'Jur-kum'!C40</f>
        <v>185242571</v>
      </c>
      <c r="E33" s="310" t="s">
        <v>434</v>
      </c>
    </row>
    <row r="34" spans="1:6" x14ac:dyDescent="0.25">
      <c r="A34" s="317"/>
      <c r="B34" s="495"/>
      <c r="C34" s="494"/>
      <c r="D34" s="312">
        <f>'Jur-kum'!C42+'Jur-kum'!C43</f>
        <v>14811090</v>
      </c>
      <c r="E34" s="310" t="s">
        <v>334</v>
      </c>
    </row>
    <row r="35" spans="1:6" x14ac:dyDescent="0.25">
      <c r="A35" s="317"/>
      <c r="B35" s="495"/>
      <c r="C35" s="494"/>
      <c r="D35" s="312"/>
      <c r="E35" s="310" t="s">
        <v>11</v>
      </c>
    </row>
    <row r="36" spans="1:6" x14ac:dyDescent="0.25">
      <c r="A36" s="317"/>
      <c r="B36" s="495"/>
      <c r="C36" s="494"/>
      <c r="D36" s="312">
        <f>'Jur-kum'!C41</f>
        <v>10940000</v>
      </c>
      <c r="E36" s="310" t="s">
        <v>491</v>
      </c>
      <c r="F36" s="276"/>
    </row>
    <row r="37" spans="1:6" x14ac:dyDescent="0.25">
      <c r="A37" s="317"/>
      <c r="B37" s="495"/>
      <c r="C37" s="494"/>
      <c r="D37" s="312"/>
      <c r="E37" s="310" t="s">
        <v>492</v>
      </c>
    </row>
    <row r="38" spans="1:6" x14ac:dyDescent="0.25">
      <c r="A38" s="317"/>
      <c r="B38" s="495"/>
      <c r="C38" s="494"/>
      <c r="D38" s="312"/>
      <c r="E38" s="310" t="s">
        <v>444</v>
      </c>
    </row>
    <row r="39" spans="1:6" x14ac:dyDescent="0.25">
      <c r="A39" s="317"/>
      <c r="B39" s="495"/>
      <c r="C39" s="494"/>
      <c r="D39" s="312"/>
      <c r="E39" s="310" t="s">
        <v>493</v>
      </c>
    </row>
    <row r="40" spans="1:6" x14ac:dyDescent="0.25">
      <c r="A40" s="317"/>
      <c r="B40" s="495"/>
      <c r="C40" s="494"/>
      <c r="D40" s="312"/>
      <c r="E40" s="310" t="s">
        <v>494</v>
      </c>
    </row>
    <row r="41" spans="1:6" x14ac:dyDescent="0.25">
      <c r="A41" s="317" t="s">
        <v>366</v>
      </c>
      <c r="B41" s="495">
        <f>SUM(D41:D42)</f>
        <v>20035613</v>
      </c>
      <c r="C41" s="494" t="s">
        <v>496</v>
      </c>
      <c r="D41" s="312"/>
      <c r="E41" s="310" t="s">
        <v>11</v>
      </c>
    </row>
    <row r="42" spans="1:6" x14ac:dyDescent="0.25">
      <c r="A42" s="317"/>
      <c r="B42" s="495"/>
      <c r="C42" s="494"/>
      <c r="D42" s="312">
        <f>'Jur-kum'!C55+'Jur-kum'!C65+'Jur-kum'!C66+'Jur-kum'!C67</f>
        <v>20035613</v>
      </c>
      <c r="E42" s="310" t="s">
        <v>334</v>
      </c>
    </row>
    <row r="43" spans="1:6" x14ac:dyDescent="0.25">
      <c r="A43" s="317" t="s">
        <v>367</v>
      </c>
      <c r="B43" s="309">
        <f>'Jur-kum'!C56</f>
        <v>193937850</v>
      </c>
      <c r="C43" s="310" t="str">
        <f>A43</f>
        <v>Biaya FnB</v>
      </c>
      <c r="D43" s="313">
        <f>SUM(B43:B48)</f>
        <v>350855697</v>
      </c>
      <c r="E43" s="494" t="s">
        <v>334</v>
      </c>
    </row>
    <row r="44" spans="1:6" x14ac:dyDescent="0.25">
      <c r="A44" s="317" t="s">
        <v>497</v>
      </c>
      <c r="B44" s="309">
        <f>'Jur-kum'!C57</f>
        <v>17850950</v>
      </c>
      <c r="C44" s="310" t="str">
        <f t="shared" ref="C44:C48" si="1">A44</f>
        <v xml:space="preserve">Biaya HK </v>
      </c>
      <c r="D44" s="313"/>
      <c r="E44" s="494"/>
    </row>
    <row r="45" spans="1:6" x14ac:dyDescent="0.25">
      <c r="A45" s="317" t="s">
        <v>369</v>
      </c>
      <c r="B45" s="309">
        <f>'Jur-kum'!C58</f>
        <v>31615500</v>
      </c>
      <c r="C45" s="310" t="str">
        <f t="shared" si="1"/>
        <v>Biaya Engineering</v>
      </c>
      <c r="D45" s="313"/>
      <c r="E45" s="494"/>
    </row>
    <row r="46" spans="1:6" x14ac:dyDescent="0.25">
      <c r="A46" s="317" t="s">
        <v>498</v>
      </c>
      <c r="B46" s="309">
        <f>'Jur-kum'!C60+'Jur-kum'!C61+'Jur-kum'!C62</f>
        <v>95231118</v>
      </c>
      <c r="C46" s="310" t="str">
        <f t="shared" si="1"/>
        <v>Biaya Listrik Telpon &amp; Wifi</v>
      </c>
      <c r="D46" s="313"/>
      <c r="E46" s="494"/>
    </row>
    <row r="47" spans="1:6" x14ac:dyDescent="0.25">
      <c r="A47" s="317" t="s">
        <v>499</v>
      </c>
      <c r="B47" s="309">
        <f>'Jur-kum'!C63+'Jur-kum'!C64</f>
        <v>10396179</v>
      </c>
      <c r="C47" s="310" t="str">
        <f t="shared" si="1"/>
        <v>Biaya BPJS</v>
      </c>
      <c r="D47" s="313"/>
      <c r="E47" s="494"/>
    </row>
    <row r="48" spans="1:6" x14ac:dyDescent="0.25">
      <c r="A48" s="317" t="s">
        <v>370</v>
      </c>
      <c r="B48" s="309">
        <f>'Jur-kum'!C59</f>
        <v>1824100</v>
      </c>
      <c r="C48" s="310" t="str">
        <f t="shared" si="1"/>
        <v>Biaya Marketing</v>
      </c>
      <c r="D48" s="313"/>
      <c r="E48" s="494"/>
    </row>
    <row r="49" spans="1:5" x14ac:dyDescent="0.25">
      <c r="A49" s="317" t="s">
        <v>500</v>
      </c>
      <c r="B49" s="319">
        <f>SUM(D49:D49)</f>
        <v>1215478</v>
      </c>
      <c r="C49" s="311" t="s">
        <v>500</v>
      </c>
      <c r="D49" s="312">
        <f>'Jur-kum'!C68</f>
        <v>1215478</v>
      </c>
      <c r="E49" s="310" t="s">
        <v>334</v>
      </c>
    </row>
    <row r="50" spans="1:5" x14ac:dyDescent="0.25">
      <c r="A50" t="s">
        <v>554</v>
      </c>
      <c r="B50" s="307">
        <f>'Jur-kum'!C70+'Jur-kum'!C71</f>
        <v>28820000</v>
      </c>
      <c r="C50" s="305" t="s">
        <v>452</v>
      </c>
      <c r="D50" s="225">
        <f>'Jur-kum'!C70</f>
        <v>7170000</v>
      </c>
      <c r="E50" s="56" t="s">
        <v>334</v>
      </c>
    </row>
    <row r="51" spans="1:5" x14ac:dyDescent="0.25">
      <c r="B51" s="307"/>
      <c r="C51" s="305"/>
      <c r="D51" s="225">
        <f>'Jur-kum'!C71</f>
        <v>21650000</v>
      </c>
      <c r="E51" s="56" t="s">
        <v>11</v>
      </c>
    </row>
    <row r="52" spans="1:5" x14ac:dyDescent="0.25">
      <c r="A52" t="s">
        <v>414</v>
      </c>
      <c r="B52" s="307">
        <f>'Jur-kum'!C69</f>
        <v>1214510</v>
      </c>
      <c r="C52" s="384" t="s">
        <v>414</v>
      </c>
      <c r="D52" s="225">
        <f>B52</f>
        <v>1214510</v>
      </c>
      <c r="E52" s="56" t="s">
        <v>334</v>
      </c>
    </row>
    <row r="53" spans="1:5" x14ac:dyDescent="0.25">
      <c r="A53" t="s">
        <v>571</v>
      </c>
      <c r="B53" s="307">
        <f>'Jur-kum'!C74</f>
        <v>22137450</v>
      </c>
      <c r="C53" s="305" t="s">
        <v>575</v>
      </c>
      <c r="D53" s="225">
        <f>B53</f>
        <v>22137450</v>
      </c>
      <c r="E53" s="56" t="s">
        <v>334</v>
      </c>
    </row>
    <row r="54" spans="1:5" x14ac:dyDescent="0.25">
      <c r="A54" t="s">
        <v>1308</v>
      </c>
      <c r="B54" s="307">
        <f>'Jur-kum'!C72</f>
        <v>11841600</v>
      </c>
      <c r="C54" s="384" t="s">
        <v>1337</v>
      </c>
      <c r="D54" s="225">
        <f>B54</f>
        <v>11841600</v>
      </c>
      <c r="E54" s="56" t="s">
        <v>334</v>
      </c>
    </row>
    <row r="55" spans="1:5" x14ac:dyDescent="0.25">
      <c r="A55" t="s">
        <v>501</v>
      </c>
      <c r="B55" s="306">
        <f>'Jur-kum'!C52</f>
        <v>2050000</v>
      </c>
      <c r="C55" s="56" t="s">
        <v>577</v>
      </c>
      <c r="D55" s="225">
        <f>B55</f>
        <v>2050000</v>
      </c>
      <c r="E55" s="56" t="s">
        <v>578</v>
      </c>
    </row>
    <row r="56" spans="1:5" x14ac:dyDescent="0.25">
      <c r="A56" t="s">
        <v>502</v>
      </c>
      <c r="B56" s="306"/>
    </row>
    <row r="57" spans="1:5" x14ac:dyDescent="0.25">
      <c r="A57" t="s">
        <v>503</v>
      </c>
      <c r="B57" s="306">
        <f>'Jur-kum'!C53</f>
        <v>958000</v>
      </c>
      <c r="C57" s="56" t="s">
        <v>508</v>
      </c>
      <c r="D57" s="225">
        <f>B57</f>
        <v>958000</v>
      </c>
      <c r="E57" s="56" t="s">
        <v>334</v>
      </c>
    </row>
    <row r="58" spans="1:5" x14ac:dyDescent="0.25">
      <c r="A58" t="s">
        <v>504</v>
      </c>
      <c r="B58" s="306"/>
    </row>
    <row r="59" spans="1:5" x14ac:dyDescent="0.25">
      <c r="A59" t="s">
        <v>505</v>
      </c>
      <c r="B59" s="306"/>
    </row>
    <row r="60" spans="1:5" x14ac:dyDescent="0.25">
      <c r="A60" t="s">
        <v>506</v>
      </c>
      <c r="B60" s="306"/>
    </row>
    <row r="61" spans="1:5" x14ac:dyDescent="0.25">
      <c r="A61" t="s">
        <v>380</v>
      </c>
      <c r="B61" s="321">
        <f>SUM(D61:D62)</f>
        <v>85451822</v>
      </c>
      <c r="C61" s="497" t="s">
        <v>509</v>
      </c>
      <c r="D61" s="225">
        <f>'Jur-kum'!C75</f>
        <v>68559076</v>
      </c>
      <c r="E61" s="56" t="s">
        <v>334</v>
      </c>
    </row>
    <row r="62" spans="1:5" x14ac:dyDescent="0.25">
      <c r="B62" s="321"/>
      <c r="C62" s="497"/>
      <c r="D62" s="225">
        <f>'Jur-kum'!C76</f>
        <v>16892746</v>
      </c>
      <c r="E62" s="56" t="s">
        <v>11</v>
      </c>
    </row>
    <row r="63" spans="1:5" x14ac:dyDescent="0.25">
      <c r="A63" t="s">
        <v>381</v>
      </c>
      <c r="B63" s="308">
        <f>SUM(D63:D64)</f>
        <v>304326951</v>
      </c>
      <c r="C63" s="497" t="s">
        <v>511</v>
      </c>
      <c r="D63" s="225">
        <f>'Jur-kum'!C77</f>
        <v>269524900</v>
      </c>
      <c r="E63" s="56" t="s">
        <v>334</v>
      </c>
    </row>
    <row r="64" spans="1:5" x14ac:dyDescent="0.25">
      <c r="B64" s="308"/>
      <c r="C64" s="497"/>
      <c r="D64" s="225">
        <f>'Jur-kum'!C78</f>
        <v>34802051</v>
      </c>
      <c r="E64" s="56" t="s">
        <v>11</v>
      </c>
    </row>
    <row r="65" spans="1:5" x14ac:dyDescent="0.25">
      <c r="A65" s="279" t="s">
        <v>360</v>
      </c>
      <c r="B65" s="281">
        <f>'Jur-kum'!C51</f>
        <v>13850000</v>
      </c>
      <c r="C65" s="280" t="s">
        <v>453</v>
      </c>
      <c r="D65" s="281">
        <f>B65</f>
        <v>13850000</v>
      </c>
      <c r="E65" s="280" t="s">
        <v>334</v>
      </c>
    </row>
    <row r="66" spans="1:5" x14ac:dyDescent="0.25">
      <c r="A66" t="s">
        <v>507</v>
      </c>
      <c r="B66" s="306">
        <f>'Jur-kum'!C80</f>
        <v>187150000</v>
      </c>
      <c r="C66" s="275" t="s">
        <v>334</v>
      </c>
      <c r="D66" s="225">
        <f>B66</f>
        <v>187150000</v>
      </c>
      <c r="E66" s="34" t="s">
        <v>11</v>
      </c>
    </row>
    <row r="67" spans="1:5" x14ac:dyDescent="0.25">
      <c r="B67" s="306">
        <f>'Jur-kum'!C81</f>
        <v>20000000</v>
      </c>
      <c r="C67" s="275" t="s">
        <v>334</v>
      </c>
      <c r="D67" s="225">
        <f>B67</f>
        <v>20000000</v>
      </c>
      <c r="E67" s="384" t="s">
        <v>344</v>
      </c>
    </row>
    <row r="68" spans="1:5" x14ac:dyDescent="0.25">
      <c r="B68" s="306">
        <f>'Jur-kum'!C82</f>
        <v>80000000</v>
      </c>
      <c r="C68" s="275" t="s">
        <v>196</v>
      </c>
      <c r="D68" s="308">
        <f>B68+B69</f>
        <v>82000000</v>
      </c>
      <c r="E68" s="497" t="s">
        <v>334</v>
      </c>
    </row>
    <row r="69" spans="1:5" x14ac:dyDescent="0.25">
      <c r="B69" s="306">
        <f>'Jur-kum'!C83</f>
        <v>2000000</v>
      </c>
      <c r="C69" s="275" t="s">
        <v>473</v>
      </c>
      <c r="D69" s="278"/>
      <c r="E69" s="497"/>
    </row>
    <row r="70" spans="1:5" x14ac:dyDescent="0.25">
      <c r="B70" s="306">
        <f>'Jur-kum'!C85</f>
        <v>30000000</v>
      </c>
      <c r="C70" s="56" t="s">
        <v>434</v>
      </c>
      <c r="D70" s="225">
        <f>B70</f>
        <v>30000000</v>
      </c>
      <c r="E70" s="56" t="s">
        <v>11</v>
      </c>
    </row>
    <row r="71" spans="1:5" x14ac:dyDescent="0.25">
      <c r="B71" s="306">
        <v>10000000</v>
      </c>
      <c r="C71" s="56" t="s">
        <v>588</v>
      </c>
      <c r="D71" s="225">
        <v>10000000</v>
      </c>
      <c r="E71" s="56" t="s">
        <v>11</v>
      </c>
    </row>
    <row r="72" spans="1:5" x14ac:dyDescent="0.25">
      <c r="A72" t="s">
        <v>1309</v>
      </c>
      <c r="B72" s="306">
        <v>500000000</v>
      </c>
      <c r="C72" s="56" t="s">
        <v>434</v>
      </c>
      <c r="D72" s="225">
        <v>500000000</v>
      </c>
      <c r="E72" s="56" t="s">
        <v>1310</v>
      </c>
    </row>
    <row r="73" spans="1:5" x14ac:dyDescent="0.25">
      <c r="B73" s="306">
        <v>190000000</v>
      </c>
      <c r="C73" s="56" t="s">
        <v>196</v>
      </c>
      <c r="D73" s="225">
        <f>B73</f>
        <v>190000000</v>
      </c>
      <c r="E73" s="56" t="s">
        <v>1311</v>
      </c>
    </row>
    <row r="74" spans="1:5" x14ac:dyDescent="0.25">
      <c r="B74" s="306">
        <v>400000000</v>
      </c>
      <c r="C74" s="56" t="s">
        <v>344</v>
      </c>
      <c r="D74" s="225">
        <f>B74</f>
        <v>400000000</v>
      </c>
      <c r="E74" s="56" t="s">
        <v>1312</v>
      </c>
    </row>
    <row r="75" spans="1:5" x14ac:dyDescent="0.25">
      <c r="A75" t="s">
        <v>466</v>
      </c>
      <c r="B75" s="306">
        <f>'Jur-kum'!C109</f>
        <v>6800000</v>
      </c>
      <c r="C75" s="56" t="s">
        <v>510</v>
      </c>
      <c r="D75" s="225">
        <f>B75</f>
        <v>6800000</v>
      </c>
      <c r="E75" s="56" t="s">
        <v>334</v>
      </c>
    </row>
    <row r="76" spans="1:5" x14ac:dyDescent="0.25">
      <c r="A76" t="s">
        <v>1326</v>
      </c>
      <c r="B76" s="306"/>
    </row>
    <row r="77" spans="1:5" x14ac:dyDescent="0.25">
      <c r="A77" t="s">
        <v>1324</v>
      </c>
      <c r="B77" s="306">
        <f>D77</f>
        <v>165000000</v>
      </c>
      <c r="C77" s="56" t="s">
        <v>1327</v>
      </c>
      <c r="D77" s="225">
        <v>165000000</v>
      </c>
      <c r="E77" s="56" t="s">
        <v>344</v>
      </c>
    </row>
    <row r="78" spans="1:5" x14ac:dyDescent="0.25">
      <c r="A78" t="s">
        <v>1325</v>
      </c>
      <c r="B78" s="306">
        <f>D78</f>
        <v>150000000</v>
      </c>
      <c r="C78" s="56" t="s">
        <v>1327</v>
      </c>
      <c r="D78" s="225">
        <v>150000000</v>
      </c>
      <c r="E78" s="56" t="s">
        <v>344</v>
      </c>
    </row>
    <row r="79" spans="1:5" x14ac:dyDescent="0.25">
      <c r="A79" t="s">
        <v>1329</v>
      </c>
      <c r="B79" s="306">
        <f>D79</f>
        <v>195000000</v>
      </c>
      <c r="C79" s="56" t="s">
        <v>1327</v>
      </c>
      <c r="D79" s="225">
        <v>195000000</v>
      </c>
      <c r="E79" s="56" t="s">
        <v>196</v>
      </c>
    </row>
    <row r="80" spans="1:5" x14ac:dyDescent="0.25">
      <c r="A80" t="s">
        <v>1330</v>
      </c>
      <c r="B80" s="306">
        <f>D80</f>
        <v>135000000</v>
      </c>
      <c r="C80" s="56" t="s">
        <v>1327</v>
      </c>
      <c r="D80" s="225">
        <v>135000000</v>
      </c>
      <c r="E80" s="56" t="s">
        <v>196</v>
      </c>
    </row>
    <row r="81" spans="1:5" x14ac:dyDescent="0.25">
      <c r="A81" t="s">
        <v>1331</v>
      </c>
      <c r="B81" s="306">
        <f>D81</f>
        <v>217500000</v>
      </c>
      <c r="C81" s="56" t="s">
        <v>1327</v>
      </c>
      <c r="D81" s="225">
        <v>217500000</v>
      </c>
      <c r="E81" s="56" t="s">
        <v>196</v>
      </c>
    </row>
    <row r="82" spans="1:5" x14ac:dyDescent="0.25">
      <c r="A82" t="s">
        <v>1332</v>
      </c>
      <c r="B82" s="225">
        <v>150000000</v>
      </c>
      <c r="C82" s="56" t="s">
        <v>1327</v>
      </c>
      <c r="D82" s="225">
        <v>150000000</v>
      </c>
      <c r="E82" s="56" t="s">
        <v>437</v>
      </c>
    </row>
    <row r="83" spans="1:5" x14ac:dyDescent="0.25">
      <c r="A83" t="s">
        <v>1333</v>
      </c>
      <c r="B83" s="225">
        <v>37500000</v>
      </c>
      <c r="C83" s="56" t="s">
        <v>1328</v>
      </c>
      <c r="D83" s="225">
        <f>B83</f>
        <v>37500000</v>
      </c>
      <c r="E83" s="56" t="s">
        <v>1334</v>
      </c>
    </row>
    <row r="84" spans="1:5" x14ac:dyDescent="0.25">
      <c r="B84" s="306"/>
    </row>
    <row r="85" spans="1:5" x14ac:dyDescent="0.25">
      <c r="A85" t="s">
        <v>1316</v>
      </c>
      <c r="B85" s="306">
        <v>3625000</v>
      </c>
      <c r="C85" s="56" t="s">
        <v>1335</v>
      </c>
      <c r="D85" s="225">
        <f>B85</f>
        <v>3625000</v>
      </c>
      <c r="E85" s="56" t="s">
        <v>196</v>
      </c>
    </row>
    <row r="86" spans="1:5" x14ac:dyDescent="0.25">
      <c r="A86" t="s">
        <v>1322</v>
      </c>
      <c r="B86" s="225">
        <v>385098</v>
      </c>
      <c r="C86" s="56" t="s">
        <v>1323</v>
      </c>
      <c r="D86" s="225">
        <f>B87+B86</f>
        <v>30385098</v>
      </c>
      <c r="E86" s="56" t="s">
        <v>434</v>
      </c>
    </row>
    <row r="87" spans="1:5" x14ac:dyDescent="0.25">
      <c r="B87" s="225">
        <v>30000000</v>
      </c>
      <c r="C87" s="56" t="s">
        <v>493</v>
      </c>
    </row>
    <row r="89" spans="1:5" x14ac:dyDescent="0.25">
      <c r="B89" s="225">
        <f>SUM(B4:B87)</f>
        <v>4947390456</v>
      </c>
      <c r="D89" s="225">
        <f>SUM(D4:D87)</f>
        <v>4947390456</v>
      </c>
    </row>
    <row r="90" spans="1:5" x14ac:dyDescent="0.25">
      <c r="C90" s="56" t="s">
        <v>15</v>
      </c>
      <c r="D90" s="225">
        <f>D4+D7+D9+D10+D11+D17+D22</f>
        <v>1000660820</v>
      </c>
    </row>
    <row r="91" spans="1:5" x14ac:dyDescent="0.25">
      <c r="C91" s="56" t="s">
        <v>515</v>
      </c>
      <c r="D91" s="225">
        <f>B31+B32</f>
        <v>38669529</v>
      </c>
    </row>
    <row r="92" spans="1:5" x14ac:dyDescent="0.25">
      <c r="C92" s="56" t="s">
        <v>516</v>
      </c>
      <c r="D92" s="225">
        <f>B33+B41+B43+B44+B45+B46+B47+B48+B49+B53</f>
        <v>605237899</v>
      </c>
    </row>
    <row r="94" spans="1:5" x14ac:dyDescent="0.25">
      <c r="B94" s="225">
        <f>B5+B8+B9+B16+B17+B25</f>
        <v>350037811</v>
      </c>
      <c r="C94" s="56" t="s">
        <v>11</v>
      </c>
      <c r="D94" s="225">
        <f>D51+D62+D64+D66+D70+D71</f>
        <v>300494797</v>
      </c>
    </row>
    <row r="95" spans="1:5" x14ac:dyDescent="0.25">
      <c r="B95" s="225">
        <f>B4+B7+B11+B12+B15+B22+B24+B26+B66+B67</f>
        <v>960191875</v>
      </c>
      <c r="C95" s="56" t="s">
        <v>334</v>
      </c>
      <c r="D95" s="225">
        <f>D27+D30+D31+D32+D34+D42+D43+D49+D50+D52+D53+D54+D55+D57+D61+D63+D65+D68+D75</f>
        <v>968516198</v>
      </c>
    </row>
    <row r="96" spans="1:5" x14ac:dyDescent="0.25">
      <c r="B96" s="225">
        <f>B19+B68+B70+B72+B73</f>
        <v>799910000</v>
      </c>
      <c r="C96" s="56" t="s">
        <v>1313</v>
      </c>
      <c r="D96" s="225">
        <f>D29+D33+D79+D80+D81+D85</f>
        <v>754722543</v>
      </c>
    </row>
  </sheetData>
  <mergeCells count="18">
    <mergeCell ref="B9:B10"/>
    <mergeCell ref="E4:E6"/>
    <mergeCell ref="E7:E8"/>
    <mergeCell ref="C9:C10"/>
    <mergeCell ref="E31:E32"/>
    <mergeCell ref="E17:E21"/>
    <mergeCell ref="E24:E25"/>
    <mergeCell ref="D11:D16"/>
    <mergeCell ref="C33:C40"/>
    <mergeCell ref="B33:B40"/>
    <mergeCell ref="C11:C15"/>
    <mergeCell ref="D17:D21"/>
    <mergeCell ref="E68:E69"/>
    <mergeCell ref="E43:E48"/>
    <mergeCell ref="C41:C42"/>
    <mergeCell ref="B41:B42"/>
    <mergeCell ref="C61:C62"/>
    <mergeCell ref="C63:C64"/>
  </mergeCells>
  <pageMargins left="0.70866141732283472" right="0.70866141732283472" top="0.15748031496062992" bottom="0.15748031496062992" header="0.31496062992125984" footer="0.31496062992125984"/>
  <pageSetup paperSize="9" scale="62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31" zoomScale="112" zoomScaleNormal="112" workbookViewId="0">
      <selection activeCell="F16" sqref="F16"/>
    </sheetView>
  </sheetViews>
  <sheetFormatPr defaultRowHeight="15" x14ac:dyDescent="0.25"/>
  <cols>
    <col min="1" max="1" width="21" customWidth="1"/>
    <col min="2" max="2" width="15.28515625" customWidth="1"/>
    <col min="3" max="4" width="16.7109375" customWidth="1"/>
    <col min="5" max="5" width="15.28515625" style="225" bestFit="1" customWidth="1"/>
    <col min="6" max="6" width="14.28515625" bestFit="1" customWidth="1"/>
  </cols>
  <sheetData>
    <row r="1" spans="1:6" x14ac:dyDescent="0.25">
      <c r="A1" s="21" t="s">
        <v>417</v>
      </c>
      <c r="B1" s="370"/>
      <c r="C1" s="370"/>
      <c r="D1" s="370"/>
    </row>
    <row r="2" spans="1:6" x14ac:dyDescent="0.25">
      <c r="A2" s="21" t="s">
        <v>1314</v>
      </c>
      <c r="B2" s="370"/>
      <c r="C2" s="370"/>
      <c r="D2" s="370"/>
    </row>
    <row r="3" spans="1:6" x14ac:dyDescent="0.25">
      <c r="A3" s="370"/>
      <c r="B3" s="439" t="s">
        <v>7</v>
      </c>
      <c r="C3" s="58" t="s">
        <v>581</v>
      </c>
      <c r="D3" s="58" t="s">
        <v>572</v>
      </c>
      <c r="E3" s="438" t="s">
        <v>1264</v>
      </c>
    </row>
    <row r="4" spans="1:6" x14ac:dyDescent="0.25">
      <c r="A4" s="370" t="s">
        <v>66</v>
      </c>
      <c r="B4" s="372">
        <f>SUM(C4:K4)</f>
        <v>926227000</v>
      </c>
      <c r="C4" s="32">
        <v>417498000</v>
      </c>
      <c r="D4" s="32">
        <v>341648000</v>
      </c>
      <c r="E4" s="225">
        <f>SUM('Jur-kum'!F4:F7)</f>
        <v>167081000</v>
      </c>
    </row>
    <row r="5" spans="1:6" x14ac:dyDescent="0.25">
      <c r="A5" s="370" t="s">
        <v>68</v>
      </c>
      <c r="B5" s="372">
        <f t="shared" ref="B5:B9" si="0">SUM(C5:K5)</f>
        <v>21925375</v>
      </c>
      <c r="C5" s="32">
        <v>4890000</v>
      </c>
      <c r="D5" s="32">
        <v>5620000</v>
      </c>
      <c r="E5" s="225">
        <f>SUM('Jur-kum'!F8:F10)</f>
        <v>11415375</v>
      </c>
    </row>
    <row r="6" spans="1:6" x14ac:dyDescent="0.25">
      <c r="A6" s="370" t="s">
        <v>70</v>
      </c>
      <c r="B6" s="372">
        <f t="shared" si="0"/>
        <v>27968157</v>
      </c>
      <c r="C6" s="32">
        <v>23278750</v>
      </c>
      <c r="D6" s="32">
        <v>801544</v>
      </c>
      <c r="E6" s="225">
        <f>'Jur-kum'!F11+'Jur-kum'!F12</f>
        <v>3887863</v>
      </c>
    </row>
    <row r="7" spans="1:6" x14ac:dyDescent="0.25">
      <c r="A7" s="370" t="s">
        <v>71</v>
      </c>
      <c r="B7" s="372">
        <f t="shared" si="0"/>
        <v>15575500</v>
      </c>
      <c r="C7" s="32">
        <v>3626000</v>
      </c>
      <c r="D7" s="32">
        <v>5459500</v>
      </c>
      <c r="E7" s="225">
        <f>SUM('Jur-kum'!F13:F18)</f>
        <v>6490000</v>
      </c>
    </row>
    <row r="8" spans="1:6" x14ac:dyDescent="0.25">
      <c r="A8" s="370" t="s">
        <v>418</v>
      </c>
      <c r="B8" s="372">
        <f t="shared" si="0"/>
        <v>6104788</v>
      </c>
      <c r="C8" s="32">
        <v>2605774</v>
      </c>
      <c r="D8" s="32">
        <v>2330184</v>
      </c>
      <c r="E8" s="225">
        <f>SUM('Jur-kum'!F20:F24)</f>
        <v>1168830</v>
      </c>
    </row>
    <row r="9" spans="1:6" ht="15.75" thickBot="1" x14ac:dyDescent="0.3">
      <c r="A9" s="432" t="s">
        <v>419</v>
      </c>
      <c r="B9" s="433">
        <f t="shared" si="0"/>
        <v>997800820</v>
      </c>
      <c r="C9" s="434">
        <f>SUM(C4:C8)</f>
        <v>451898524</v>
      </c>
      <c r="D9" s="434">
        <f t="shared" ref="D9:E9" si="1">SUM(D4:D8)</f>
        <v>355859228</v>
      </c>
      <c r="E9" s="434">
        <f t="shared" si="1"/>
        <v>190043068</v>
      </c>
    </row>
    <row r="10" spans="1:6" x14ac:dyDescent="0.25">
      <c r="A10" s="370" t="s">
        <v>420</v>
      </c>
      <c r="B10" s="372">
        <f>SUM(C10:K10)</f>
        <v>3883000</v>
      </c>
      <c r="C10" s="225">
        <v>1280000</v>
      </c>
      <c r="D10" s="225">
        <v>1703000</v>
      </c>
      <c r="E10" s="225">
        <f>'Jur-kum'!F31</f>
        <v>900000</v>
      </c>
    </row>
    <row r="11" spans="1:6" x14ac:dyDescent="0.25">
      <c r="A11" s="370" t="s">
        <v>421</v>
      </c>
      <c r="B11" s="372">
        <f>SUM(C11:K11)</f>
        <v>34786529</v>
      </c>
      <c r="C11" s="225">
        <v>15274501</v>
      </c>
      <c r="D11" s="225">
        <v>5738001</v>
      </c>
      <c r="E11" s="225">
        <f>SUM('Jur-kum'!F32:F37)</f>
        <v>13774027</v>
      </c>
    </row>
    <row r="12" spans="1:6" ht="15.75" thickBot="1" x14ac:dyDescent="0.3">
      <c r="A12" s="443" t="s">
        <v>422</v>
      </c>
      <c r="B12" s="435">
        <f t="shared" ref="B12" si="2">C12+D12+E12</f>
        <v>959131291</v>
      </c>
      <c r="C12" s="436">
        <f>C9-C10-C11</f>
        <v>435344023</v>
      </c>
      <c r="D12" s="436">
        <f t="shared" ref="D12:E12" si="3">D9-D10-D11</f>
        <v>348418227</v>
      </c>
      <c r="E12" s="436">
        <f t="shared" si="3"/>
        <v>175369041</v>
      </c>
    </row>
    <row r="13" spans="1:6" ht="15.75" thickTop="1" x14ac:dyDescent="0.25">
      <c r="A13" s="370"/>
      <c r="B13" s="371"/>
      <c r="C13" s="370"/>
      <c r="D13" s="370"/>
    </row>
    <row r="14" spans="1:6" x14ac:dyDescent="0.25">
      <c r="A14" s="373" t="s">
        <v>423</v>
      </c>
      <c r="B14" s="374">
        <f>C14+D14+E14</f>
        <v>211378759</v>
      </c>
      <c r="C14" s="368">
        <v>74154172</v>
      </c>
      <c r="D14" s="368">
        <v>72153650</v>
      </c>
      <c r="E14" s="312">
        <f>SUM('Jur-kum'!F39:F48)</f>
        <v>65070937</v>
      </c>
    </row>
    <row r="15" spans="1:6" x14ac:dyDescent="0.25">
      <c r="A15" s="375" t="s">
        <v>366</v>
      </c>
      <c r="B15" s="374">
        <f t="shared" ref="B15:B31" si="4">C15+D15+E15</f>
        <v>12513263</v>
      </c>
      <c r="C15" s="354">
        <v>5826800</v>
      </c>
      <c r="D15" s="354">
        <v>3676463</v>
      </c>
      <c r="E15" s="312">
        <f>'Jur-kum'!F55</f>
        <v>3010000</v>
      </c>
      <c r="F15" s="225"/>
    </row>
    <row r="16" spans="1:6" x14ac:dyDescent="0.25">
      <c r="A16" s="375" t="s">
        <v>367</v>
      </c>
      <c r="B16" s="374">
        <f t="shared" si="4"/>
        <v>193937850</v>
      </c>
      <c r="C16" s="354">
        <v>85252900</v>
      </c>
      <c r="D16" s="354">
        <v>68285500</v>
      </c>
      <c r="E16" s="312">
        <f>'Jur-kum'!F56</f>
        <v>40399450</v>
      </c>
      <c r="F16" s="225"/>
    </row>
    <row r="17" spans="1:6" x14ac:dyDescent="0.25">
      <c r="A17" s="375" t="s">
        <v>368</v>
      </c>
      <c r="B17" s="374">
        <f t="shared" si="4"/>
        <v>17850950</v>
      </c>
      <c r="C17" s="354">
        <v>5390550</v>
      </c>
      <c r="D17" s="354">
        <v>7306000</v>
      </c>
      <c r="E17" s="312">
        <f>'Jur-kum'!F57</f>
        <v>5154400</v>
      </c>
      <c r="F17" s="225"/>
    </row>
    <row r="18" spans="1:6" x14ac:dyDescent="0.25">
      <c r="A18" s="375" t="s">
        <v>369</v>
      </c>
      <c r="B18" s="374">
        <f t="shared" si="4"/>
        <v>31615500</v>
      </c>
      <c r="C18" s="354">
        <v>13949000</v>
      </c>
      <c r="D18" s="354">
        <v>10146200</v>
      </c>
      <c r="E18" s="312">
        <f>'Jur-kum'!F58</f>
        <v>7520300</v>
      </c>
      <c r="F18" s="225"/>
    </row>
    <row r="19" spans="1:6" x14ac:dyDescent="0.25">
      <c r="A19" s="375" t="s">
        <v>370</v>
      </c>
      <c r="B19" s="374">
        <f t="shared" si="4"/>
        <v>1824100</v>
      </c>
      <c r="C19" s="354">
        <v>278800</v>
      </c>
      <c r="D19" s="354">
        <v>137500</v>
      </c>
      <c r="E19" s="312">
        <f>'Jur-kum'!F59</f>
        <v>1407800</v>
      </c>
      <c r="F19" s="225"/>
    </row>
    <row r="20" spans="1:6" x14ac:dyDescent="0.25">
      <c r="A20" s="375" t="s">
        <v>371</v>
      </c>
      <c r="B20" s="374">
        <f t="shared" si="4"/>
        <v>93335993</v>
      </c>
      <c r="C20" s="354">
        <v>39544610</v>
      </c>
      <c r="D20" s="354">
        <v>29765561</v>
      </c>
      <c r="E20" s="312">
        <f>'Jur-kum'!F60</f>
        <v>24025822</v>
      </c>
      <c r="F20" s="225"/>
    </row>
    <row r="21" spans="1:6" x14ac:dyDescent="0.25">
      <c r="A21" s="375" t="s">
        <v>372</v>
      </c>
      <c r="B21" s="374">
        <f t="shared" si="4"/>
        <v>189325</v>
      </c>
      <c r="C21" s="354">
        <v>61166</v>
      </c>
      <c r="D21" s="354">
        <v>64773</v>
      </c>
      <c r="E21" s="312">
        <f>'Jur-kum'!F61</f>
        <v>63386</v>
      </c>
      <c r="F21" s="225"/>
    </row>
    <row r="22" spans="1:6" x14ac:dyDescent="0.25">
      <c r="A22" s="375" t="s">
        <v>373</v>
      </c>
      <c r="B22" s="374">
        <f t="shared" si="4"/>
        <v>1705800</v>
      </c>
      <c r="C22" s="354">
        <v>568600</v>
      </c>
      <c r="D22" s="354">
        <v>568600</v>
      </c>
      <c r="E22" s="312">
        <f>'Jur-kum'!F62</f>
        <v>568600</v>
      </c>
    </row>
    <row r="23" spans="1:6" x14ac:dyDescent="0.25">
      <c r="A23" s="375" t="s">
        <v>374</v>
      </c>
      <c r="B23" s="374">
        <f t="shared" si="4"/>
        <v>3745500</v>
      </c>
      <c r="C23" s="354">
        <v>1497800</v>
      </c>
      <c r="D23" s="354">
        <v>1125850</v>
      </c>
      <c r="E23" s="312">
        <f>'Jur-kum'!F63</f>
        <v>1121850</v>
      </c>
    </row>
    <row r="24" spans="1:6" x14ac:dyDescent="0.25">
      <c r="A24" s="375" t="s">
        <v>375</v>
      </c>
      <c r="B24" s="374">
        <f t="shared" si="4"/>
        <v>6650679</v>
      </c>
      <c r="C24" s="354">
        <v>2085503</v>
      </c>
      <c r="D24" s="354">
        <v>2282588</v>
      </c>
      <c r="E24" s="312">
        <f>'Jur-kum'!F64</f>
        <v>2282588</v>
      </c>
    </row>
    <row r="25" spans="1:6" x14ac:dyDescent="0.25">
      <c r="A25" s="375" t="s">
        <v>376</v>
      </c>
      <c r="B25" s="374">
        <f t="shared" si="4"/>
        <v>700000</v>
      </c>
      <c r="C25" s="354">
        <v>300000</v>
      </c>
      <c r="D25" s="354">
        <v>100000</v>
      </c>
      <c r="E25" s="312">
        <f>'Jur-kum'!F65</f>
        <v>300000</v>
      </c>
    </row>
    <row r="26" spans="1:6" x14ac:dyDescent="0.25">
      <c r="A26" s="375" t="s">
        <v>377</v>
      </c>
      <c r="B26" s="374">
        <f t="shared" si="4"/>
        <v>1572350</v>
      </c>
      <c r="C26" s="354">
        <v>383000</v>
      </c>
      <c r="D26" s="354">
        <v>356200</v>
      </c>
      <c r="E26" s="312">
        <f>'Jur-kum'!F66</f>
        <v>833150</v>
      </c>
    </row>
    <row r="27" spans="1:6" x14ac:dyDescent="0.25">
      <c r="A27" s="375" t="s">
        <v>378</v>
      </c>
      <c r="B27" s="374">
        <f t="shared" si="4"/>
        <v>5250000</v>
      </c>
      <c r="C27" s="354">
        <v>1750000</v>
      </c>
      <c r="D27" s="354">
        <v>1750000</v>
      </c>
      <c r="E27" s="312">
        <f>'Jur-kum'!F67</f>
        <v>1750000</v>
      </c>
    </row>
    <row r="28" spans="1:6" x14ac:dyDescent="0.25">
      <c r="A28" s="375" t="s">
        <v>379</v>
      </c>
      <c r="B28" s="374">
        <f t="shared" si="4"/>
        <v>1215478</v>
      </c>
      <c r="C28" s="354">
        <v>290500</v>
      </c>
      <c r="D28" s="354">
        <v>334508</v>
      </c>
      <c r="E28" s="312">
        <f>'Jur-kum'!F68</f>
        <v>590470</v>
      </c>
    </row>
    <row r="29" spans="1:6" x14ac:dyDescent="0.25">
      <c r="A29" s="375" t="s">
        <v>576</v>
      </c>
      <c r="B29" s="374">
        <f t="shared" si="4"/>
        <v>22137450</v>
      </c>
      <c r="C29" s="354">
        <v>0</v>
      </c>
      <c r="D29" s="354">
        <v>22137450</v>
      </c>
      <c r="E29" s="312">
        <f>'Jur-kum'!F74</f>
        <v>0</v>
      </c>
    </row>
    <row r="30" spans="1:6" x14ac:dyDescent="0.25">
      <c r="A30" s="375" t="s">
        <v>414</v>
      </c>
      <c r="B30" s="374">
        <f t="shared" si="4"/>
        <v>1214510</v>
      </c>
      <c r="C30" s="354"/>
      <c r="D30" s="354"/>
      <c r="E30" s="312">
        <f>'Jur2'!B52</f>
        <v>1214510</v>
      </c>
    </row>
    <row r="31" spans="1:6" ht="15.75" thickBot="1" x14ac:dyDescent="0.3">
      <c r="A31" s="440" t="s">
        <v>104</v>
      </c>
      <c r="B31" s="441">
        <f t="shared" si="4"/>
        <v>606837507</v>
      </c>
      <c r="C31" s="442">
        <f>SUM(C14:C30)</f>
        <v>231333401</v>
      </c>
      <c r="D31" s="442">
        <f t="shared" ref="D31:E31" si="5">SUM(D14:D30)</f>
        <v>220190843</v>
      </c>
      <c r="E31" s="442">
        <f t="shared" si="5"/>
        <v>155313263</v>
      </c>
    </row>
    <row r="32" spans="1:6" ht="15.75" thickTop="1" x14ac:dyDescent="0.25">
      <c r="A32" s="370"/>
      <c r="B32" s="371"/>
      <c r="C32" s="370"/>
      <c r="D32" s="370"/>
    </row>
    <row r="33" spans="1:5" x14ac:dyDescent="0.25">
      <c r="A33" s="376" t="s">
        <v>428</v>
      </c>
      <c r="B33" s="369">
        <f>C33+D33+E33</f>
        <v>352293784</v>
      </c>
      <c r="C33" s="265">
        <f>C12-C31</f>
        <v>204010622</v>
      </c>
      <c r="D33" s="265">
        <f t="shared" ref="D33:E33" si="6">D12-D31</f>
        <v>128227384</v>
      </c>
      <c r="E33" s="265">
        <f t="shared" si="6"/>
        <v>20055778</v>
      </c>
    </row>
    <row r="34" spans="1:5" x14ac:dyDescent="0.25">
      <c r="B34" s="380"/>
    </row>
    <row r="35" spans="1:5" x14ac:dyDescent="0.25">
      <c r="A35" s="342" t="s">
        <v>438</v>
      </c>
      <c r="B35" s="381">
        <f>SUM(C35:E35)</f>
        <v>21000000</v>
      </c>
      <c r="C35" s="312">
        <v>7000000</v>
      </c>
      <c r="D35" s="312">
        <v>7000000</v>
      </c>
      <c r="E35" s="312">
        <v>7000000</v>
      </c>
    </row>
    <row r="36" spans="1:5" x14ac:dyDescent="0.25">
      <c r="A36" s="342" t="s">
        <v>589</v>
      </c>
      <c r="B36" s="381">
        <f t="shared" ref="B36:B39" si="7">SUM(C36:E36)</f>
        <v>8100000</v>
      </c>
      <c r="C36" s="312">
        <v>2700000</v>
      </c>
      <c r="D36" s="312">
        <v>2700000</v>
      </c>
      <c r="E36" s="312">
        <v>2700000</v>
      </c>
    </row>
    <row r="37" spans="1:5" x14ac:dyDescent="0.25">
      <c r="A37" s="342" t="s">
        <v>282</v>
      </c>
      <c r="B37" s="381">
        <f t="shared" si="7"/>
        <v>9140484</v>
      </c>
      <c r="C37" s="312">
        <v>2500000</v>
      </c>
      <c r="D37" s="312">
        <v>2500000</v>
      </c>
      <c r="E37" s="312">
        <v>4140484</v>
      </c>
    </row>
    <row r="38" spans="1:5" x14ac:dyDescent="0.25">
      <c r="A38" s="342" t="s">
        <v>283</v>
      </c>
      <c r="B38" s="381">
        <f t="shared" si="7"/>
        <v>6900000</v>
      </c>
      <c r="C38" s="312">
        <v>2300000</v>
      </c>
      <c r="D38" s="312">
        <v>2300000</v>
      </c>
      <c r="E38" s="312">
        <v>2300000</v>
      </c>
    </row>
    <row r="39" spans="1:5" x14ac:dyDescent="0.25">
      <c r="A39" s="377" t="s">
        <v>591</v>
      </c>
      <c r="B39" s="381">
        <f t="shared" si="7"/>
        <v>8200000</v>
      </c>
      <c r="C39" s="382">
        <v>2800000</v>
      </c>
      <c r="D39" s="382">
        <v>2700000</v>
      </c>
      <c r="E39" s="382">
        <v>2700000</v>
      </c>
    </row>
    <row r="40" spans="1:5" x14ac:dyDescent="0.25">
      <c r="A40" s="378" t="s">
        <v>590</v>
      </c>
      <c r="B40" s="379">
        <f>B33-B35-B36-B37-B38-B39</f>
        <v>298953300</v>
      </c>
      <c r="C40" s="379">
        <f>C33-C35-C36-C37-C38-C39</f>
        <v>186710622</v>
      </c>
      <c r="D40" s="379">
        <f>D33-D35-D36-D37-D38-D39</f>
        <v>111027384</v>
      </c>
      <c r="E40" s="379">
        <f>E33-E35-E36-E37-E38-E39</f>
        <v>1215294</v>
      </c>
    </row>
  </sheetData>
  <pageMargins left="0.7" right="0.7" top="0.75" bottom="0.75" header="0.3" footer="0.3"/>
  <pageSetup paperSize="9" orientation="portrait" horizont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6"/>
  <sheetViews>
    <sheetView topLeftCell="A43" workbookViewId="0">
      <selection activeCell="G56" sqref="G56"/>
    </sheetView>
  </sheetViews>
  <sheetFormatPr defaultRowHeight="15" x14ac:dyDescent="0.25"/>
  <cols>
    <col min="1" max="1" width="4.42578125" customWidth="1"/>
    <col min="2" max="2" width="31.140625" customWidth="1"/>
    <col min="3" max="3" width="18" style="225" bestFit="1" customWidth="1"/>
    <col min="4" max="4" width="4" customWidth="1"/>
    <col min="5" max="5" width="29.85546875" customWidth="1"/>
    <col min="6" max="6" width="18" style="225" bestFit="1" customWidth="1"/>
    <col min="7" max="8" width="14.28515625" bestFit="1" customWidth="1"/>
  </cols>
  <sheetData>
    <row r="1" spans="1:8" ht="17.25" x14ac:dyDescent="0.3">
      <c r="A1" s="266" t="s">
        <v>469</v>
      </c>
    </row>
    <row r="2" spans="1:8" x14ac:dyDescent="0.25">
      <c r="A2" s="21"/>
    </row>
    <row r="3" spans="1:8" x14ac:dyDescent="0.25">
      <c r="A3" s="21" t="s">
        <v>429</v>
      </c>
      <c r="E3" s="21" t="s">
        <v>519</v>
      </c>
    </row>
    <row r="4" spans="1:8" x14ac:dyDescent="0.25">
      <c r="A4" t="s">
        <v>430</v>
      </c>
    </row>
    <row r="5" spans="1:8" x14ac:dyDescent="0.25">
      <c r="B5" t="s">
        <v>431</v>
      </c>
      <c r="C5" s="225">
        <v>28767081</v>
      </c>
      <c r="E5" t="s">
        <v>432</v>
      </c>
      <c r="F5" s="225">
        <v>125015000</v>
      </c>
    </row>
    <row r="6" spans="1:8" x14ac:dyDescent="0.25">
      <c r="B6" t="s">
        <v>11</v>
      </c>
      <c r="C6" s="225">
        <v>138630446</v>
      </c>
      <c r="E6" t="s">
        <v>433</v>
      </c>
      <c r="F6" s="225">
        <v>80901262</v>
      </c>
    </row>
    <row r="7" spans="1:8" x14ac:dyDescent="0.25">
      <c r="B7" t="s">
        <v>434</v>
      </c>
      <c r="C7" s="225">
        <v>145227684</v>
      </c>
      <c r="E7" t="s">
        <v>435</v>
      </c>
      <c r="F7" s="225">
        <v>90000000</v>
      </c>
    </row>
    <row r="8" spans="1:8" x14ac:dyDescent="0.25">
      <c r="B8" t="s">
        <v>436</v>
      </c>
      <c r="C8" s="225">
        <v>767560</v>
      </c>
      <c r="E8" t="s">
        <v>437</v>
      </c>
      <c r="F8" s="225">
        <v>526992057</v>
      </c>
    </row>
    <row r="9" spans="1:8" x14ac:dyDescent="0.25">
      <c r="B9" t="s">
        <v>344</v>
      </c>
      <c r="C9" s="225">
        <v>10138756</v>
      </c>
      <c r="E9" t="s">
        <v>438</v>
      </c>
      <c r="F9" s="225">
        <v>100000000</v>
      </c>
    </row>
    <row r="10" spans="1:8" x14ac:dyDescent="0.25">
      <c r="B10" t="s">
        <v>439</v>
      </c>
      <c r="C10" s="225">
        <v>395892</v>
      </c>
      <c r="E10" t="s">
        <v>440</v>
      </c>
      <c r="F10" s="225">
        <v>30000000</v>
      </c>
    </row>
    <row r="11" spans="1:8" x14ac:dyDescent="0.25">
      <c r="B11" t="s">
        <v>441</v>
      </c>
      <c r="C11" s="225">
        <v>5500000</v>
      </c>
      <c r="E11" t="s">
        <v>442</v>
      </c>
      <c r="F11" s="225">
        <v>43285000</v>
      </c>
    </row>
    <row r="12" spans="1:8" x14ac:dyDescent="0.25">
      <c r="B12" t="s">
        <v>443</v>
      </c>
      <c r="C12" s="225">
        <v>3533067</v>
      </c>
      <c r="E12" t="s">
        <v>444</v>
      </c>
      <c r="F12" s="225">
        <v>30000000</v>
      </c>
    </row>
    <row r="13" spans="1:8" x14ac:dyDescent="0.25">
      <c r="B13" t="s">
        <v>445</v>
      </c>
      <c r="C13" s="225">
        <v>2000000</v>
      </c>
      <c r="E13" t="s">
        <v>446</v>
      </c>
      <c r="F13" s="225">
        <v>106900</v>
      </c>
    </row>
    <row r="14" spans="1:8" x14ac:dyDescent="0.25">
      <c r="B14" t="s">
        <v>447</v>
      </c>
      <c r="C14" s="225">
        <v>1000000</v>
      </c>
      <c r="E14" t="s">
        <v>448</v>
      </c>
      <c r="F14" s="225">
        <v>10404743</v>
      </c>
    </row>
    <row r="15" spans="1:8" x14ac:dyDescent="0.25">
      <c r="B15" t="s">
        <v>449</v>
      </c>
      <c r="C15" s="225">
        <v>1000000</v>
      </c>
      <c r="E15" t="s">
        <v>450</v>
      </c>
      <c r="F15" s="225">
        <v>-3621941</v>
      </c>
      <c r="H15" s="276"/>
    </row>
    <row r="16" spans="1:8" x14ac:dyDescent="0.25">
      <c r="B16" t="s">
        <v>389</v>
      </c>
      <c r="C16" s="225">
        <v>10000000</v>
      </c>
      <c r="E16" t="s">
        <v>514</v>
      </c>
      <c r="F16" s="225">
        <v>70460500</v>
      </c>
    </row>
    <row r="17" spans="1:8" x14ac:dyDescent="0.25">
      <c r="B17" t="s">
        <v>451</v>
      </c>
      <c r="C17" s="225">
        <v>5339855</v>
      </c>
      <c r="E17" t="s">
        <v>452</v>
      </c>
      <c r="F17" s="225">
        <v>30000000</v>
      </c>
    </row>
    <row r="18" spans="1:8" x14ac:dyDescent="0.25">
      <c r="B18" t="s">
        <v>453</v>
      </c>
      <c r="C18" s="225">
        <v>114077000</v>
      </c>
      <c r="E18" t="s">
        <v>454</v>
      </c>
      <c r="F18" s="225">
        <v>7646648000</v>
      </c>
    </row>
    <row r="19" spans="1:8" x14ac:dyDescent="0.25">
      <c r="B19" t="s">
        <v>455</v>
      </c>
      <c r="C19" s="225">
        <v>1350000000</v>
      </c>
      <c r="E19" t="s">
        <v>456</v>
      </c>
      <c r="F19" s="225">
        <v>1045300000</v>
      </c>
    </row>
    <row r="20" spans="1:8" x14ac:dyDescent="0.25">
      <c r="A20" t="s">
        <v>457</v>
      </c>
      <c r="C20" s="225">
        <v>237114334</v>
      </c>
      <c r="E20" t="s">
        <v>512</v>
      </c>
      <c r="F20" s="225">
        <v>2978321373</v>
      </c>
      <c r="H20" s="276"/>
    </row>
    <row r="21" spans="1:8" x14ac:dyDescent="0.25">
      <c r="A21" t="s">
        <v>459</v>
      </c>
      <c r="C21" s="225">
        <v>388590999</v>
      </c>
      <c r="E21" t="s">
        <v>464</v>
      </c>
      <c r="F21" s="225">
        <v>412328306</v>
      </c>
    </row>
    <row r="22" spans="1:8" x14ac:dyDescent="0.25">
      <c r="A22" t="s">
        <v>381</v>
      </c>
      <c r="C22" s="225">
        <v>157807000</v>
      </c>
      <c r="E22" t="s">
        <v>465</v>
      </c>
      <c r="F22" s="225">
        <v>1710987722</v>
      </c>
    </row>
    <row r="23" spans="1:8" x14ac:dyDescent="0.25">
      <c r="A23" t="s">
        <v>460</v>
      </c>
      <c r="C23" s="225">
        <v>20219215</v>
      </c>
    </row>
    <row r="24" spans="1:8" x14ac:dyDescent="0.25">
      <c r="A24" t="s">
        <v>461</v>
      </c>
      <c r="C24" s="225">
        <v>81913163</v>
      </c>
    </row>
    <row r="25" spans="1:8" x14ac:dyDescent="0.25">
      <c r="A25" t="s">
        <v>462</v>
      </c>
      <c r="C25" s="225">
        <v>3943998</v>
      </c>
    </row>
    <row r="26" spans="1:8" x14ac:dyDescent="0.25">
      <c r="A26" t="s">
        <v>463</v>
      </c>
      <c r="C26" s="225">
        <v>7842795074</v>
      </c>
      <c r="H26" s="276"/>
    </row>
    <row r="27" spans="1:8" x14ac:dyDescent="0.25">
      <c r="A27" t="s">
        <v>513</v>
      </c>
      <c r="C27" s="225">
        <v>4023621373</v>
      </c>
    </row>
    <row r="28" spans="1:8" x14ac:dyDescent="0.25">
      <c r="A28" t="s">
        <v>466</v>
      </c>
      <c r="C28" s="225">
        <v>354746425</v>
      </c>
    </row>
    <row r="29" spans="1:8" ht="15.75" thickBot="1" x14ac:dyDescent="0.3">
      <c r="A29" s="263" t="s">
        <v>467</v>
      </c>
      <c r="B29" s="263"/>
      <c r="C29" s="264">
        <f>SUM(C5:C28)</f>
        <v>14927128922</v>
      </c>
      <c r="D29" s="263"/>
      <c r="E29" s="263" t="s">
        <v>468</v>
      </c>
      <c r="F29" s="264">
        <f>SUM(F5:F28)</f>
        <v>14927128922</v>
      </c>
    </row>
    <row r="30" spans="1:8" ht="15.75" thickTop="1" x14ac:dyDescent="0.25">
      <c r="F30" s="225">
        <f>F29-C29</f>
        <v>0</v>
      </c>
    </row>
    <row r="31" spans="1:8" ht="17.25" x14ac:dyDescent="0.3">
      <c r="A31" s="266" t="s">
        <v>1315</v>
      </c>
    </row>
    <row r="33" spans="1:8" x14ac:dyDescent="0.25">
      <c r="A33" s="21" t="s">
        <v>429</v>
      </c>
      <c r="E33" s="21" t="s">
        <v>519</v>
      </c>
    </row>
    <row r="34" spans="1:8" x14ac:dyDescent="0.25">
      <c r="A34" t="s">
        <v>430</v>
      </c>
      <c r="C34" s="277"/>
      <c r="F34" s="277"/>
    </row>
    <row r="35" spans="1:8" x14ac:dyDescent="0.25">
      <c r="B35" t="s">
        <v>431</v>
      </c>
      <c r="C35" s="277">
        <f>C5+'Jur2'!B95-'Jur2'!D95</f>
        <v>20442758</v>
      </c>
      <c r="E35" t="s">
        <v>432</v>
      </c>
      <c r="F35" s="277">
        <f>F5+'Jur2'!D24-'Jur2'!B6</f>
        <v>128035000</v>
      </c>
      <c r="G35" s="19"/>
    </row>
    <row r="36" spans="1:8" x14ac:dyDescent="0.25">
      <c r="B36" t="s">
        <v>11</v>
      </c>
      <c r="C36" s="277">
        <f>C6+'Jur2'!B94-'Jur2'!D94</f>
        <v>188173460</v>
      </c>
      <c r="E36" t="s">
        <v>433</v>
      </c>
      <c r="F36" s="277">
        <f>F6+'Jur2'!D26-'Jur2'!B27-'Jur2'!B28-'Jur2'!B29</f>
        <v>144492415</v>
      </c>
      <c r="H36" s="276"/>
    </row>
    <row r="37" spans="1:8" x14ac:dyDescent="0.25">
      <c r="B37" t="s">
        <v>434</v>
      </c>
      <c r="C37" s="281">
        <f>C7+'Jur2'!B96-'Jur2'!D96-'Jur2'!D86</f>
        <v>160030043</v>
      </c>
      <c r="E37" t="s">
        <v>435</v>
      </c>
      <c r="F37" s="277">
        <v>90000000</v>
      </c>
      <c r="H37" s="276"/>
    </row>
    <row r="38" spans="1:8" x14ac:dyDescent="0.25">
      <c r="B38" t="s">
        <v>472</v>
      </c>
      <c r="C38" s="277">
        <f>'Jur2'!B20+'Jur2'!B69</f>
        <v>1885000</v>
      </c>
      <c r="E38" t="s">
        <v>437</v>
      </c>
      <c r="F38" s="277">
        <f>526992057+'Jur2'!D82</f>
        <v>676992057</v>
      </c>
      <c r="H38" s="276"/>
    </row>
    <row r="39" spans="1:8" x14ac:dyDescent="0.25">
      <c r="B39" t="s">
        <v>436</v>
      </c>
      <c r="C39" s="277">
        <v>767560</v>
      </c>
      <c r="E39" t="s">
        <v>438</v>
      </c>
      <c r="F39" s="277">
        <f>F9+LR!B35</f>
        <v>121000000</v>
      </c>
    </row>
    <row r="40" spans="1:8" x14ac:dyDescent="0.25">
      <c r="B40" t="s">
        <v>344</v>
      </c>
      <c r="C40" s="277">
        <f>C9+'Jur2'!B18+'Jur2'!B74-'Jur2'!D67-'Jur2'!D77-'Jur2'!D78</f>
        <v>81644890</v>
      </c>
      <c r="E40" t="s">
        <v>440</v>
      </c>
      <c r="F40" s="277">
        <f>F10+LR!B37-'Jur2'!B87</f>
        <v>9140484</v>
      </c>
      <c r="H40" s="276"/>
    </row>
    <row r="41" spans="1:8" x14ac:dyDescent="0.25">
      <c r="B41" t="s">
        <v>439</v>
      </c>
      <c r="C41" s="277">
        <v>395892</v>
      </c>
      <c r="E41" t="s">
        <v>442</v>
      </c>
      <c r="F41" s="277">
        <f>F11-'Jur2'!B55+LR!B39</f>
        <v>49435000</v>
      </c>
    </row>
    <row r="42" spans="1:8" x14ac:dyDescent="0.25">
      <c r="B42" t="s">
        <v>441</v>
      </c>
      <c r="C42" s="277">
        <v>5500000</v>
      </c>
      <c r="E42" t="s">
        <v>444</v>
      </c>
      <c r="F42" s="277">
        <f>F12+LR!B38</f>
        <v>36900000</v>
      </c>
    </row>
    <row r="43" spans="1:8" x14ac:dyDescent="0.25">
      <c r="B43" t="s">
        <v>443</v>
      </c>
      <c r="C43" s="225">
        <v>3533067</v>
      </c>
      <c r="E43" t="s">
        <v>446</v>
      </c>
      <c r="F43" s="277">
        <v>106900</v>
      </c>
    </row>
    <row r="44" spans="1:8" x14ac:dyDescent="0.25">
      <c r="B44" t="s">
        <v>445</v>
      </c>
      <c r="C44" s="225">
        <v>2000000</v>
      </c>
      <c r="E44" t="s">
        <v>448</v>
      </c>
      <c r="F44" s="225">
        <v>10404743</v>
      </c>
    </row>
    <row r="45" spans="1:8" x14ac:dyDescent="0.25">
      <c r="B45" t="s">
        <v>447</v>
      </c>
      <c r="C45" s="225">
        <v>1000000</v>
      </c>
      <c r="E45" t="s">
        <v>450</v>
      </c>
      <c r="F45" s="225">
        <v>-3621941</v>
      </c>
    </row>
    <row r="46" spans="1:8" x14ac:dyDescent="0.25">
      <c r="B46" t="s">
        <v>449</v>
      </c>
      <c r="C46" s="225">
        <f>C15</f>
        <v>1000000</v>
      </c>
      <c r="E46" t="s">
        <v>514</v>
      </c>
      <c r="F46" s="225">
        <f>F16-'Jur2'!B57+'Jur2'!D83</f>
        <v>107002500</v>
      </c>
    </row>
    <row r="47" spans="1:8" x14ac:dyDescent="0.25">
      <c r="B47" t="s">
        <v>389</v>
      </c>
      <c r="C47" s="225">
        <f>C16+'Jur2'!B71</f>
        <v>20000000</v>
      </c>
      <c r="E47" t="s">
        <v>452</v>
      </c>
      <c r="F47" s="225">
        <f>F17-'Jur2'!B50+LR!B36</f>
        <v>9280000</v>
      </c>
    </row>
    <row r="48" spans="1:8" x14ac:dyDescent="0.25">
      <c r="B48" t="s">
        <v>451</v>
      </c>
      <c r="C48" s="225">
        <v>5339855</v>
      </c>
      <c r="E48" t="s">
        <v>454</v>
      </c>
      <c r="F48" s="225">
        <v>7646648000</v>
      </c>
    </row>
    <row r="49" spans="1:8" x14ac:dyDescent="0.25">
      <c r="B49" t="s">
        <v>453</v>
      </c>
      <c r="C49" s="225">
        <f>C18+'Jur2'!B65-'Jur2'!D36</f>
        <v>116987000</v>
      </c>
      <c r="E49" t="s">
        <v>456</v>
      </c>
      <c r="F49" s="225">
        <v>1045300000</v>
      </c>
    </row>
    <row r="50" spans="1:8" x14ac:dyDescent="0.25">
      <c r="B50" t="s">
        <v>455</v>
      </c>
      <c r="C50" s="225">
        <f>C19-'Jur2'!D74-'Jur2'!D72-'Jur2'!D73</f>
        <v>260000000</v>
      </c>
      <c r="E50" t="s">
        <v>458</v>
      </c>
      <c r="F50" s="225">
        <v>2978321373</v>
      </c>
      <c r="G50" s="276"/>
    </row>
    <row r="51" spans="1:8" x14ac:dyDescent="0.25">
      <c r="A51" t="s">
        <v>457</v>
      </c>
      <c r="C51" s="225">
        <f>C20+'Jur2'!B61</f>
        <v>322566156</v>
      </c>
      <c r="E51" t="s">
        <v>464</v>
      </c>
      <c r="F51" s="225">
        <f>F21+F22-'Jur2'!B77-'Jur2'!B78-'Jur2'!B79-'Jur2'!B80-'Jur2'!B81-'Jur2'!B82-'Jur2'!B83</f>
        <v>1073316028</v>
      </c>
      <c r="H51" s="276"/>
    </row>
    <row r="52" spans="1:8" x14ac:dyDescent="0.25">
      <c r="A52" t="s">
        <v>459</v>
      </c>
      <c r="C52" s="225">
        <f>C21+'Jur2'!B30</f>
        <v>421660379</v>
      </c>
      <c r="E52" t="s">
        <v>470</v>
      </c>
      <c r="F52" s="225">
        <f>LR!B40</f>
        <v>298953300</v>
      </c>
    </row>
    <row r="53" spans="1:8" x14ac:dyDescent="0.25">
      <c r="A53" t="s">
        <v>381</v>
      </c>
      <c r="C53" s="225">
        <f>C22+'Jur2'!B63</f>
        <v>462133951</v>
      </c>
    </row>
    <row r="54" spans="1:8" x14ac:dyDescent="0.25">
      <c r="A54" t="s">
        <v>460</v>
      </c>
      <c r="C54" s="225">
        <v>20219215</v>
      </c>
    </row>
    <row r="55" spans="1:8" x14ac:dyDescent="0.25">
      <c r="A55" t="s">
        <v>1336</v>
      </c>
      <c r="C55" s="225">
        <f>'Jur2'!B85+'Jur2'!B54</f>
        <v>15466600</v>
      </c>
    </row>
    <row r="56" spans="1:8" x14ac:dyDescent="0.25">
      <c r="A56" t="s">
        <v>461</v>
      </c>
      <c r="C56" s="225">
        <v>81913163</v>
      </c>
    </row>
    <row r="57" spans="1:8" x14ac:dyDescent="0.25">
      <c r="A57" t="s">
        <v>462</v>
      </c>
      <c r="C57" s="225">
        <v>3943998</v>
      </c>
    </row>
    <row r="58" spans="1:8" x14ac:dyDescent="0.25">
      <c r="A58" t="s">
        <v>463</v>
      </c>
      <c r="C58" s="225">
        <v>7842795074</v>
      </c>
    </row>
    <row r="59" spans="1:8" x14ac:dyDescent="0.25">
      <c r="A59" t="s">
        <v>513</v>
      </c>
      <c r="C59" s="225">
        <v>4023621373</v>
      </c>
    </row>
    <row r="60" spans="1:8" x14ac:dyDescent="0.25">
      <c r="A60" t="s">
        <v>466</v>
      </c>
      <c r="C60" s="225">
        <f>C28+'Jur2'!B75-'Jur2'!D22</f>
        <v>358686425</v>
      </c>
    </row>
    <row r="62" spans="1:8" ht="15.75" thickBot="1" x14ac:dyDescent="0.3">
      <c r="A62" s="263" t="s">
        <v>467</v>
      </c>
      <c r="B62" s="263"/>
      <c r="C62" s="264">
        <f>SUM(C34:C61)</f>
        <v>14421705859</v>
      </c>
      <c r="D62" s="263"/>
      <c r="E62" s="263" t="s">
        <v>468</v>
      </c>
      <c r="F62" s="264">
        <f>SUM(F35:F61)</f>
        <v>14421705859</v>
      </c>
    </row>
    <row r="63" spans="1:8" ht="15.75" thickTop="1" x14ac:dyDescent="0.25">
      <c r="F63" s="225">
        <f>F62-C62</f>
        <v>0</v>
      </c>
    </row>
    <row r="66" spans="5:5" x14ac:dyDescent="0.25">
      <c r="E66" s="276"/>
    </row>
  </sheetData>
  <pageMargins left="0.7" right="0.7" top="0.75" bottom="0.75" header="0.3" footer="0.3"/>
  <pageSetup paperSize="9" scale="7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6"/>
  <sheetViews>
    <sheetView topLeftCell="A19" zoomScale="70" zoomScaleNormal="70" zoomScaleSheetLayoutView="110" workbookViewId="0">
      <selection activeCell="K36" sqref="K36"/>
    </sheetView>
  </sheetViews>
  <sheetFormatPr defaultRowHeight="15" x14ac:dyDescent="0.25"/>
  <cols>
    <col min="2" max="2" width="12.140625" customWidth="1"/>
    <col min="3" max="3" width="15.140625" bestFit="1" customWidth="1"/>
    <col min="4" max="4" width="19.85546875" style="45" customWidth="1"/>
    <col min="5" max="5" width="32.28515625" style="45" bestFit="1" customWidth="1"/>
    <col min="6" max="6" width="6.140625" customWidth="1"/>
    <col min="7" max="7" width="27.28515625" bestFit="1" customWidth="1"/>
    <col min="8" max="8" width="37.5703125" style="45" customWidth="1"/>
    <col min="9" max="9" width="9.85546875" customWidth="1"/>
  </cols>
  <sheetData>
    <row r="1" spans="2:8" ht="28.5" x14ac:dyDescent="0.45">
      <c r="B1" s="503" t="s">
        <v>573</v>
      </c>
      <c r="C1" s="503"/>
      <c r="D1" s="503"/>
      <c r="E1" s="503"/>
      <c r="F1" s="503"/>
      <c r="G1" s="503"/>
      <c r="H1" s="503"/>
    </row>
    <row r="2" spans="2:8" ht="18" customHeight="1" x14ac:dyDescent="0.3">
      <c r="B2" s="80"/>
      <c r="C2" s="80"/>
      <c r="D2" s="80"/>
      <c r="E2" s="80"/>
      <c r="F2" s="80"/>
      <c r="G2" s="80"/>
      <c r="H2" s="80"/>
    </row>
    <row r="3" spans="2:8" ht="19.5" x14ac:dyDescent="0.3">
      <c r="B3" s="508" t="s">
        <v>303</v>
      </c>
      <c r="C3" s="509"/>
      <c r="D3" s="510"/>
      <c r="E3" s="80"/>
      <c r="F3" s="508" t="s">
        <v>137</v>
      </c>
      <c r="G3" s="509"/>
      <c r="H3" s="510"/>
    </row>
    <row r="4" spans="2:8" x14ac:dyDescent="0.25">
      <c r="B4" s="504" t="s">
        <v>66</v>
      </c>
      <c r="C4" s="504"/>
      <c r="D4" s="51"/>
      <c r="F4" s="94">
        <v>1</v>
      </c>
      <c r="G4" s="15" t="s">
        <v>105</v>
      </c>
      <c r="H4" s="127">
        <f>KK!Y338</f>
        <v>-900000</v>
      </c>
    </row>
    <row r="5" spans="2:8" x14ac:dyDescent="0.25">
      <c r="B5" s="53"/>
      <c r="C5" s="53" t="s">
        <v>147</v>
      </c>
      <c r="D5" s="51">
        <f>Invoices!G27</f>
        <v>115986000</v>
      </c>
      <c r="E5" s="45">
        <f>SUM(D5:D8)</f>
        <v>167081000</v>
      </c>
      <c r="F5" s="94">
        <v>2</v>
      </c>
      <c r="G5" s="15" t="s">
        <v>254</v>
      </c>
      <c r="H5" s="127">
        <f>KK!M338</f>
        <v>-100000</v>
      </c>
    </row>
    <row r="6" spans="2:8" x14ac:dyDescent="0.25">
      <c r="B6" s="15"/>
      <c r="C6" s="15" t="s">
        <v>67</v>
      </c>
      <c r="D6" s="51">
        <f>Invoices!J27+Invoices!K27+Invoices!L27</f>
        <v>43325000</v>
      </c>
      <c r="F6" s="94">
        <v>3</v>
      </c>
      <c r="G6" s="15" t="s">
        <v>255</v>
      </c>
      <c r="H6" s="127">
        <f>KK!N338</f>
        <v>-432000</v>
      </c>
    </row>
    <row r="7" spans="2:8" x14ac:dyDescent="0.25">
      <c r="B7" s="15"/>
      <c r="C7" s="15" t="s">
        <v>112</v>
      </c>
      <c r="D7" s="51">
        <f>Invoices!H27</f>
        <v>7770000</v>
      </c>
      <c r="F7" s="94">
        <v>4</v>
      </c>
      <c r="G7" s="15" t="s">
        <v>256</v>
      </c>
      <c r="H7" s="128">
        <f>KK!O338</f>
        <v>-8789670</v>
      </c>
    </row>
    <row r="8" spans="2:8" x14ac:dyDescent="0.25">
      <c r="B8" s="15"/>
      <c r="C8" s="15" t="s">
        <v>172</v>
      </c>
      <c r="D8" s="51">
        <f>Invoices!I27</f>
        <v>0</v>
      </c>
      <c r="F8" s="94">
        <v>5</v>
      </c>
      <c r="G8" s="15" t="s">
        <v>257</v>
      </c>
      <c r="H8" s="128">
        <f>KK!P338</f>
        <v>-938090</v>
      </c>
    </row>
    <row r="9" spans="2:8" x14ac:dyDescent="0.25">
      <c r="B9" s="504" t="s">
        <v>68</v>
      </c>
      <c r="C9" s="504"/>
      <c r="D9" s="51"/>
      <c r="F9" s="94">
        <v>6</v>
      </c>
      <c r="G9" s="15" t="s">
        <v>258</v>
      </c>
      <c r="H9" s="128">
        <f>KK!Q338</f>
        <v>-2500000</v>
      </c>
    </row>
    <row r="10" spans="2:8" x14ac:dyDescent="0.25">
      <c r="B10" s="53"/>
      <c r="C10" s="15" t="s">
        <v>61</v>
      </c>
      <c r="D10" s="51">
        <f>Kuitansi!E112</f>
        <v>840000</v>
      </c>
      <c r="E10" s="45">
        <f>SUM(D10:D14)</f>
        <v>11415375</v>
      </c>
      <c r="F10" s="94">
        <v>7</v>
      </c>
      <c r="G10" s="15" t="s">
        <v>259</v>
      </c>
      <c r="H10" s="128">
        <f>KK!R338</f>
        <v>-1014267</v>
      </c>
    </row>
    <row r="11" spans="2:8" x14ac:dyDescent="0.25">
      <c r="B11" s="53"/>
      <c r="C11" s="53" t="s">
        <v>59</v>
      </c>
      <c r="D11" s="51">
        <f>Bills!J53</f>
        <v>7610375</v>
      </c>
      <c r="F11" s="94">
        <v>8</v>
      </c>
      <c r="G11" s="15" t="s">
        <v>213</v>
      </c>
      <c r="H11" s="129">
        <f>KK!D343+KK!D345</f>
        <v>-2107368</v>
      </c>
    </row>
    <row r="12" spans="2:8" x14ac:dyDescent="0.25">
      <c r="B12" s="53"/>
      <c r="C12" s="53" t="s">
        <v>110</v>
      </c>
      <c r="D12" s="51">
        <f>Bills!M53</f>
        <v>0</v>
      </c>
      <c r="F12" s="94">
        <v>9</v>
      </c>
      <c r="G12" s="15" t="s">
        <v>26</v>
      </c>
      <c r="H12" s="129">
        <f>KK!H338</f>
        <v>-40399450</v>
      </c>
    </row>
    <row r="13" spans="2:8" x14ac:dyDescent="0.25">
      <c r="B13" s="53"/>
      <c r="C13" s="53" t="s">
        <v>11</v>
      </c>
      <c r="D13" s="51">
        <f>Bills!N53</f>
        <v>2965000</v>
      </c>
      <c r="F13" s="94">
        <v>10</v>
      </c>
      <c r="G13" s="15" t="s">
        <v>27</v>
      </c>
      <c r="H13" s="129">
        <f>KK!I338</f>
        <v>-5154400</v>
      </c>
    </row>
    <row r="14" spans="2:8" x14ac:dyDescent="0.25">
      <c r="B14" s="53"/>
      <c r="C14" s="53" t="s">
        <v>173</v>
      </c>
      <c r="D14" s="51">
        <f>Bills!O53</f>
        <v>0</v>
      </c>
      <c r="F14" s="94">
        <v>11</v>
      </c>
      <c r="G14" s="15" t="s">
        <v>28</v>
      </c>
      <c r="H14" s="129">
        <f>KK!J338</f>
        <v>-7520300</v>
      </c>
    </row>
    <row r="15" spans="2:8" x14ac:dyDescent="0.25">
      <c r="B15" s="504" t="s">
        <v>70</v>
      </c>
      <c r="C15" s="504"/>
      <c r="D15" s="51"/>
      <c r="E15" s="45">
        <f>SUM(D16:D17)</f>
        <v>3887863</v>
      </c>
      <c r="F15" s="94">
        <v>12</v>
      </c>
      <c r="G15" s="15" t="s">
        <v>29</v>
      </c>
      <c r="H15" s="129">
        <f>KK!K338</f>
        <v>-3010000</v>
      </c>
    </row>
    <row r="16" spans="2:8" x14ac:dyDescent="0.25">
      <c r="B16" s="15"/>
      <c r="C16" s="15" t="s">
        <v>101</v>
      </c>
      <c r="D16" s="51">
        <f>Bank!I55</f>
        <v>2754000</v>
      </c>
      <c r="F16" s="94">
        <v>13</v>
      </c>
      <c r="G16" s="15" t="s">
        <v>34</v>
      </c>
      <c r="H16" s="129">
        <f>KK!L338</f>
        <v>-1407800</v>
      </c>
    </row>
    <row r="17" spans="2:13" x14ac:dyDescent="0.25">
      <c r="B17" s="15"/>
      <c r="C17" s="15" t="s">
        <v>102</v>
      </c>
      <c r="D17" s="51">
        <f>Bank!H55</f>
        <v>1133863</v>
      </c>
      <c r="F17" s="94">
        <v>14</v>
      </c>
      <c r="G17" s="54" t="s">
        <v>30</v>
      </c>
      <c r="H17" s="129">
        <f>KK!AC338</f>
        <v>-1750000</v>
      </c>
    </row>
    <row r="18" spans="2:13" x14ac:dyDescent="0.25">
      <c r="B18" s="505" t="s">
        <v>71</v>
      </c>
      <c r="C18" s="505"/>
      <c r="D18" s="51"/>
      <c r="F18" s="94">
        <v>15</v>
      </c>
      <c r="G18" s="15" t="s">
        <v>33</v>
      </c>
      <c r="H18" s="129">
        <f>KK!AI338</f>
        <v>-300000</v>
      </c>
    </row>
    <row r="19" spans="2:13" x14ac:dyDescent="0.25">
      <c r="B19" s="15"/>
      <c r="C19" s="15" t="s">
        <v>35</v>
      </c>
      <c r="D19" s="51">
        <f>OOD!M11</f>
        <v>0</v>
      </c>
      <c r="E19" s="45">
        <f>SUM(D19:D24)</f>
        <v>6490000</v>
      </c>
      <c r="F19" s="94">
        <v>16</v>
      </c>
      <c r="G19" s="15" t="s">
        <v>121</v>
      </c>
      <c r="H19" s="129">
        <f>KK!S338</f>
        <v>-24025822</v>
      </c>
    </row>
    <row r="20" spans="2:13" x14ac:dyDescent="0.25">
      <c r="B20" s="15"/>
      <c r="C20" s="15" t="s">
        <v>308</v>
      </c>
      <c r="D20" s="51">
        <f>Bank!R55</f>
        <v>0</v>
      </c>
      <c r="F20" s="94">
        <v>17</v>
      </c>
      <c r="G20" s="15" t="s">
        <v>122</v>
      </c>
      <c r="H20" s="129">
        <f>KK!T338</f>
        <v>-568600</v>
      </c>
    </row>
    <row r="21" spans="2:13" x14ac:dyDescent="0.25">
      <c r="B21" s="15"/>
      <c r="C21" s="15" t="s">
        <v>41</v>
      </c>
      <c r="D21" s="51">
        <f>OOD!C33</f>
        <v>2390000</v>
      </c>
      <c r="F21" s="94">
        <v>18</v>
      </c>
      <c r="G21" s="54" t="s">
        <v>132</v>
      </c>
      <c r="H21" s="128">
        <f>KK!V338</f>
        <v>-63386</v>
      </c>
    </row>
    <row r="22" spans="2:13" x14ac:dyDescent="0.25">
      <c r="B22" s="15"/>
      <c r="C22" s="15" t="s">
        <v>42</v>
      </c>
      <c r="D22" s="51">
        <f>OOD!H26</f>
        <v>0</v>
      </c>
      <c r="F22" s="94">
        <v>19</v>
      </c>
      <c r="G22" s="15" t="s">
        <v>32</v>
      </c>
      <c r="H22" s="128">
        <f>KK!AB338</f>
        <v>-833150</v>
      </c>
    </row>
    <row r="23" spans="2:13" x14ac:dyDescent="0.25">
      <c r="B23" s="15"/>
      <c r="C23" s="15" t="s">
        <v>36</v>
      </c>
      <c r="D23" s="51">
        <f>OOD!H29</f>
        <v>0</v>
      </c>
      <c r="F23" s="94">
        <v>20</v>
      </c>
      <c r="G23" s="15" t="s">
        <v>252</v>
      </c>
      <c r="H23" s="128">
        <f>KK!Z338</f>
        <v>-1121850</v>
      </c>
    </row>
    <row r="24" spans="2:13" x14ac:dyDescent="0.25">
      <c r="B24" s="15"/>
      <c r="C24" s="15" t="s">
        <v>13</v>
      </c>
      <c r="D24" s="51">
        <f>OOD!H11</f>
        <v>4100000</v>
      </c>
      <c r="F24" s="94">
        <v>21</v>
      </c>
      <c r="G24" s="15" t="s">
        <v>253</v>
      </c>
      <c r="H24" s="128">
        <f>KK!AA338</f>
        <v>-2282588</v>
      </c>
    </row>
    <row r="25" spans="2:13" x14ac:dyDescent="0.25">
      <c r="B25" s="513" t="s">
        <v>309</v>
      </c>
      <c r="C25" s="514"/>
      <c r="D25" s="51"/>
      <c r="F25" s="94">
        <v>22</v>
      </c>
      <c r="G25" s="15" t="s">
        <v>35</v>
      </c>
      <c r="H25" s="128">
        <f>KK!AJ338</f>
        <v>-590470</v>
      </c>
      <c r="I25" s="38"/>
    </row>
    <row r="26" spans="2:13" x14ac:dyDescent="0.25">
      <c r="B26" s="15"/>
      <c r="C26" s="233" t="s">
        <v>11</v>
      </c>
      <c r="D26" s="51">
        <f>Bank!C72</f>
        <v>-53712</v>
      </c>
      <c r="E26" s="45">
        <f>SUM(D26:D29)</f>
        <v>1198830</v>
      </c>
      <c r="F26" s="94">
        <v>23</v>
      </c>
      <c r="G26" s="15" t="s">
        <v>36</v>
      </c>
      <c r="H26" s="128">
        <f>KK!AK338</f>
        <v>-1214510</v>
      </c>
    </row>
    <row r="27" spans="2:13" x14ac:dyDescent="0.25">
      <c r="B27" s="15"/>
      <c r="C27" s="233" t="s">
        <v>344</v>
      </c>
      <c r="D27" s="51">
        <f>Bank!C83</f>
        <v>1282542</v>
      </c>
      <c r="F27" s="94">
        <v>24</v>
      </c>
      <c r="G27" s="71" t="s">
        <v>150</v>
      </c>
      <c r="H27" s="130">
        <f>KK!X338</f>
        <v>-4550000</v>
      </c>
    </row>
    <row r="28" spans="2:13" x14ac:dyDescent="0.25">
      <c r="B28" s="15"/>
      <c r="C28" s="233" t="s">
        <v>196</v>
      </c>
      <c r="D28" s="51">
        <f>Bank!C99</f>
        <v>-30000</v>
      </c>
      <c r="F28" s="94">
        <v>25</v>
      </c>
      <c r="G28" s="71" t="s">
        <v>232</v>
      </c>
      <c r="H28" s="130">
        <f>KK!AG338</f>
        <v>-55028800</v>
      </c>
    </row>
    <row r="29" spans="2:13" x14ac:dyDescent="0.25">
      <c r="B29" s="15"/>
      <c r="C29" s="233" t="s">
        <v>345</v>
      </c>
      <c r="D29" s="51">
        <v>0</v>
      </c>
      <c r="F29" s="94">
        <v>26</v>
      </c>
      <c r="G29" s="71" t="s">
        <v>151</v>
      </c>
      <c r="H29" s="130">
        <f>KK!AF338</f>
        <v>-22067258</v>
      </c>
    </row>
    <row r="30" spans="2:13" x14ac:dyDescent="0.25">
      <c r="B30" s="95" t="s">
        <v>103</v>
      </c>
      <c r="C30" s="13"/>
      <c r="D30" s="51">
        <f>SUM(D5:D29)</f>
        <v>190073068</v>
      </c>
      <c r="F30" s="94">
        <v>27</v>
      </c>
      <c r="G30" s="71" t="s">
        <v>152</v>
      </c>
      <c r="H30" s="130">
        <f>KK!AE338</f>
        <v>-6002417</v>
      </c>
      <c r="M30" t="s">
        <v>273</v>
      </c>
    </row>
    <row r="31" spans="2:13" x14ac:dyDescent="0.25">
      <c r="B31" s="58"/>
      <c r="C31" s="58"/>
      <c r="F31" s="94">
        <v>28</v>
      </c>
      <c r="G31" s="71" t="s">
        <v>153</v>
      </c>
      <c r="H31" s="130">
        <f>KK!AD338</f>
        <v>-4241550</v>
      </c>
    </row>
    <row r="32" spans="2:13" x14ac:dyDescent="0.25">
      <c r="F32" s="94">
        <v>29</v>
      </c>
      <c r="G32" s="71" t="s">
        <v>233</v>
      </c>
      <c r="H32" s="130">
        <f>KK!AH338</f>
        <v>0</v>
      </c>
    </row>
    <row r="33" spans="4:8" x14ac:dyDescent="0.25">
      <c r="F33" s="94">
        <v>30</v>
      </c>
      <c r="G33" s="199" t="s">
        <v>284</v>
      </c>
      <c r="H33" s="200">
        <v>-7000000</v>
      </c>
    </row>
    <row r="34" spans="4:8" x14ac:dyDescent="0.25">
      <c r="F34" s="94">
        <v>31</v>
      </c>
      <c r="G34" s="199" t="s">
        <v>281</v>
      </c>
      <c r="H34" s="200">
        <v>-2700000</v>
      </c>
    </row>
    <row r="35" spans="4:8" x14ac:dyDescent="0.25">
      <c r="F35" s="94">
        <v>32</v>
      </c>
      <c r="G35" s="199" t="s">
        <v>282</v>
      </c>
      <c r="H35" s="200">
        <v>-2500000</v>
      </c>
    </row>
    <row r="36" spans="4:8" x14ac:dyDescent="0.25">
      <c r="F36" s="94">
        <v>33</v>
      </c>
      <c r="G36" s="199" t="s">
        <v>283</v>
      </c>
      <c r="H36" s="200">
        <v>-2300000</v>
      </c>
    </row>
    <row r="37" spans="4:8" x14ac:dyDescent="0.25">
      <c r="F37" s="459" t="s">
        <v>104</v>
      </c>
      <c r="G37" s="459"/>
      <c r="H37" s="51">
        <f>SUM(H4:H36)</f>
        <v>-213413746</v>
      </c>
    </row>
    <row r="39" spans="4:8" x14ac:dyDescent="0.25">
      <c r="G39" s="456" t="s">
        <v>136</v>
      </c>
      <c r="H39" s="458"/>
    </row>
    <row r="40" spans="4:8" x14ac:dyDescent="0.25">
      <c r="G40" s="506" t="s">
        <v>156</v>
      </c>
      <c r="H40" s="507"/>
    </row>
    <row r="41" spans="4:8" x14ac:dyDescent="0.25">
      <c r="G41" s="132" t="s">
        <v>96</v>
      </c>
      <c r="H41" s="131">
        <f>SUM(D45-H27-H28-H29-H30-H31-H32)</f>
        <v>68549347</v>
      </c>
    </row>
    <row r="42" spans="4:8" x14ac:dyDescent="0.25">
      <c r="G42" s="60"/>
    </row>
    <row r="43" spans="4:8" x14ac:dyDescent="0.25">
      <c r="G43" s="38"/>
    </row>
    <row r="44" spans="4:8" x14ac:dyDescent="0.25">
      <c r="D44" s="511" t="s">
        <v>139</v>
      </c>
      <c r="E44" s="512"/>
    </row>
    <row r="45" spans="4:8" x14ac:dyDescent="0.25">
      <c r="D45" s="499">
        <f>D30+H37</f>
        <v>-23340678</v>
      </c>
      <c r="E45" s="500"/>
    </row>
    <row r="46" spans="4:8" x14ac:dyDescent="0.25">
      <c r="D46" s="501"/>
      <c r="E46" s="502"/>
    </row>
  </sheetData>
  <mergeCells count="13">
    <mergeCell ref="D45:E46"/>
    <mergeCell ref="B1:H1"/>
    <mergeCell ref="B4:C4"/>
    <mergeCell ref="B9:C9"/>
    <mergeCell ref="B15:C15"/>
    <mergeCell ref="B18:C18"/>
    <mergeCell ref="G39:H39"/>
    <mergeCell ref="G40:H40"/>
    <mergeCell ref="B3:D3"/>
    <mergeCell ref="F37:G37"/>
    <mergeCell ref="F3:H3"/>
    <mergeCell ref="D44:E44"/>
    <mergeCell ref="B25:C25"/>
  </mergeCells>
  <pageMargins left="0" right="0" top="0" bottom="0" header="0" footer="0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0"/>
  <sheetViews>
    <sheetView zoomScale="80" zoomScaleNormal="80" workbookViewId="0">
      <pane ySplit="1" topLeftCell="A328" activePane="bottomLeft" state="frozen"/>
      <selection pane="bottomLeft" activeCell="F333" sqref="F333"/>
    </sheetView>
  </sheetViews>
  <sheetFormatPr defaultRowHeight="15" x14ac:dyDescent="0.25"/>
  <cols>
    <col min="1" max="1" width="12.85546875" customWidth="1"/>
    <col min="2" max="2" width="59.5703125" customWidth="1"/>
    <col min="3" max="3" width="18.7109375" style="31" bestFit="1" customWidth="1"/>
    <col min="4" max="4" width="27.42578125" customWidth="1"/>
    <col min="5" max="5" width="18" customWidth="1"/>
    <col min="6" max="6" width="23.85546875" customWidth="1"/>
    <col min="7" max="7" width="14.42578125" customWidth="1"/>
    <col min="8" max="8" width="15" bestFit="1" customWidth="1"/>
    <col min="9" max="9" width="12.28515625" customWidth="1"/>
    <col min="10" max="10" width="13.140625" bestFit="1" customWidth="1"/>
    <col min="11" max="11" width="13.28515625" bestFit="1" customWidth="1"/>
    <col min="12" max="12" width="13.140625" bestFit="1" customWidth="1"/>
    <col min="13" max="13" width="13.140625" customWidth="1"/>
    <col min="14" max="14" width="11.5703125" bestFit="1" customWidth="1"/>
    <col min="15" max="16" width="11.5703125" customWidth="1"/>
    <col min="17" max="17" width="15.7109375" customWidth="1"/>
    <col min="18" max="19" width="14" bestFit="1" customWidth="1"/>
    <col min="20" max="20" width="11.5703125" bestFit="1" customWidth="1"/>
    <col min="21" max="21" width="11.140625" bestFit="1" customWidth="1"/>
    <col min="22" max="22" width="10.5703125" bestFit="1" customWidth="1"/>
    <col min="23" max="23" width="10.5703125" customWidth="1"/>
    <col min="24" max="24" width="12.28515625" customWidth="1"/>
    <col min="25" max="25" width="11.5703125" bestFit="1" customWidth="1"/>
    <col min="26" max="26" width="11.5703125" customWidth="1"/>
    <col min="27" max="27" width="16.7109375" customWidth="1"/>
    <col min="28" max="28" width="11.140625" bestFit="1" customWidth="1"/>
    <col min="29" max="29" width="14.5703125" bestFit="1" customWidth="1"/>
    <col min="30" max="30" width="14.85546875" customWidth="1"/>
    <col min="31" max="31" width="12.140625" bestFit="1" customWidth="1"/>
    <col min="32" max="32" width="13.7109375" customWidth="1"/>
    <col min="33" max="33" width="14.85546875" customWidth="1"/>
    <col min="34" max="34" width="11.5703125" customWidth="1"/>
    <col min="35" max="35" width="10.5703125" bestFit="1" customWidth="1"/>
    <col min="36" max="36" width="10.85546875" customWidth="1"/>
    <col min="38" max="38" width="10.42578125" bestFit="1" customWidth="1"/>
  </cols>
  <sheetData>
    <row r="1" spans="1:38" s="25" customFormat="1" ht="45" x14ac:dyDescent="0.25">
      <c r="A1" s="23" t="s">
        <v>38</v>
      </c>
      <c r="B1" s="43" t="s">
        <v>5</v>
      </c>
      <c r="C1" s="1" t="s">
        <v>6</v>
      </c>
      <c r="D1" s="44" t="s">
        <v>39</v>
      </c>
      <c r="E1" s="44" t="s">
        <v>1258</v>
      </c>
      <c r="F1" s="44" t="s">
        <v>531</v>
      </c>
      <c r="G1" s="41" t="s">
        <v>25</v>
      </c>
      <c r="H1" s="41" t="s">
        <v>26</v>
      </c>
      <c r="I1" s="41" t="s">
        <v>27</v>
      </c>
      <c r="J1" s="41" t="s">
        <v>28</v>
      </c>
      <c r="K1" s="41" t="s">
        <v>29</v>
      </c>
      <c r="L1" s="41" t="s">
        <v>34</v>
      </c>
      <c r="M1" s="24" t="s">
        <v>254</v>
      </c>
      <c r="N1" s="24" t="s">
        <v>255</v>
      </c>
      <c r="O1" s="24" t="s">
        <v>256</v>
      </c>
      <c r="P1" s="24" t="s">
        <v>257</v>
      </c>
      <c r="Q1" s="24" t="s">
        <v>258</v>
      </c>
      <c r="R1" s="24" t="s">
        <v>259</v>
      </c>
      <c r="S1" s="24" t="s">
        <v>127</v>
      </c>
      <c r="T1" s="24" t="s">
        <v>128</v>
      </c>
      <c r="U1" s="24" t="s">
        <v>123</v>
      </c>
      <c r="V1" s="24" t="s">
        <v>129</v>
      </c>
      <c r="W1" s="24" t="s">
        <v>206</v>
      </c>
      <c r="X1" s="24" t="s">
        <v>150</v>
      </c>
      <c r="Y1" s="24" t="s">
        <v>130</v>
      </c>
      <c r="Z1" s="24" t="s">
        <v>252</v>
      </c>
      <c r="AA1" s="24" t="s">
        <v>253</v>
      </c>
      <c r="AB1" s="41" t="s">
        <v>32</v>
      </c>
      <c r="AC1" s="41" t="s">
        <v>30</v>
      </c>
      <c r="AD1" s="24" t="s">
        <v>153</v>
      </c>
      <c r="AE1" s="41" t="s">
        <v>152</v>
      </c>
      <c r="AF1" s="24" t="s">
        <v>151</v>
      </c>
      <c r="AG1" s="24" t="s">
        <v>231</v>
      </c>
      <c r="AH1" s="24" t="s">
        <v>229</v>
      </c>
      <c r="AI1" s="41" t="s">
        <v>131</v>
      </c>
      <c r="AJ1" s="41" t="s">
        <v>35</v>
      </c>
      <c r="AK1" s="41" t="s">
        <v>36</v>
      </c>
      <c r="AL1" s="41" t="s">
        <v>40</v>
      </c>
    </row>
    <row r="2" spans="1:38" s="98" customFormat="1" x14ac:dyDescent="0.25">
      <c r="A2" s="99">
        <v>45352</v>
      </c>
      <c r="B2" s="50" t="s">
        <v>163</v>
      </c>
      <c r="C2" s="64">
        <v>-11000</v>
      </c>
      <c r="D2" s="157" t="s">
        <v>532</v>
      </c>
      <c r="E2" s="157"/>
      <c r="F2" s="157"/>
      <c r="G2" s="93"/>
      <c r="H2" s="93"/>
      <c r="I2" s="93"/>
      <c r="J2" s="93"/>
      <c r="K2" s="93">
        <f>C2</f>
        <v>-11000</v>
      </c>
      <c r="L2" s="93"/>
      <c r="M2" s="93"/>
      <c r="N2" s="93"/>
      <c r="O2" s="93"/>
      <c r="P2" s="93"/>
      <c r="Q2" s="93"/>
      <c r="R2" s="97"/>
      <c r="S2" s="97"/>
      <c r="T2" s="97"/>
      <c r="U2" s="97"/>
      <c r="V2" s="97"/>
      <c r="W2" s="97"/>
      <c r="X2" s="97"/>
      <c r="Y2" s="97"/>
      <c r="Z2" s="97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</row>
    <row r="3" spans="1:38" s="98" customFormat="1" x14ac:dyDescent="0.25">
      <c r="A3" s="99">
        <v>45352</v>
      </c>
      <c r="B3" s="50" t="s">
        <v>593</v>
      </c>
      <c r="C3" s="64">
        <v>-65000</v>
      </c>
      <c r="D3" s="157" t="s">
        <v>25</v>
      </c>
      <c r="E3" s="157"/>
      <c r="F3" s="157"/>
      <c r="G3" s="93">
        <f>C3</f>
        <v>-65000</v>
      </c>
      <c r="H3" s="93"/>
      <c r="I3" s="93"/>
      <c r="J3" s="93"/>
      <c r="K3" s="93"/>
      <c r="L3" s="93"/>
      <c r="M3" s="93"/>
      <c r="N3" s="93"/>
      <c r="O3" s="93"/>
      <c r="P3" s="93"/>
      <c r="Q3" s="93"/>
      <c r="R3" s="97"/>
      <c r="S3" s="97"/>
      <c r="T3" s="97"/>
      <c r="U3" s="97"/>
      <c r="V3" s="97"/>
      <c r="W3" s="97"/>
      <c r="X3" s="97"/>
      <c r="Y3" s="97"/>
      <c r="Z3" s="97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</row>
    <row r="4" spans="1:38" s="98" customFormat="1" x14ac:dyDescent="0.25">
      <c r="A4" s="99">
        <v>45352</v>
      </c>
      <c r="B4" s="50" t="s">
        <v>594</v>
      </c>
      <c r="C4" s="64">
        <v>-66300</v>
      </c>
      <c r="D4" s="157" t="s">
        <v>27</v>
      </c>
      <c r="E4" s="157"/>
      <c r="F4" s="157"/>
      <c r="G4" s="93"/>
      <c r="H4" s="93"/>
      <c r="I4" s="93">
        <f>C4</f>
        <v>-66300</v>
      </c>
      <c r="J4" s="93"/>
      <c r="K4" s="93"/>
      <c r="L4" s="93"/>
      <c r="M4" s="93"/>
      <c r="N4" s="93"/>
      <c r="O4" s="93"/>
      <c r="P4" s="93"/>
      <c r="Q4" s="93"/>
      <c r="R4" s="97"/>
      <c r="S4" s="97"/>
      <c r="T4" s="97"/>
      <c r="U4" s="97"/>
      <c r="V4" s="97"/>
      <c r="W4" s="97"/>
      <c r="X4" s="97"/>
      <c r="Y4" s="97"/>
      <c r="Z4" s="97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</row>
    <row r="5" spans="1:38" s="98" customFormat="1" x14ac:dyDescent="0.25">
      <c r="A5" s="99">
        <v>45352</v>
      </c>
      <c r="B5" s="50" t="s">
        <v>595</v>
      </c>
      <c r="C5" s="64">
        <v>-90300</v>
      </c>
      <c r="D5" s="157" t="s">
        <v>927</v>
      </c>
      <c r="E5" s="157"/>
      <c r="F5" s="157"/>
      <c r="G5" s="93"/>
      <c r="H5" s="93"/>
      <c r="I5" s="93"/>
      <c r="J5" s="93"/>
      <c r="K5" s="93"/>
      <c r="L5" s="93">
        <f>C5</f>
        <v>-90300</v>
      </c>
      <c r="M5" s="93"/>
      <c r="N5" s="93"/>
      <c r="O5" s="93"/>
      <c r="P5" s="93"/>
      <c r="Q5" s="93"/>
      <c r="R5" s="97"/>
      <c r="S5" s="97"/>
      <c r="T5" s="97"/>
      <c r="U5" s="97"/>
      <c r="V5" s="97"/>
      <c r="W5" s="97"/>
      <c r="X5" s="97"/>
      <c r="Y5" s="97"/>
      <c r="Z5" s="97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</row>
    <row r="6" spans="1:38" s="98" customFormat="1" x14ac:dyDescent="0.25">
      <c r="A6" s="99">
        <v>45352</v>
      </c>
      <c r="B6" s="50" t="s">
        <v>264</v>
      </c>
      <c r="C6" s="64">
        <v>-31500</v>
      </c>
      <c r="D6" s="157" t="s">
        <v>533</v>
      </c>
      <c r="E6" s="157"/>
      <c r="F6" s="157"/>
      <c r="G6" s="93"/>
      <c r="H6" s="93">
        <f>C6</f>
        <v>-31500</v>
      </c>
      <c r="I6" s="93"/>
      <c r="J6" s="93"/>
      <c r="K6" s="93"/>
      <c r="L6" s="93"/>
      <c r="M6" s="93"/>
      <c r="N6" s="93"/>
      <c r="O6" s="93"/>
      <c r="P6" s="93"/>
      <c r="Q6" s="93"/>
      <c r="R6" s="97"/>
      <c r="S6" s="97"/>
      <c r="T6" s="97"/>
      <c r="U6" s="97"/>
      <c r="V6" s="97"/>
      <c r="W6" s="97"/>
      <c r="X6" s="97"/>
      <c r="Y6" s="97"/>
      <c r="Z6" s="97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</row>
    <row r="7" spans="1:38" s="98" customFormat="1" x14ac:dyDescent="0.25">
      <c r="A7" s="99">
        <v>45352</v>
      </c>
      <c r="B7" s="50" t="s">
        <v>596</v>
      </c>
      <c r="C7" s="64">
        <v>-219000</v>
      </c>
      <c r="D7" s="157" t="s">
        <v>533</v>
      </c>
      <c r="E7" s="157"/>
      <c r="F7" s="157"/>
      <c r="G7" s="93"/>
      <c r="H7" s="93">
        <f>C7</f>
        <v>-219000</v>
      </c>
      <c r="I7" s="93"/>
      <c r="J7" s="93"/>
      <c r="K7" s="93"/>
      <c r="L7" s="93"/>
      <c r="M7" s="93"/>
      <c r="N7" s="93"/>
      <c r="O7" s="93"/>
      <c r="P7" s="93"/>
      <c r="Q7" s="93"/>
      <c r="R7" s="97"/>
      <c r="S7" s="97"/>
      <c r="T7" s="97"/>
      <c r="U7" s="97"/>
      <c r="V7" s="97"/>
      <c r="W7" s="97"/>
      <c r="X7" s="97"/>
      <c r="Y7" s="97"/>
      <c r="Z7" s="97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</row>
    <row r="8" spans="1:38" s="98" customFormat="1" x14ac:dyDescent="0.25">
      <c r="A8" s="99">
        <v>45352</v>
      </c>
      <c r="B8" s="50" t="s">
        <v>264</v>
      </c>
      <c r="C8" s="64">
        <v>-4264600</v>
      </c>
      <c r="D8" s="157" t="s">
        <v>533</v>
      </c>
      <c r="E8" s="157"/>
      <c r="F8" s="157"/>
      <c r="G8" s="93"/>
      <c r="H8" s="93">
        <f>C8</f>
        <v>-4264600</v>
      </c>
      <c r="I8" s="93"/>
      <c r="J8" s="93"/>
      <c r="K8" s="93"/>
      <c r="L8" s="93"/>
      <c r="M8" s="93"/>
      <c r="N8" s="93"/>
      <c r="O8" s="93"/>
      <c r="P8" s="93"/>
      <c r="Q8" s="93"/>
      <c r="R8" s="97"/>
      <c r="S8" s="97"/>
      <c r="T8" s="97"/>
      <c r="U8" s="97"/>
      <c r="V8" s="97"/>
      <c r="W8" s="97"/>
      <c r="X8" s="97"/>
      <c r="Y8" s="97"/>
      <c r="Z8" s="97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</row>
    <row r="9" spans="1:38" s="98" customFormat="1" x14ac:dyDescent="0.25">
      <c r="A9" s="99">
        <v>45352</v>
      </c>
      <c r="B9" s="50" t="s">
        <v>597</v>
      </c>
      <c r="C9" s="64">
        <v>-72500</v>
      </c>
      <c r="D9" s="157" t="s">
        <v>928</v>
      </c>
      <c r="E9" s="157"/>
      <c r="F9" s="157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7"/>
      <c r="S9" s="97"/>
      <c r="T9" s="97"/>
      <c r="U9" s="97"/>
      <c r="V9" s="97"/>
      <c r="W9" s="97"/>
      <c r="X9" s="97"/>
      <c r="Y9" s="97"/>
      <c r="Z9" s="97"/>
      <c r="AA9" s="93"/>
      <c r="AB9" s="93"/>
      <c r="AC9" s="93"/>
      <c r="AD9" s="93">
        <f>C9</f>
        <v>-72500</v>
      </c>
      <c r="AE9" s="93"/>
      <c r="AF9" s="93"/>
      <c r="AG9" s="93"/>
      <c r="AH9" s="93"/>
      <c r="AI9" s="93"/>
      <c r="AJ9" s="93"/>
      <c r="AK9" s="93"/>
      <c r="AL9" s="93"/>
    </row>
    <row r="10" spans="1:38" s="98" customFormat="1" x14ac:dyDescent="0.25">
      <c r="A10" s="99">
        <v>45352</v>
      </c>
      <c r="B10" s="50" t="s">
        <v>598</v>
      </c>
      <c r="C10" s="64">
        <v>-75000</v>
      </c>
      <c r="D10" s="157" t="s">
        <v>25</v>
      </c>
      <c r="E10" s="157"/>
      <c r="F10" s="157"/>
      <c r="G10" s="93">
        <f>C10</f>
        <v>-75000</v>
      </c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7"/>
      <c r="S10" s="97"/>
      <c r="T10" s="97"/>
      <c r="U10" s="97"/>
      <c r="V10" s="97"/>
      <c r="W10" s="97"/>
      <c r="X10" s="97"/>
      <c r="Y10" s="97"/>
      <c r="Z10" s="97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</row>
    <row r="11" spans="1:38" s="98" customFormat="1" x14ac:dyDescent="0.25">
      <c r="A11" s="99">
        <v>45352</v>
      </c>
      <c r="B11" s="50" t="s">
        <v>267</v>
      </c>
      <c r="C11" s="64">
        <v>-1670000</v>
      </c>
      <c r="D11" s="157" t="s">
        <v>535</v>
      </c>
      <c r="E11" s="157"/>
      <c r="F11" s="157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7"/>
      <c r="S11" s="97"/>
      <c r="T11" s="97"/>
      <c r="U11" s="97"/>
      <c r="V11" s="97"/>
      <c r="W11" s="97"/>
      <c r="X11" s="97"/>
      <c r="Y11" s="97"/>
      <c r="Z11" s="97"/>
      <c r="AA11" s="93"/>
      <c r="AB11" s="93"/>
      <c r="AC11" s="93"/>
      <c r="AD11" s="93"/>
      <c r="AE11" s="93"/>
      <c r="AF11" s="93"/>
      <c r="AG11" s="93">
        <f>C11</f>
        <v>-1670000</v>
      </c>
      <c r="AH11" s="93"/>
      <c r="AI11" s="93"/>
      <c r="AJ11" s="93"/>
      <c r="AK11" s="93"/>
      <c r="AL11" s="93"/>
    </row>
    <row r="12" spans="1:38" s="98" customFormat="1" x14ac:dyDescent="0.25">
      <c r="A12" s="99">
        <v>45352</v>
      </c>
      <c r="B12" s="50" t="s">
        <v>264</v>
      </c>
      <c r="C12" s="64">
        <v>-2459000</v>
      </c>
      <c r="D12" s="157" t="s">
        <v>533</v>
      </c>
      <c r="E12" s="157"/>
      <c r="F12" s="157"/>
      <c r="G12" s="93"/>
      <c r="H12" s="93">
        <f>C12</f>
        <v>-2459000</v>
      </c>
      <c r="I12" s="93"/>
      <c r="J12" s="93"/>
      <c r="K12" s="93"/>
      <c r="L12" s="93"/>
      <c r="M12" s="93"/>
      <c r="N12" s="93"/>
      <c r="O12" s="93"/>
      <c r="P12" s="93"/>
      <c r="Q12" s="93"/>
      <c r="R12" s="97"/>
      <c r="S12" s="97"/>
      <c r="T12" s="97"/>
      <c r="U12" s="97"/>
      <c r="V12" s="97"/>
      <c r="W12" s="97"/>
      <c r="X12" s="97"/>
      <c r="Y12" s="97"/>
      <c r="Z12" s="97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</row>
    <row r="13" spans="1:38" s="98" customFormat="1" x14ac:dyDescent="0.25">
      <c r="A13" s="99">
        <v>45353</v>
      </c>
      <c r="B13" s="50" t="s">
        <v>163</v>
      </c>
      <c r="C13" s="64">
        <v>-11000</v>
      </c>
      <c r="D13" s="157" t="s">
        <v>532</v>
      </c>
      <c r="E13" s="157"/>
      <c r="F13" s="157"/>
      <c r="G13" s="93"/>
      <c r="H13" s="93"/>
      <c r="I13" s="93"/>
      <c r="J13" s="93"/>
      <c r="K13" s="93">
        <f>C13</f>
        <v>-11000</v>
      </c>
      <c r="L13" s="93"/>
      <c r="M13" s="93"/>
      <c r="N13" s="93"/>
      <c r="O13" s="93"/>
      <c r="P13" s="93"/>
      <c r="Q13" s="93"/>
      <c r="R13" s="97"/>
      <c r="S13" s="97"/>
      <c r="T13" s="97"/>
      <c r="U13" s="97"/>
      <c r="V13" s="97"/>
      <c r="W13" s="97"/>
      <c r="X13" s="97"/>
      <c r="Y13" s="97"/>
      <c r="Z13" s="97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</row>
    <row r="14" spans="1:38" s="98" customFormat="1" x14ac:dyDescent="0.25">
      <c r="A14" s="99">
        <v>45353</v>
      </c>
      <c r="B14" s="50" t="s">
        <v>601</v>
      </c>
      <c r="C14" s="64">
        <v>-65000</v>
      </c>
      <c r="D14" s="157" t="s">
        <v>25</v>
      </c>
      <c r="E14" s="157"/>
      <c r="F14" s="157"/>
      <c r="G14" s="93">
        <f>C14</f>
        <v>-65000</v>
      </c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7"/>
      <c r="S14" s="97"/>
      <c r="T14" s="97"/>
      <c r="U14" s="97"/>
      <c r="V14" s="97"/>
      <c r="W14" s="97"/>
      <c r="X14" s="97"/>
      <c r="Y14" s="97"/>
      <c r="Z14" s="97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</row>
    <row r="15" spans="1:38" s="98" customFormat="1" x14ac:dyDescent="0.25">
      <c r="A15" s="99">
        <v>45353</v>
      </c>
      <c r="B15" s="50" t="s">
        <v>264</v>
      </c>
      <c r="C15" s="64">
        <v>-1413000</v>
      </c>
      <c r="D15" s="157" t="s">
        <v>533</v>
      </c>
      <c r="E15" s="157"/>
      <c r="F15" s="157"/>
      <c r="G15" s="93"/>
      <c r="H15" s="93">
        <f>C15</f>
        <v>-1413000</v>
      </c>
      <c r="I15" s="93"/>
      <c r="J15" s="93"/>
      <c r="K15" s="93"/>
      <c r="L15" s="93"/>
      <c r="M15" s="93"/>
      <c r="N15" s="93"/>
      <c r="O15" s="93"/>
      <c r="P15" s="93"/>
      <c r="Q15" s="93"/>
      <c r="R15" s="97"/>
      <c r="S15" s="97"/>
      <c r="T15" s="97"/>
      <c r="U15" s="97"/>
      <c r="V15" s="97"/>
      <c r="W15" s="97"/>
      <c r="X15" s="97"/>
      <c r="Y15" s="97"/>
      <c r="Z15" s="97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</row>
    <row r="16" spans="1:38" s="98" customFormat="1" x14ac:dyDescent="0.25">
      <c r="A16" s="99">
        <v>45353</v>
      </c>
      <c r="B16" s="50" t="s">
        <v>220</v>
      </c>
      <c r="C16" s="64">
        <v>-174000</v>
      </c>
      <c r="D16" s="157" t="s">
        <v>928</v>
      </c>
      <c r="E16" s="157"/>
      <c r="F16" s="157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7"/>
      <c r="S16" s="97"/>
      <c r="T16" s="97"/>
      <c r="U16" s="97"/>
      <c r="V16" s="97"/>
      <c r="W16" s="97"/>
      <c r="X16" s="97"/>
      <c r="Y16" s="97"/>
      <c r="Z16" s="97"/>
      <c r="AA16" s="93"/>
      <c r="AB16" s="93"/>
      <c r="AC16" s="93"/>
      <c r="AD16" s="93">
        <f>C16</f>
        <v>-174000</v>
      </c>
      <c r="AE16" s="93"/>
      <c r="AF16" s="93"/>
      <c r="AG16" s="93"/>
      <c r="AH16" s="93"/>
      <c r="AI16" s="93"/>
      <c r="AJ16" s="93"/>
      <c r="AK16" s="93"/>
      <c r="AL16" s="93"/>
    </row>
    <row r="17" spans="1:38" s="98" customFormat="1" x14ac:dyDescent="0.25">
      <c r="A17" s="99">
        <v>45353</v>
      </c>
      <c r="B17" s="50" t="s">
        <v>603</v>
      </c>
      <c r="C17" s="64">
        <v>-25000</v>
      </c>
      <c r="D17" s="157" t="s">
        <v>533</v>
      </c>
      <c r="E17" s="157"/>
      <c r="F17" s="157"/>
      <c r="G17" s="93"/>
      <c r="H17" s="93">
        <f>C17</f>
        <v>-25000</v>
      </c>
      <c r="I17" s="93"/>
      <c r="J17" s="93"/>
      <c r="K17" s="93"/>
      <c r="L17" s="93"/>
      <c r="M17" s="93"/>
      <c r="N17" s="93"/>
      <c r="O17" s="93"/>
      <c r="P17" s="93"/>
      <c r="Q17" s="93"/>
      <c r="R17" s="97"/>
      <c r="S17" s="97"/>
      <c r="T17" s="97"/>
      <c r="U17" s="97"/>
      <c r="V17" s="97"/>
      <c r="W17" s="97"/>
      <c r="X17" s="97"/>
      <c r="Y17" s="97"/>
      <c r="Z17" s="97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</row>
    <row r="18" spans="1:38" s="98" customFormat="1" x14ac:dyDescent="0.25">
      <c r="A18" s="99">
        <v>45353</v>
      </c>
      <c r="B18" s="50" t="s">
        <v>240</v>
      </c>
      <c r="C18" s="64">
        <v>-142000</v>
      </c>
      <c r="D18" s="157" t="s">
        <v>535</v>
      </c>
      <c r="E18" s="157"/>
      <c r="F18" s="157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7"/>
      <c r="S18" s="97"/>
      <c r="T18" s="97"/>
      <c r="U18" s="97"/>
      <c r="V18" s="97"/>
      <c r="W18" s="97"/>
      <c r="X18" s="97"/>
      <c r="Y18" s="97"/>
      <c r="Z18" s="97"/>
      <c r="AA18" s="93"/>
      <c r="AB18" s="93"/>
      <c r="AC18" s="93"/>
      <c r="AD18" s="93"/>
      <c r="AE18" s="93"/>
      <c r="AF18" s="93"/>
      <c r="AG18" s="93">
        <f>C18</f>
        <v>-142000</v>
      </c>
      <c r="AH18" s="93"/>
      <c r="AI18" s="93"/>
      <c r="AJ18" s="93"/>
      <c r="AK18" s="93"/>
      <c r="AL18" s="93"/>
    </row>
    <row r="19" spans="1:38" s="98" customFormat="1" x14ac:dyDescent="0.25">
      <c r="A19" s="99">
        <v>45353</v>
      </c>
      <c r="B19" s="50" t="s">
        <v>604</v>
      </c>
      <c r="C19" s="64">
        <v>-715000</v>
      </c>
      <c r="D19" s="157" t="s">
        <v>533</v>
      </c>
      <c r="E19" s="157"/>
      <c r="F19" s="157"/>
      <c r="G19" s="93"/>
      <c r="H19" s="93">
        <f>C19</f>
        <v>-715000</v>
      </c>
      <c r="I19" s="93"/>
      <c r="J19" s="93"/>
      <c r="K19" s="93"/>
      <c r="L19" s="93"/>
      <c r="M19" s="93"/>
      <c r="N19" s="93"/>
      <c r="O19" s="93"/>
      <c r="P19" s="93"/>
      <c r="Q19" s="93"/>
      <c r="R19" s="97"/>
      <c r="S19" s="97"/>
      <c r="T19" s="97"/>
      <c r="U19" s="97"/>
      <c r="V19" s="97"/>
      <c r="W19" s="97"/>
      <c r="X19" s="97"/>
      <c r="Y19" s="97"/>
      <c r="Z19" s="97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</row>
    <row r="20" spans="1:38" s="98" customFormat="1" x14ac:dyDescent="0.25">
      <c r="A20" s="99">
        <v>45353</v>
      </c>
      <c r="B20" s="50" t="s">
        <v>605</v>
      </c>
      <c r="C20" s="64">
        <v>-492368</v>
      </c>
      <c r="D20" s="157" t="s">
        <v>25</v>
      </c>
      <c r="E20" s="157"/>
      <c r="F20" s="157"/>
      <c r="G20" s="93">
        <f>C20</f>
        <v>-492368</v>
      </c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7"/>
      <c r="S20" s="97"/>
      <c r="T20" s="97"/>
      <c r="U20" s="97"/>
      <c r="V20" s="97"/>
      <c r="W20" s="97"/>
      <c r="X20" s="97"/>
      <c r="Y20" s="97"/>
      <c r="Z20" s="97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</row>
    <row r="21" spans="1:38" s="98" customFormat="1" x14ac:dyDescent="0.25">
      <c r="A21" s="99">
        <v>45353</v>
      </c>
      <c r="B21" s="50" t="s">
        <v>185</v>
      </c>
      <c r="C21" s="64">
        <v>-116200</v>
      </c>
      <c r="D21" s="157" t="s">
        <v>534</v>
      </c>
      <c r="E21" s="157"/>
      <c r="F21" s="157"/>
      <c r="G21" s="93"/>
      <c r="H21" s="93"/>
      <c r="I21" s="93"/>
      <c r="J21" s="93">
        <f>C21</f>
        <v>-116200</v>
      </c>
      <c r="K21" s="93"/>
      <c r="L21" s="93"/>
      <c r="M21" s="93"/>
      <c r="N21" s="93"/>
      <c r="O21" s="93"/>
      <c r="P21" s="93"/>
      <c r="Q21" s="93"/>
      <c r="R21" s="97"/>
      <c r="S21" s="97"/>
      <c r="T21" s="97"/>
      <c r="U21" s="97"/>
      <c r="V21" s="97"/>
      <c r="W21" s="97"/>
      <c r="X21" s="97"/>
      <c r="Y21" s="97"/>
      <c r="Z21" s="97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</row>
    <row r="22" spans="1:38" s="98" customFormat="1" x14ac:dyDescent="0.25">
      <c r="A22" s="99">
        <v>45353</v>
      </c>
      <c r="B22" s="50" t="s">
        <v>185</v>
      </c>
      <c r="C22" s="64">
        <v>-135500</v>
      </c>
      <c r="D22" s="157" t="s">
        <v>534</v>
      </c>
      <c r="E22" s="157"/>
      <c r="F22" s="157"/>
      <c r="G22" s="93"/>
      <c r="H22" s="93"/>
      <c r="I22" s="93"/>
      <c r="J22" s="93">
        <f>C22</f>
        <v>-135500</v>
      </c>
      <c r="K22" s="93"/>
      <c r="L22" s="93"/>
      <c r="M22" s="93"/>
      <c r="N22" s="93"/>
      <c r="O22" s="93"/>
      <c r="P22" s="93"/>
      <c r="Q22" s="93"/>
      <c r="R22" s="97"/>
      <c r="S22" s="97"/>
      <c r="T22" s="97"/>
      <c r="U22" s="97"/>
      <c r="V22" s="97"/>
      <c r="W22" s="97"/>
      <c r="X22" s="97"/>
      <c r="Y22" s="97"/>
      <c r="Z22" s="97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</row>
    <row r="23" spans="1:38" s="98" customFormat="1" x14ac:dyDescent="0.25">
      <c r="A23" s="99">
        <v>45353</v>
      </c>
      <c r="B23" s="50" t="s">
        <v>240</v>
      </c>
      <c r="C23" s="64">
        <v>-70000</v>
      </c>
      <c r="D23" s="157" t="s">
        <v>535</v>
      </c>
      <c r="E23" s="157"/>
      <c r="F23" s="157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7"/>
      <c r="S23" s="97"/>
      <c r="T23" s="97"/>
      <c r="U23" s="97"/>
      <c r="V23" s="97"/>
      <c r="W23" s="97"/>
      <c r="X23" s="97"/>
      <c r="Y23" s="97"/>
      <c r="Z23" s="97"/>
      <c r="AA23" s="93"/>
      <c r="AB23" s="93"/>
      <c r="AC23" s="93"/>
      <c r="AD23" s="93"/>
      <c r="AE23" s="93"/>
      <c r="AF23" s="93"/>
      <c r="AG23" s="93">
        <f>C23</f>
        <v>-70000</v>
      </c>
      <c r="AH23" s="93"/>
      <c r="AI23" s="93"/>
      <c r="AJ23" s="93"/>
      <c r="AK23" s="93"/>
      <c r="AL23" s="93"/>
    </row>
    <row r="24" spans="1:38" s="98" customFormat="1" x14ac:dyDescent="0.25">
      <c r="A24" s="99">
        <v>45353</v>
      </c>
      <c r="B24" s="50" t="s">
        <v>264</v>
      </c>
      <c r="C24" s="64">
        <v>-1022000</v>
      </c>
      <c r="D24" s="157" t="s">
        <v>533</v>
      </c>
      <c r="E24" s="157"/>
      <c r="F24" s="157"/>
      <c r="G24" s="93"/>
      <c r="H24" s="93">
        <f>C24</f>
        <v>-1022000</v>
      </c>
      <c r="I24" s="93"/>
      <c r="J24" s="93"/>
      <c r="K24" s="93"/>
      <c r="L24" s="93"/>
      <c r="M24" s="93"/>
      <c r="N24" s="93"/>
      <c r="O24" s="93"/>
      <c r="P24" s="93"/>
      <c r="Q24" s="93"/>
      <c r="R24" s="97"/>
      <c r="S24" s="97"/>
      <c r="T24" s="97"/>
      <c r="U24" s="97"/>
      <c r="V24" s="97"/>
      <c r="W24" s="97"/>
      <c r="X24" s="97"/>
      <c r="Y24" s="97"/>
      <c r="Z24" s="97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</row>
    <row r="25" spans="1:38" s="98" customFormat="1" x14ac:dyDescent="0.25">
      <c r="A25" s="99">
        <v>45353</v>
      </c>
      <c r="B25" s="50" t="s">
        <v>608</v>
      </c>
      <c r="C25" s="64">
        <v>-2500000</v>
      </c>
      <c r="D25" s="157" t="s">
        <v>278</v>
      </c>
      <c r="E25" s="157"/>
      <c r="F25" s="157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7"/>
      <c r="S25" s="97"/>
      <c r="T25" s="97"/>
      <c r="U25" s="97"/>
      <c r="V25" s="97"/>
      <c r="W25" s="97"/>
      <c r="X25" s="97"/>
      <c r="Y25" s="97"/>
      <c r="Z25" s="97"/>
      <c r="AA25" s="93"/>
      <c r="AB25" s="93"/>
      <c r="AC25" s="93"/>
      <c r="AD25" s="93"/>
      <c r="AE25" s="93"/>
      <c r="AF25" s="93">
        <f>C25</f>
        <v>-2500000</v>
      </c>
      <c r="AG25" s="93"/>
      <c r="AH25" s="93"/>
      <c r="AI25" s="93"/>
      <c r="AJ25" s="93"/>
      <c r="AK25" s="93"/>
      <c r="AL25" s="93"/>
    </row>
    <row r="26" spans="1:38" s="98" customFormat="1" x14ac:dyDescent="0.25">
      <c r="A26" s="99">
        <v>45353</v>
      </c>
      <c r="B26" s="50" t="s">
        <v>609</v>
      </c>
      <c r="C26" s="64">
        <v>-75000</v>
      </c>
      <c r="D26" s="157" t="s">
        <v>25</v>
      </c>
      <c r="E26" s="157"/>
      <c r="F26" s="157"/>
      <c r="G26" s="93">
        <f>C26</f>
        <v>-75000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7"/>
      <c r="S26" s="97"/>
      <c r="T26" s="97"/>
      <c r="U26" s="97"/>
      <c r="V26" s="97"/>
      <c r="W26" s="97"/>
      <c r="X26" s="97"/>
      <c r="Y26" s="97"/>
      <c r="Z26" s="97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</row>
    <row r="27" spans="1:38" s="98" customFormat="1" x14ac:dyDescent="0.25">
      <c r="A27" s="99">
        <v>45353</v>
      </c>
      <c r="B27" s="50" t="s">
        <v>264</v>
      </c>
      <c r="C27" s="64">
        <v>-1639000</v>
      </c>
      <c r="D27" s="157" t="s">
        <v>533</v>
      </c>
      <c r="E27" s="157"/>
      <c r="F27" s="157"/>
      <c r="G27" s="93"/>
      <c r="H27" s="93">
        <f>C27</f>
        <v>-1639000</v>
      </c>
      <c r="I27" s="93"/>
      <c r="J27" s="93"/>
      <c r="K27" s="93"/>
      <c r="L27" s="93"/>
      <c r="M27" s="93"/>
      <c r="N27" s="93"/>
      <c r="O27" s="93"/>
      <c r="P27" s="93"/>
      <c r="Q27" s="93"/>
      <c r="R27" s="97"/>
      <c r="S27" s="97"/>
      <c r="T27" s="97"/>
      <c r="U27" s="97"/>
      <c r="V27" s="97"/>
      <c r="W27" s="97"/>
      <c r="X27" s="97"/>
      <c r="Y27" s="97"/>
      <c r="Z27" s="97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</row>
    <row r="28" spans="1:38" s="98" customFormat="1" x14ac:dyDescent="0.25">
      <c r="A28" s="99">
        <v>45354</v>
      </c>
      <c r="B28" s="50" t="s">
        <v>163</v>
      </c>
      <c r="C28" s="64">
        <v>-11000</v>
      </c>
      <c r="D28" s="157" t="s">
        <v>532</v>
      </c>
      <c r="E28" s="157"/>
      <c r="F28" s="157"/>
      <c r="G28" s="93"/>
      <c r="H28" s="93"/>
      <c r="I28" s="93"/>
      <c r="J28" s="93"/>
      <c r="K28" s="93">
        <f>C28</f>
        <v>-11000</v>
      </c>
      <c r="L28" s="93"/>
      <c r="M28" s="93"/>
      <c r="N28" s="93"/>
      <c r="O28" s="93"/>
      <c r="P28" s="93"/>
      <c r="Q28" s="93"/>
      <c r="R28" s="97"/>
      <c r="S28" s="97"/>
      <c r="T28" s="97"/>
      <c r="U28" s="97"/>
      <c r="V28" s="97"/>
      <c r="W28" s="97"/>
      <c r="X28" s="97"/>
      <c r="Y28" s="97"/>
      <c r="Z28" s="97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</row>
    <row r="29" spans="1:38" s="98" customFormat="1" x14ac:dyDescent="0.25">
      <c r="A29" s="99">
        <v>45354</v>
      </c>
      <c r="B29" s="50" t="s">
        <v>612</v>
      </c>
      <c r="C29" s="64">
        <v>-360000</v>
      </c>
      <c r="D29" s="157" t="s">
        <v>532</v>
      </c>
      <c r="E29" s="157"/>
      <c r="F29" s="157"/>
      <c r="G29" s="93"/>
      <c r="H29" s="93"/>
      <c r="I29" s="93"/>
      <c r="J29" s="93"/>
      <c r="K29" s="93">
        <f>C29</f>
        <v>-360000</v>
      </c>
      <c r="L29" s="93"/>
      <c r="M29" s="93"/>
      <c r="N29" s="93"/>
      <c r="O29" s="93"/>
      <c r="P29" s="93"/>
      <c r="Q29" s="93"/>
      <c r="R29" s="97"/>
      <c r="S29" s="97"/>
      <c r="T29" s="97"/>
      <c r="U29" s="97"/>
      <c r="V29" s="97"/>
      <c r="W29" s="97"/>
      <c r="X29" s="97"/>
      <c r="Y29" s="97"/>
      <c r="Z29" s="97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</row>
    <row r="30" spans="1:38" s="98" customFormat="1" x14ac:dyDescent="0.25">
      <c r="A30" s="99">
        <v>45354</v>
      </c>
      <c r="B30" s="50" t="s">
        <v>264</v>
      </c>
      <c r="C30" s="64">
        <v>-1637000</v>
      </c>
      <c r="D30" s="157" t="s">
        <v>533</v>
      </c>
      <c r="E30" s="157"/>
      <c r="F30" s="157"/>
      <c r="G30" s="93"/>
      <c r="H30" s="93">
        <f>C30</f>
        <v>-1637000</v>
      </c>
      <c r="I30" s="93"/>
      <c r="J30" s="93"/>
      <c r="K30" s="93"/>
      <c r="L30" s="93"/>
      <c r="M30" s="93"/>
      <c r="N30" s="93"/>
      <c r="O30" s="93"/>
      <c r="P30" s="93"/>
      <c r="Q30" s="93"/>
      <c r="R30" s="97"/>
      <c r="S30" s="97"/>
      <c r="T30" s="97"/>
      <c r="U30" s="97"/>
      <c r="V30" s="97"/>
      <c r="W30" s="97"/>
      <c r="X30" s="97"/>
      <c r="Y30" s="97"/>
      <c r="Z30" s="97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</row>
    <row r="31" spans="1:38" s="98" customFormat="1" x14ac:dyDescent="0.25">
      <c r="A31" s="99">
        <v>45354</v>
      </c>
      <c r="B31" s="50" t="s">
        <v>613</v>
      </c>
      <c r="C31" s="64">
        <v>-1100000</v>
      </c>
      <c r="D31" s="157" t="s">
        <v>535</v>
      </c>
      <c r="E31" s="157"/>
      <c r="F31" s="157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7"/>
      <c r="S31" s="97"/>
      <c r="T31" s="97"/>
      <c r="U31" s="97"/>
      <c r="V31" s="97"/>
      <c r="W31" s="97"/>
      <c r="X31" s="97"/>
      <c r="Y31" s="97"/>
      <c r="Z31" s="97"/>
      <c r="AA31" s="93"/>
      <c r="AB31" s="93"/>
      <c r="AC31" s="93"/>
      <c r="AD31" s="93"/>
      <c r="AE31" s="93"/>
      <c r="AF31" s="93"/>
      <c r="AG31" s="93">
        <f>C31</f>
        <v>-1100000</v>
      </c>
      <c r="AH31" s="93"/>
      <c r="AI31" s="93"/>
      <c r="AJ31" s="93"/>
      <c r="AK31" s="93"/>
      <c r="AL31" s="93"/>
    </row>
    <row r="32" spans="1:38" s="98" customFormat="1" x14ac:dyDescent="0.25">
      <c r="A32" s="99">
        <v>45354</v>
      </c>
      <c r="B32" s="50" t="s">
        <v>614</v>
      </c>
      <c r="C32" s="64">
        <v>-65000</v>
      </c>
      <c r="D32" s="157" t="s">
        <v>25</v>
      </c>
      <c r="E32" s="157"/>
      <c r="F32" s="157"/>
      <c r="G32" s="93">
        <f>C32</f>
        <v>-65000</v>
      </c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7"/>
      <c r="S32" s="97"/>
      <c r="T32" s="97"/>
      <c r="U32" s="97"/>
      <c r="V32" s="97"/>
      <c r="W32" s="97"/>
      <c r="X32" s="97"/>
      <c r="Y32" s="97"/>
      <c r="Z32" s="97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</row>
    <row r="33" spans="1:38" s="98" customFormat="1" x14ac:dyDescent="0.25">
      <c r="A33" s="99">
        <v>45354</v>
      </c>
      <c r="B33" s="50" t="s">
        <v>615</v>
      </c>
      <c r="C33" s="64">
        <v>-65000</v>
      </c>
      <c r="D33" s="157" t="s">
        <v>25</v>
      </c>
      <c r="E33" s="157"/>
      <c r="F33" s="157"/>
      <c r="G33" s="93">
        <f>C33</f>
        <v>-65000</v>
      </c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7"/>
      <c r="S33" s="97"/>
      <c r="T33" s="97"/>
      <c r="U33" s="97"/>
      <c r="V33" s="97"/>
      <c r="W33" s="97"/>
      <c r="X33" s="97"/>
      <c r="Y33" s="97"/>
      <c r="Z33" s="97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</row>
    <row r="34" spans="1:38" s="98" customFormat="1" x14ac:dyDescent="0.25">
      <c r="A34" s="99">
        <v>45354</v>
      </c>
      <c r="B34" s="50" t="s">
        <v>616</v>
      </c>
      <c r="C34" s="64">
        <v>-30000</v>
      </c>
      <c r="D34" s="157" t="s">
        <v>533</v>
      </c>
      <c r="E34" s="157"/>
      <c r="F34" s="157"/>
      <c r="G34" s="93"/>
      <c r="H34" s="93">
        <f>C34</f>
        <v>-30000</v>
      </c>
      <c r="I34" s="93"/>
      <c r="J34" s="93"/>
      <c r="K34" s="93"/>
      <c r="L34" s="93"/>
      <c r="M34" s="93"/>
      <c r="N34" s="93"/>
      <c r="O34" s="93"/>
      <c r="P34" s="93"/>
      <c r="Q34" s="93"/>
      <c r="R34" s="97"/>
      <c r="S34" s="97"/>
      <c r="T34" s="97"/>
      <c r="U34" s="97"/>
      <c r="V34" s="97"/>
      <c r="W34" s="97"/>
      <c r="X34" s="97"/>
      <c r="Y34" s="97"/>
      <c r="Z34" s="97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</row>
    <row r="35" spans="1:38" s="98" customFormat="1" x14ac:dyDescent="0.25">
      <c r="A35" s="99">
        <v>45354</v>
      </c>
      <c r="B35" s="50" t="s">
        <v>617</v>
      </c>
      <c r="C35" s="64">
        <v>-92500</v>
      </c>
      <c r="D35" s="157" t="s">
        <v>533</v>
      </c>
      <c r="E35" s="157"/>
      <c r="F35" s="157"/>
      <c r="G35" s="93"/>
      <c r="H35" s="93">
        <f>C35</f>
        <v>-92500</v>
      </c>
      <c r="I35" s="93"/>
      <c r="J35" s="93"/>
      <c r="K35" s="93"/>
      <c r="L35" s="93"/>
      <c r="M35" s="93"/>
      <c r="N35" s="93"/>
      <c r="O35" s="93"/>
      <c r="P35" s="93"/>
      <c r="Q35" s="93"/>
      <c r="R35" s="97"/>
      <c r="S35" s="97"/>
      <c r="T35" s="97"/>
      <c r="U35" s="97"/>
      <c r="V35" s="97"/>
      <c r="W35" s="97"/>
      <c r="X35" s="97"/>
      <c r="Y35" s="97"/>
      <c r="Z35" s="97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</row>
    <row r="36" spans="1:38" s="98" customFormat="1" x14ac:dyDescent="0.25">
      <c r="A36" s="99">
        <v>45354</v>
      </c>
      <c r="B36" s="50" t="s">
        <v>619</v>
      </c>
      <c r="C36" s="101">
        <v>-75000</v>
      </c>
      <c r="D36" s="157" t="s">
        <v>25</v>
      </c>
      <c r="E36" s="157"/>
      <c r="F36" s="157"/>
      <c r="G36" s="93">
        <f>C36</f>
        <v>-75000</v>
      </c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7"/>
      <c r="S36" s="97"/>
      <c r="T36" s="97"/>
      <c r="U36" s="97"/>
      <c r="V36" s="97"/>
      <c r="W36" s="97"/>
      <c r="X36" s="97"/>
      <c r="Y36" s="97"/>
      <c r="Z36" s="97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</row>
    <row r="37" spans="1:38" s="98" customFormat="1" x14ac:dyDescent="0.25">
      <c r="A37" s="99">
        <v>45354</v>
      </c>
      <c r="B37" s="50" t="s">
        <v>620</v>
      </c>
      <c r="C37" s="101">
        <v>-75000</v>
      </c>
      <c r="D37" s="157" t="s">
        <v>25</v>
      </c>
      <c r="E37" s="157"/>
      <c r="F37" s="157"/>
      <c r="G37" s="93">
        <f>C37</f>
        <v>-75000</v>
      </c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7"/>
      <c r="S37" s="97"/>
      <c r="T37" s="97"/>
      <c r="U37" s="97"/>
      <c r="V37" s="97"/>
      <c r="W37" s="97"/>
      <c r="X37" s="97"/>
      <c r="Y37" s="97"/>
      <c r="Z37" s="97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</row>
    <row r="38" spans="1:38" s="98" customFormat="1" x14ac:dyDescent="0.25">
      <c r="A38" s="99">
        <v>45354</v>
      </c>
      <c r="B38" s="50" t="s">
        <v>621</v>
      </c>
      <c r="C38" s="101">
        <v>-255000</v>
      </c>
      <c r="D38" s="157" t="s">
        <v>27</v>
      </c>
      <c r="E38" s="157"/>
      <c r="F38" s="157"/>
      <c r="G38" s="93"/>
      <c r="H38" s="93"/>
      <c r="I38" s="93">
        <f>C38</f>
        <v>-255000</v>
      </c>
      <c r="J38" s="93"/>
      <c r="K38" s="93"/>
      <c r="L38" s="93"/>
      <c r="M38" s="93"/>
      <c r="N38" s="93"/>
      <c r="O38" s="93"/>
      <c r="P38" s="93"/>
      <c r="Q38" s="93"/>
      <c r="R38" s="97"/>
      <c r="S38" s="97"/>
      <c r="T38" s="97"/>
      <c r="U38" s="97"/>
      <c r="V38" s="97"/>
      <c r="W38" s="97"/>
      <c r="X38" s="97"/>
      <c r="Y38" s="97"/>
      <c r="Z38" s="97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</row>
    <row r="39" spans="1:38" s="98" customFormat="1" x14ac:dyDescent="0.25">
      <c r="A39" s="99">
        <v>45354</v>
      </c>
      <c r="B39" s="50" t="s">
        <v>624</v>
      </c>
      <c r="C39" s="101">
        <v>-65000</v>
      </c>
      <c r="D39" s="157" t="s">
        <v>25</v>
      </c>
      <c r="E39" s="157"/>
      <c r="F39" s="157"/>
      <c r="G39" s="93">
        <f>C39</f>
        <v>-65000</v>
      </c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7"/>
      <c r="S39" s="97"/>
      <c r="T39" s="97"/>
      <c r="U39" s="97"/>
      <c r="V39" s="97"/>
      <c r="W39" s="97"/>
      <c r="X39" s="97"/>
      <c r="Y39" s="97"/>
      <c r="Z39" s="97"/>
      <c r="AA39" s="93"/>
      <c r="AB39" s="93"/>
      <c r="AC39" s="93"/>
      <c r="AD39" s="93"/>
      <c r="AE39" s="93"/>
      <c r="AF39" s="93"/>
      <c r="AG39" s="93"/>
      <c r="AH39" s="93"/>
      <c r="AI39" s="93"/>
      <c r="AJ39" s="93"/>
      <c r="AK39" s="93"/>
      <c r="AL39" s="93"/>
    </row>
    <row r="40" spans="1:38" s="98" customFormat="1" x14ac:dyDescent="0.25">
      <c r="A40" s="99">
        <v>45354</v>
      </c>
      <c r="B40" s="50" t="s">
        <v>625</v>
      </c>
      <c r="C40" s="101">
        <v>-50600</v>
      </c>
      <c r="D40" s="157" t="s">
        <v>32</v>
      </c>
      <c r="E40" s="157"/>
      <c r="F40" s="157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7"/>
      <c r="S40" s="97"/>
      <c r="T40" s="97"/>
      <c r="U40" s="97"/>
      <c r="V40" s="97"/>
      <c r="W40" s="97"/>
      <c r="X40" s="97"/>
      <c r="Y40" s="97"/>
      <c r="Z40" s="97"/>
      <c r="AA40" s="93"/>
      <c r="AB40" s="93">
        <f>C40</f>
        <v>-50600</v>
      </c>
      <c r="AC40" s="93"/>
      <c r="AD40" s="93"/>
      <c r="AE40" s="93"/>
      <c r="AF40" s="93"/>
      <c r="AG40" s="93"/>
      <c r="AH40" s="93"/>
      <c r="AI40" s="93"/>
      <c r="AJ40" s="93"/>
      <c r="AK40" s="93"/>
      <c r="AL40" s="93"/>
    </row>
    <row r="41" spans="1:38" s="98" customFormat="1" x14ac:dyDescent="0.25">
      <c r="A41" s="99">
        <v>45354</v>
      </c>
      <c r="B41" s="50" t="s">
        <v>184</v>
      </c>
      <c r="C41" s="101">
        <v>-1080000</v>
      </c>
      <c r="D41" s="157" t="s">
        <v>533</v>
      </c>
      <c r="E41" s="157"/>
      <c r="F41" s="157"/>
      <c r="G41" s="93"/>
      <c r="H41" s="93">
        <f>C41</f>
        <v>-1080000</v>
      </c>
      <c r="I41" s="93"/>
      <c r="J41" s="93"/>
      <c r="K41" s="93"/>
      <c r="L41" s="93"/>
      <c r="M41" s="93"/>
      <c r="N41" s="93"/>
      <c r="O41" s="93"/>
      <c r="P41" s="93"/>
      <c r="Q41" s="93"/>
      <c r="R41" s="97"/>
      <c r="S41" s="97"/>
      <c r="T41" s="97"/>
      <c r="U41" s="97"/>
      <c r="V41" s="97"/>
      <c r="W41" s="97"/>
      <c r="X41" s="97"/>
      <c r="Y41" s="97"/>
      <c r="Z41" s="97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</row>
    <row r="42" spans="1:38" s="98" customFormat="1" x14ac:dyDescent="0.25">
      <c r="A42" s="99">
        <v>45354</v>
      </c>
      <c r="B42" s="50" t="s">
        <v>626</v>
      </c>
      <c r="C42" s="101">
        <v>-85000</v>
      </c>
      <c r="D42" s="157" t="s">
        <v>533</v>
      </c>
      <c r="E42" s="157"/>
      <c r="F42" s="157"/>
      <c r="G42" s="93"/>
      <c r="H42" s="93">
        <f>C42</f>
        <v>-85000</v>
      </c>
      <c r="I42" s="93"/>
      <c r="J42" s="93"/>
      <c r="K42" s="93"/>
      <c r="L42" s="93"/>
      <c r="M42" s="93"/>
      <c r="N42" s="93"/>
      <c r="O42" s="93"/>
      <c r="P42" s="93"/>
      <c r="Q42" s="93"/>
      <c r="R42" s="97"/>
      <c r="S42" s="97"/>
      <c r="T42" s="97"/>
      <c r="U42" s="97"/>
      <c r="V42" s="97"/>
      <c r="W42" s="97"/>
      <c r="X42" s="97"/>
      <c r="Y42" s="97"/>
      <c r="Z42" s="97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</row>
    <row r="43" spans="1:38" s="98" customFormat="1" x14ac:dyDescent="0.25">
      <c r="A43" s="99">
        <v>45355</v>
      </c>
      <c r="B43" s="50" t="s">
        <v>163</v>
      </c>
      <c r="C43" s="101">
        <v>-11000</v>
      </c>
      <c r="D43" s="157" t="s">
        <v>532</v>
      </c>
      <c r="E43" s="157"/>
      <c r="F43" s="157"/>
      <c r="G43" s="93"/>
      <c r="H43" s="93"/>
      <c r="I43" s="93"/>
      <c r="J43" s="93"/>
      <c r="K43" s="93">
        <f>C43</f>
        <v>-11000</v>
      </c>
      <c r="L43" s="93"/>
      <c r="M43" s="93"/>
      <c r="N43" s="93"/>
      <c r="O43" s="93"/>
      <c r="P43" s="93"/>
      <c r="Q43" s="93"/>
      <c r="R43" s="97"/>
      <c r="S43" s="97"/>
      <c r="T43" s="97"/>
      <c r="U43" s="97"/>
      <c r="V43" s="97"/>
      <c r="W43" s="97"/>
      <c r="X43" s="97"/>
      <c r="Y43" s="97"/>
      <c r="Z43" s="97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93"/>
      <c r="AL43" s="93"/>
    </row>
    <row r="44" spans="1:38" s="98" customFormat="1" x14ac:dyDescent="0.25">
      <c r="A44" s="99">
        <v>45355</v>
      </c>
      <c r="B44" s="50" t="s">
        <v>627</v>
      </c>
      <c r="C44" s="101">
        <v>-245000</v>
      </c>
      <c r="D44" s="157" t="s">
        <v>533</v>
      </c>
      <c r="E44" s="157"/>
      <c r="F44" s="157"/>
      <c r="G44" s="93"/>
      <c r="H44" s="93">
        <f>C44</f>
        <v>-245000</v>
      </c>
      <c r="I44" s="93"/>
      <c r="J44" s="93"/>
      <c r="K44" s="93"/>
      <c r="L44" s="93"/>
      <c r="M44" s="93"/>
      <c r="N44" s="93"/>
      <c r="O44" s="93"/>
      <c r="P44" s="93"/>
      <c r="Q44" s="93"/>
      <c r="R44" s="97"/>
      <c r="S44" s="97"/>
      <c r="T44" s="97"/>
      <c r="U44" s="97"/>
      <c r="V44" s="97"/>
      <c r="W44" s="97"/>
      <c r="X44" s="97"/>
      <c r="Y44" s="97"/>
      <c r="Z44" s="97"/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</row>
    <row r="45" spans="1:38" s="98" customFormat="1" x14ac:dyDescent="0.25">
      <c r="A45" s="99">
        <v>45355</v>
      </c>
      <c r="B45" s="50" t="s">
        <v>264</v>
      </c>
      <c r="C45" s="101">
        <v>-932500</v>
      </c>
      <c r="D45" s="157" t="s">
        <v>533</v>
      </c>
      <c r="E45" s="157"/>
      <c r="F45" s="157"/>
      <c r="G45" s="93"/>
      <c r="H45" s="93">
        <f>C45</f>
        <v>-932500</v>
      </c>
      <c r="I45" s="93"/>
      <c r="J45" s="93"/>
      <c r="K45" s="93"/>
      <c r="L45" s="93"/>
      <c r="M45" s="93"/>
      <c r="N45" s="93"/>
      <c r="O45" s="93"/>
      <c r="P45" s="93"/>
      <c r="Q45" s="93"/>
      <c r="R45" s="97"/>
      <c r="S45" s="97"/>
      <c r="T45" s="97"/>
      <c r="U45" s="97"/>
      <c r="V45" s="97"/>
      <c r="W45" s="97"/>
      <c r="X45" s="97"/>
      <c r="Y45" s="97"/>
      <c r="Z45" s="97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</row>
    <row r="46" spans="1:38" s="98" customFormat="1" x14ac:dyDescent="0.25">
      <c r="A46" s="99">
        <v>45355</v>
      </c>
      <c r="B46" s="50" t="s">
        <v>265</v>
      </c>
      <c r="C46" s="101">
        <v>-540000</v>
      </c>
      <c r="D46" s="157" t="s">
        <v>535</v>
      </c>
      <c r="E46" s="157"/>
      <c r="F46" s="157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7"/>
      <c r="S46" s="97"/>
      <c r="T46" s="97"/>
      <c r="U46" s="97"/>
      <c r="V46" s="97"/>
      <c r="W46" s="97"/>
      <c r="X46" s="97"/>
      <c r="Y46" s="97"/>
      <c r="Z46" s="97"/>
      <c r="AA46" s="93"/>
      <c r="AB46" s="93"/>
      <c r="AC46" s="93"/>
      <c r="AD46" s="93"/>
      <c r="AE46" s="93"/>
      <c r="AF46" s="93"/>
      <c r="AG46" s="93">
        <f>C46</f>
        <v>-540000</v>
      </c>
      <c r="AH46" s="93"/>
      <c r="AI46" s="93"/>
      <c r="AJ46" s="93"/>
      <c r="AK46" s="93"/>
      <c r="AL46" s="93"/>
    </row>
    <row r="47" spans="1:38" s="98" customFormat="1" x14ac:dyDescent="0.25">
      <c r="A47" s="99">
        <v>45355</v>
      </c>
      <c r="B47" s="50" t="s">
        <v>629</v>
      </c>
      <c r="C47" s="101">
        <v>-1346300</v>
      </c>
      <c r="D47" s="157" t="s">
        <v>533</v>
      </c>
      <c r="E47" s="157"/>
      <c r="F47" s="157"/>
      <c r="G47" s="93"/>
      <c r="H47" s="93">
        <f>C47</f>
        <v>-1346300</v>
      </c>
      <c r="I47" s="93"/>
      <c r="J47" s="93"/>
      <c r="K47" s="93"/>
      <c r="L47" s="93"/>
      <c r="M47" s="93"/>
      <c r="N47" s="93"/>
      <c r="O47" s="93"/>
      <c r="P47" s="93"/>
      <c r="Q47" s="93"/>
      <c r="R47" s="97"/>
      <c r="S47" s="97"/>
      <c r="T47" s="97"/>
      <c r="U47" s="97"/>
      <c r="V47" s="97"/>
      <c r="W47" s="97"/>
      <c r="X47" s="97"/>
      <c r="Y47" s="97"/>
      <c r="Z47" s="97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</row>
    <row r="48" spans="1:38" s="98" customFormat="1" x14ac:dyDescent="0.25">
      <c r="A48" s="99">
        <v>45355</v>
      </c>
      <c r="B48" s="50" t="s">
        <v>631</v>
      </c>
      <c r="C48" s="101">
        <v>-65000</v>
      </c>
      <c r="D48" s="157" t="s">
        <v>25</v>
      </c>
      <c r="E48" s="157"/>
      <c r="F48" s="157"/>
      <c r="G48" s="93">
        <f>C48</f>
        <v>-65000</v>
      </c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7"/>
      <c r="S48" s="97"/>
      <c r="T48" s="97"/>
      <c r="U48" s="97"/>
      <c r="V48" s="97"/>
      <c r="W48" s="97"/>
      <c r="X48" s="97"/>
      <c r="Y48" s="97"/>
      <c r="Z48" s="97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</row>
    <row r="49" spans="1:38" s="98" customFormat="1" x14ac:dyDescent="0.25">
      <c r="A49" s="99">
        <v>45355</v>
      </c>
      <c r="B49" s="50" t="s">
        <v>263</v>
      </c>
      <c r="C49" s="101">
        <v>-457500</v>
      </c>
      <c r="D49" s="157" t="s">
        <v>27</v>
      </c>
      <c r="E49" s="157"/>
      <c r="F49" s="157"/>
      <c r="G49" s="93"/>
      <c r="H49" s="93"/>
      <c r="I49" s="93">
        <f>C49</f>
        <v>-457500</v>
      </c>
      <c r="J49" s="93"/>
      <c r="K49" s="93"/>
      <c r="L49" s="93"/>
      <c r="M49" s="93"/>
      <c r="N49" s="93"/>
      <c r="O49" s="93"/>
      <c r="P49" s="93"/>
      <c r="Q49" s="93"/>
      <c r="R49" s="97"/>
      <c r="S49" s="97"/>
      <c r="T49" s="97"/>
      <c r="U49" s="97"/>
      <c r="V49" s="97"/>
      <c r="W49" s="97"/>
      <c r="X49" s="97"/>
      <c r="Y49" s="97"/>
      <c r="Z49" s="97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93"/>
    </row>
    <row r="50" spans="1:38" s="98" customFormat="1" x14ac:dyDescent="0.25">
      <c r="A50" s="99">
        <v>45355</v>
      </c>
      <c r="B50" s="50" t="s">
        <v>297</v>
      </c>
      <c r="C50" s="101">
        <v>-617000</v>
      </c>
      <c r="D50" s="157" t="s">
        <v>533</v>
      </c>
      <c r="E50" s="157"/>
      <c r="F50" s="157"/>
      <c r="G50" s="93"/>
      <c r="H50" s="93">
        <f>C50</f>
        <v>-617000</v>
      </c>
      <c r="I50" s="93"/>
      <c r="J50" s="93"/>
      <c r="K50" s="93"/>
      <c r="L50" s="93"/>
      <c r="M50" s="93"/>
      <c r="N50" s="93"/>
      <c r="O50" s="93"/>
      <c r="P50" s="93"/>
      <c r="Q50" s="93"/>
      <c r="R50" s="97"/>
      <c r="S50" s="97"/>
      <c r="T50" s="97"/>
      <c r="U50" s="97"/>
      <c r="V50" s="97"/>
      <c r="W50" s="97"/>
      <c r="X50" s="97"/>
      <c r="Y50" s="97"/>
      <c r="Z50" s="97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</row>
    <row r="51" spans="1:38" s="98" customFormat="1" x14ac:dyDescent="0.25">
      <c r="A51" s="99">
        <v>45355</v>
      </c>
      <c r="B51" s="50" t="s">
        <v>632</v>
      </c>
      <c r="C51" s="101">
        <v>-318500</v>
      </c>
      <c r="D51" s="157" t="s">
        <v>535</v>
      </c>
      <c r="E51" s="157"/>
      <c r="F51" s="157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7"/>
      <c r="S51" s="97"/>
      <c r="T51" s="97"/>
      <c r="U51" s="97"/>
      <c r="V51" s="97"/>
      <c r="W51" s="97"/>
      <c r="X51" s="97"/>
      <c r="Y51" s="97"/>
      <c r="Z51" s="97"/>
      <c r="AA51" s="93"/>
      <c r="AB51" s="93"/>
      <c r="AC51" s="93"/>
      <c r="AD51" s="93"/>
      <c r="AE51" s="93"/>
      <c r="AF51" s="93"/>
      <c r="AG51" s="93">
        <f>C51</f>
        <v>-318500</v>
      </c>
      <c r="AH51" s="93"/>
      <c r="AI51" s="93"/>
      <c r="AJ51" s="93"/>
      <c r="AK51" s="93"/>
      <c r="AL51" s="93"/>
    </row>
    <row r="52" spans="1:38" s="98" customFormat="1" x14ac:dyDescent="0.25">
      <c r="A52" s="99">
        <v>45355</v>
      </c>
      <c r="B52" s="50" t="s">
        <v>633</v>
      </c>
      <c r="C52" s="101">
        <v>-70000</v>
      </c>
      <c r="D52" s="157" t="s">
        <v>535</v>
      </c>
      <c r="E52" s="157"/>
      <c r="F52" s="157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7"/>
      <c r="S52" s="97"/>
      <c r="T52" s="97"/>
      <c r="U52" s="97"/>
      <c r="V52" s="97"/>
      <c r="W52" s="97"/>
      <c r="X52" s="97"/>
      <c r="Y52" s="97"/>
      <c r="Z52" s="97"/>
      <c r="AA52" s="93"/>
      <c r="AB52" s="93"/>
      <c r="AC52" s="93"/>
      <c r="AD52" s="93"/>
      <c r="AE52" s="93"/>
      <c r="AF52" s="93"/>
      <c r="AG52" s="93">
        <f>C52</f>
        <v>-70000</v>
      </c>
      <c r="AH52" s="93"/>
      <c r="AI52" s="93"/>
      <c r="AJ52" s="93"/>
      <c r="AK52" s="93"/>
      <c r="AL52" s="93"/>
    </row>
    <row r="53" spans="1:38" s="98" customFormat="1" x14ac:dyDescent="0.25">
      <c r="A53" s="99">
        <v>45355</v>
      </c>
      <c r="B53" s="50" t="s">
        <v>634</v>
      </c>
      <c r="C53" s="101">
        <v>-255550</v>
      </c>
      <c r="D53" s="157" t="s">
        <v>928</v>
      </c>
      <c r="E53" s="157"/>
      <c r="F53" s="157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7"/>
      <c r="S53" s="97"/>
      <c r="T53" s="97"/>
      <c r="U53" s="97"/>
      <c r="V53" s="97"/>
      <c r="W53" s="97"/>
      <c r="X53" s="97"/>
      <c r="Y53" s="97"/>
      <c r="Z53" s="97"/>
      <c r="AA53" s="93"/>
      <c r="AB53" s="93"/>
      <c r="AC53" s="93"/>
      <c r="AD53" s="93">
        <f>C53</f>
        <v>-255550</v>
      </c>
      <c r="AE53" s="93"/>
      <c r="AF53" s="93"/>
      <c r="AG53" s="93"/>
      <c r="AH53" s="93"/>
      <c r="AI53" s="93"/>
      <c r="AJ53" s="93"/>
      <c r="AK53" s="93"/>
      <c r="AL53" s="93"/>
    </row>
    <row r="54" spans="1:38" s="98" customFormat="1" x14ac:dyDescent="0.25">
      <c r="A54" s="99">
        <v>45355</v>
      </c>
      <c r="B54" s="50" t="s">
        <v>294</v>
      </c>
      <c r="C54" s="101">
        <v>-3340000</v>
      </c>
      <c r="D54" s="157" t="s">
        <v>535</v>
      </c>
      <c r="E54" s="157"/>
      <c r="F54" s="157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7"/>
      <c r="S54" s="97"/>
      <c r="T54" s="97"/>
      <c r="U54" s="97"/>
      <c r="V54" s="97"/>
      <c r="W54" s="97"/>
      <c r="X54" s="97"/>
      <c r="Y54" s="97"/>
      <c r="Z54" s="97"/>
      <c r="AA54" s="93"/>
      <c r="AB54" s="93"/>
      <c r="AC54" s="93"/>
      <c r="AD54" s="93"/>
      <c r="AE54" s="93"/>
      <c r="AF54" s="93"/>
      <c r="AG54" s="93">
        <f>C54</f>
        <v>-3340000</v>
      </c>
      <c r="AH54" s="93"/>
      <c r="AI54" s="93"/>
      <c r="AJ54" s="93"/>
      <c r="AK54" s="93"/>
      <c r="AL54" s="93"/>
    </row>
    <row r="55" spans="1:38" s="98" customFormat="1" x14ac:dyDescent="0.25">
      <c r="A55" s="99">
        <v>45355</v>
      </c>
      <c r="B55" s="50" t="s">
        <v>635</v>
      </c>
      <c r="C55" s="101">
        <v>-1750000</v>
      </c>
      <c r="D55" s="157" t="s">
        <v>277</v>
      </c>
      <c r="E55" s="157"/>
      <c r="F55" s="157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7"/>
      <c r="S55" s="97"/>
      <c r="T55" s="97"/>
      <c r="U55" s="97"/>
      <c r="V55" s="97"/>
      <c r="W55" s="97"/>
      <c r="X55" s="97"/>
      <c r="Y55" s="97"/>
      <c r="Z55" s="97"/>
      <c r="AA55" s="93"/>
      <c r="AB55" s="93"/>
      <c r="AC55" s="93">
        <f>C55</f>
        <v>-1750000</v>
      </c>
      <c r="AD55" s="93"/>
      <c r="AE55" s="93"/>
      <c r="AF55" s="93"/>
      <c r="AG55" s="93"/>
      <c r="AH55" s="93"/>
      <c r="AI55" s="93"/>
      <c r="AJ55" s="93"/>
      <c r="AK55" s="93"/>
      <c r="AL55" s="93"/>
    </row>
    <row r="56" spans="1:38" s="98" customFormat="1" x14ac:dyDescent="0.25">
      <c r="A56" s="99">
        <v>45355</v>
      </c>
      <c r="B56" s="50" t="s">
        <v>636</v>
      </c>
      <c r="C56" s="101">
        <v>-75000</v>
      </c>
      <c r="D56" s="157" t="s">
        <v>25</v>
      </c>
      <c r="E56" s="157"/>
      <c r="F56" s="157"/>
      <c r="G56" s="93">
        <f>C56</f>
        <v>-75000</v>
      </c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7"/>
      <c r="S56" s="97"/>
      <c r="T56" s="97"/>
      <c r="U56" s="97"/>
      <c r="V56" s="97"/>
      <c r="W56" s="97"/>
      <c r="X56" s="97"/>
      <c r="Y56" s="97"/>
      <c r="Z56" s="97"/>
      <c r="AA56" s="93"/>
      <c r="AB56" s="93"/>
      <c r="AC56" s="93"/>
      <c r="AD56" s="93"/>
      <c r="AE56" s="93"/>
      <c r="AF56" s="93"/>
      <c r="AG56" s="93"/>
      <c r="AH56" s="93"/>
      <c r="AI56" s="93"/>
      <c r="AJ56" s="93"/>
      <c r="AK56" s="93"/>
      <c r="AL56" s="93"/>
    </row>
    <row r="57" spans="1:38" s="98" customFormat="1" x14ac:dyDescent="0.25">
      <c r="A57" s="99">
        <v>45355</v>
      </c>
      <c r="B57" s="50" t="s">
        <v>266</v>
      </c>
      <c r="C57" s="101">
        <v>-2130000</v>
      </c>
      <c r="D57" s="157" t="s">
        <v>535</v>
      </c>
      <c r="E57" s="157"/>
      <c r="F57" s="157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7"/>
      <c r="S57" s="97"/>
      <c r="T57" s="97"/>
      <c r="U57" s="97"/>
      <c r="V57" s="97"/>
      <c r="W57" s="97"/>
      <c r="X57" s="97"/>
      <c r="Y57" s="97"/>
      <c r="Z57" s="97"/>
      <c r="AA57" s="93"/>
      <c r="AB57" s="93"/>
      <c r="AC57" s="93"/>
      <c r="AD57" s="93"/>
      <c r="AE57" s="93"/>
      <c r="AF57" s="93"/>
      <c r="AG57" s="93">
        <f>C57</f>
        <v>-2130000</v>
      </c>
      <c r="AH57" s="93"/>
      <c r="AI57" s="93"/>
      <c r="AJ57" s="93"/>
      <c r="AK57" s="93"/>
      <c r="AL57" s="93"/>
    </row>
    <row r="58" spans="1:38" s="98" customFormat="1" x14ac:dyDescent="0.25">
      <c r="A58" s="99">
        <v>45355</v>
      </c>
      <c r="B58" s="50" t="s">
        <v>637</v>
      </c>
      <c r="C58" s="101">
        <v>-85000</v>
      </c>
      <c r="D58" s="157" t="s">
        <v>25</v>
      </c>
      <c r="E58" s="157"/>
      <c r="F58" s="157"/>
      <c r="G58" s="93">
        <f>C58</f>
        <v>-85000</v>
      </c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7"/>
      <c r="S58" s="97"/>
      <c r="T58" s="97"/>
      <c r="U58" s="97"/>
      <c r="V58" s="97"/>
      <c r="W58" s="97"/>
      <c r="X58" s="97"/>
      <c r="Y58" s="97"/>
      <c r="Z58" s="97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</row>
    <row r="59" spans="1:38" s="98" customFormat="1" x14ac:dyDescent="0.25">
      <c r="A59" s="99">
        <v>45355</v>
      </c>
      <c r="B59" s="50" t="s">
        <v>638</v>
      </c>
      <c r="C59" s="101">
        <v>-223000</v>
      </c>
      <c r="D59" s="157" t="s">
        <v>533</v>
      </c>
      <c r="E59" s="157"/>
      <c r="F59" s="157"/>
      <c r="G59" s="93"/>
      <c r="H59" s="93">
        <f>C59</f>
        <v>-223000</v>
      </c>
      <c r="I59" s="93"/>
      <c r="J59" s="93"/>
      <c r="K59" s="93"/>
      <c r="L59" s="93"/>
      <c r="M59" s="93"/>
      <c r="N59" s="93"/>
      <c r="O59" s="93"/>
      <c r="P59" s="93"/>
      <c r="Q59" s="93"/>
      <c r="R59" s="97"/>
      <c r="S59" s="97"/>
      <c r="T59" s="97"/>
      <c r="U59" s="97"/>
      <c r="V59" s="97"/>
      <c r="W59" s="97"/>
      <c r="X59" s="97"/>
      <c r="Y59" s="97"/>
      <c r="Z59" s="97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</row>
    <row r="60" spans="1:38" s="98" customFormat="1" x14ac:dyDescent="0.25">
      <c r="A60" s="99">
        <v>45355</v>
      </c>
      <c r="B60" s="50" t="s">
        <v>639</v>
      </c>
      <c r="C60" s="101">
        <v>-2500000</v>
      </c>
      <c r="D60" s="157" t="s">
        <v>535</v>
      </c>
      <c r="E60" s="157"/>
      <c r="F60" s="157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7"/>
      <c r="S60" s="97"/>
      <c r="T60" s="97"/>
      <c r="U60" s="97"/>
      <c r="V60" s="97"/>
      <c r="W60" s="97"/>
      <c r="X60" s="97"/>
      <c r="Y60" s="97"/>
      <c r="Z60" s="97"/>
      <c r="AA60" s="93"/>
      <c r="AB60" s="93"/>
      <c r="AC60" s="93"/>
      <c r="AD60" s="93"/>
      <c r="AE60" s="93"/>
      <c r="AF60" s="93"/>
      <c r="AG60" s="93">
        <f>C60</f>
        <v>-2500000</v>
      </c>
      <c r="AH60" s="93"/>
      <c r="AI60" s="93"/>
      <c r="AJ60" s="93"/>
      <c r="AK60" s="93"/>
      <c r="AL60" s="93"/>
    </row>
    <row r="61" spans="1:38" s="98" customFormat="1" x14ac:dyDescent="0.25">
      <c r="A61" s="99">
        <v>45355</v>
      </c>
      <c r="B61" s="50" t="s">
        <v>640</v>
      </c>
      <c r="C61" s="101">
        <v>-200000</v>
      </c>
      <c r="D61" s="157" t="s">
        <v>534</v>
      </c>
      <c r="E61" s="157"/>
      <c r="F61" s="157"/>
      <c r="G61" s="93"/>
      <c r="H61" s="93"/>
      <c r="I61" s="93"/>
      <c r="J61" s="93">
        <f>C61</f>
        <v>-200000</v>
      </c>
      <c r="K61" s="93"/>
      <c r="L61" s="93"/>
      <c r="M61" s="93"/>
      <c r="N61" s="93"/>
      <c r="O61" s="93"/>
      <c r="P61" s="93"/>
      <c r="Q61" s="93"/>
      <c r="R61" s="97"/>
      <c r="S61" s="97"/>
      <c r="T61" s="97"/>
      <c r="U61" s="97"/>
      <c r="V61" s="97"/>
      <c r="W61" s="97"/>
      <c r="X61" s="97"/>
      <c r="Y61" s="97"/>
      <c r="Z61" s="97"/>
      <c r="AA61" s="93"/>
      <c r="AB61" s="93"/>
      <c r="AC61" s="93"/>
      <c r="AD61" s="93"/>
      <c r="AE61" s="93"/>
      <c r="AF61" s="93"/>
      <c r="AG61" s="93"/>
      <c r="AH61" s="93"/>
      <c r="AI61" s="93"/>
      <c r="AJ61" s="93"/>
      <c r="AK61" s="93"/>
      <c r="AL61" s="93"/>
    </row>
    <row r="62" spans="1:38" s="98" customFormat="1" x14ac:dyDescent="0.25">
      <c r="A62" s="99">
        <v>45355</v>
      </c>
      <c r="B62" s="50" t="s">
        <v>597</v>
      </c>
      <c r="C62" s="101">
        <v>-71000</v>
      </c>
      <c r="D62" s="157" t="s">
        <v>536</v>
      </c>
      <c r="E62" s="157"/>
      <c r="F62" s="157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7"/>
      <c r="S62" s="97"/>
      <c r="T62" s="97"/>
      <c r="U62" s="97"/>
      <c r="V62" s="97"/>
      <c r="W62" s="97"/>
      <c r="X62" s="97"/>
      <c r="Y62" s="97"/>
      <c r="Z62" s="97"/>
      <c r="AA62" s="93"/>
      <c r="AB62" s="93"/>
      <c r="AC62" s="93"/>
      <c r="AD62" s="93"/>
      <c r="AE62" s="93">
        <f>C62</f>
        <v>-71000</v>
      </c>
      <c r="AF62" s="93"/>
      <c r="AG62" s="93"/>
      <c r="AH62" s="93"/>
      <c r="AI62" s="93"/>
      <c r="AJ62" s="93"/>
      <c r="AK62" s="93"/>
      <c r="AL62" s="93"/>
    </row>
    <row r="63" spans="1:38" s="98" customFormat="1" x14ac:dyDescent="0.25">
      <c r="A63" s="99">
        <v>45355</v>
      </c>
      <c r="B63" s="50" t="s">
        <v>643</v>
      </c>
      <c r="C63" s="101">
        <v>-80000</v>
      </c>
      <c r="D63" s="157" t="s">
        <v>534</v>
      </c>
      <c r="E63" s="157"/>
      <c r="F63" s="157"/>
      <c r="G63" s="93"/>
      <c r="H63" s="93"/>
      <c r="I63" s="93"/>
      <c r="J63" s="93">
        <f>C63</f>
        <v>-80000</v>
      </c>
      <c r="K63" s="93"/>
      <c r="L63" s="93"/>
      <c r="M63" s="93"/>
      <c r="N63" s="93"/>
      <c r="O63" s="93"/>
      <c r="P63" s="93"/>
      <c r="Q63" s="93"/>
      <c r="R63" s="97"/>
      <c r="S63" s="97"/>
      <c r="T63" s="97"/>
      <c r="U63" s="97"/>
      <c r="V63" s="97"/>
      <c r="W63" s="97"/>
      <c r="X63" s="97"/>
      <c r="Y63" s="97"/>
      <c r="Z63" s="97"/>
      <c r="AA63" s="93"/>
      <c r="AB63" s="93"/>
      <c r="AC63" s="93"/>
      <c r="AD63" s="93"/>
      <c r="AE63" s="93"/>
      <c r="AF63" s="93"/>
      <c r="AG63" s="93"/>
      <c r="AH63" s="93"/>
      <c r="AI63" s="93"/>
      <c r="AJ63" s="93"/>
      <c r="AK63" s="93"/>
      <c r="AL63" s="93"/>
    </row>
    <row r="64" spans="1:38" s="98" customFormat="1" x14ac:dyDescent="0.25">
      <c r="A64" s="99">
        <v>45355</v>
      </c>
      <c r="B64" s="50" t="s">
        <v>644</v>
      </c>
      <c r="C64" s="101">
        <v>-65000</v>
      </c>
      <c r="D64" s="157" t="s">
        <v>25</v>
      </c>
      <c r="E64" s="157"/>
      <c r="F64" s="157"/>
      <c r="G64" s="93">
        <f>C64</f>
        <v>-65000</v>
      </c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7"/>
      <c r="S64" s="97"/>
      <c r="T64" s="97"/>
      <c r="U64" s="97"/>
      <c r="V64" s="97"/>
      <c r="W64" s="97"/>
      <c r="X64" s="97"/>
      <c r="Y64" s="97"/>
      <c r="Z64" s="97"/>
      <c r="AA64" s="93"/>
      <c r="AB64" s="93"/>
      <c r="AC64" s="93"/>
      <c r="AD64" s="93"/>
      <c r="AE64" s="93"/>
      <c r="AF64" s="93"/>
      <c r="AG64" s="93"/>
      <c r="AH64" s="93"/>
      <c r="AI64" s="93"/>
      <c r="AJ64" s="93"/>
      <c r="AK64" s="93"/>
      <c r="AL64" s="93"/>
    </row>
    <row r="65" spans="1:38" s="98" customFormat="1" x14ac:dyDescent="0.25">
      <c r="A65" s="99">
        <v>45355</v>
      </c>
      <c r="B65" s="50" t="s">
        <v>262</v>
      </c>
      <c r="C65" s="101">
        <v>-80000</v>
      </c>
      <c r="D65" s="157" t="s">
        <v>533</v>
      </c>
      <c r="E65" s="157"/>
      <c r="F65" s="157"/>
      <c r="G65" s="93"/>
      <c r="H65" s="93">
        <f>C65</f>
        <v>-80000</v>
      </c>
      <c r="I65" s="93"/>
      <c r="J65" s="93"/>
      <c r="K65" s="93"/>
      <c r="L65" s="93"/>
      <c r="M65" s="93"/>
      <c r="N65" s="93"/>
      <c r="O65" s="93"/>
      <c r="P65" s="93"/>
      <c r="Q65" s="93"/>
      <c r="R65" s="97"/>
      <c r="S65" s="97"/>
      <c r="T65" s="97"/>
      <c r="U65" s="97"/>
      <c r="V65" s="97"/>
      <c r="W65" s="97"/>
      <c r="X65" s="97"/>
      <c r="Y65" s="97"/>
      <c r="Z65" s="97"/>
      <c r="AA65" s="93"/>
      <c r="AB65" s="93"/>
      <c r="AC65" s="93"/>
      <c r="AD65" s="93"/>
      <c r="AE65" s="93"/>
      <c r="AF65" s="93"/>
      <c r="AG65" s="93"/>
      <c r="AH65" s="93"/>
      <c r="AI65" s="93"/>
      <c r="AJ65" s="93"/>
      <c r="AK65" s="93"/>
      <c r="AL65" s="93"/>
    </row>
    <row r="66" spans="1:38" s="98" customFormat="1" x14ac:dyDescent="0.25">
      <c r="A66" s="99">
        <v>45356</v>
      </c>
      <c r="B66" s="50" t="s">
        <v>163</v>
      </c>
      <c r="C66" s="101">
        <v>-11000</v>
      </c>
      <c r="D66" s="157" t="s">
        <v>532</v>
      </c>
      <c r="E66" s="157"/>
      <c r="F66" s="157"/>
      <c r="G66" s="93"/>
      <c r="H66" s="93"/>
      <c r="I66" s="93"/>
      <c r="J66" s="93"/>
      <c r="K66" s="93">
        <f>C66</f>
        <v>-11000</v>
      </c>
      <c r="L66" s="93"/>
      <c r="M66" s="93"/>
      <c r="N66" s="93"/>
      <c r="O66" s="93"/>
      <c r="P66" s="93"/>
      <c r="Q66" s="93"/>
      <c r="R66" s="97"/>
      <c r="S66" s="97"/>
      <c r="T66" s="97"/>
      <c r="U66" s="97"/>
      <c r="V66" s="97"/>
      <c r="W66" s="97"/>
      <c r="X66" s="97"/>
      <c r="Y66" s="97"/>
      <c r="Z66" s="97"/>
      <c r="AA66" s="93"/>
      <c r="AB66" s="93"/>
      <c r="AC66" s="93"/>
      <c r="AD66" s="93"/>
      <c r="AE66" s="93"/>
      <c r="AF66" s="93"/>
      <c r="AG66" s="93"/>
      <c r="AH66" s="93"/>
      <c r="AI66" s="93"/>
      <c r="AJ66" s="93"/>
      <c r="AK66" s="93"/>
      <c r="AL66" s="93"/>
    </row>
    <row r="67" spans="1:38" s="98" customFormat="1" x14ac:dyDescent="0.25">
      <c r="A67" s="99">
        <v>45356</v>
      </c>
      <c r="B67" s="50" t="s">
        <v>647</v>
      </c>
      <c r="C67" s="101">
        <v>-1000000</v>
      </c>
      <c r="D67" s="157" t="s">
        <v>27</v>
      </c>
      <c r="E67" s="157"/>
      <c r="F67" s="157"/>
      <c r="G67" s="93"/>
      <c r="H67" s="93"/>
      <c r="I67" s="93">
        <f>C67</f>
        <v>-1000000</v>
      </c>
      <c r="J67" s="93"/>
      <c r="K67" s="93"/>
      <c r="L67" s="93"/>
      <c r="M67" s="93"/>
      <c r="N67" s="93"/>
      <c r="O67" s="93"/>
      <c r="P67" s="93"/>
      <c r="Q67" s="93"/>
      <c r="R67" s="97"/>
      <c r="S67" s="97"/>
      <c r="T67" s="97"/>
      <c r="U67" s="97"/>
      <c r="V67" s="97"/>
      <c r="W67" s="97"/>
      <c r="X67" s="97"/>
      <c r="Y67" s="97"/>
      <c r="Z67" s="97"/>
      <c r="AA67" s="93"/>
      <c r="AB67" s="93"/>
      <c r="AC67" s="93"/>
      <c r="AD67" s="93"/>
      <c r="AE67" s="93"/>
      <c r="AF67" s="93"/>
      <c r="AG67" s="93"/>
      <c r="AH67" s="93"/>
      <c r="AI67" s="93"/>
      <c r="AJ67" s="93"/>
      <c r="AK67" s="93"/>
      <c r="AL67" s="93"/>
    </row>
    <row r="68" spans="1:38" s="98" customFormat="1" x14ac:dyDescent="0.25">
      <c r="A68" s="99">
        <v>45356</v>
      </c>
      <c r="B68" s="50" t="s">
        <v>220</v>
      </c>
      <c r="C68" s="101">
        <v>-58000</v>
      </c>
      <c r="D68" s="157" t="s">
        <v>928</v>
      </c>
      <c r="E68" s="157"/>
      <c r="F68" s="157"/>
      <c r="G68" s="93"/>
      <c r="H68" s="93"/>
      <c r="I68" s="93"/>
      <c r="J68" s="93"/>
      <c r="K68" s="93"/>
      <c r="L68" s="93"/>
      <c r="M68" s="93"/>
      <c r="N68" s="93"/>
      <c r="O68" s="93"/>
      <c r="P68" s="93"/>
      <c r="Q68" s="93"/>
      <c r="R68" s="97"/>
      <c r="S68" s="97"/>
      <c r="T68" s="97"/>
      <c r="U68" s="97"/>
      <c r="V68" s="97"/>
      <c r="W68" s="97"/>
      <c r="X68" s="97"/>
      <c r="Y68" s="97"/>
      <c r="Z68" s="97"/>
      <c r="AA68" s="93"/>
      <c r="AB68" s="93"/>
      <c r="AC68" s="93"/>
      <c r="AD68" s="93">
        <f>C68</f>
        <v>-58000</v>
      </c>
      <c r="AE68" s="93"/>
      <c r="AF68" s="93"/>
      <c r="AG68" s="93"/>
      <c r="AH68" s="93"/>
      <c r="AI68" s="93"/>
      <c r="AJ68" s="93"/>
      <c r="AK68" s="93"/>
      <c r="AL68" s="93"/>
    </row>
    <row r="69" spans="1:38" s="98" customFormat="1" x14ac:dyDescent="0.25">
      <c r="A69" s="99">
        <v>45356</v>
      </c>
      <c r="B69" s="50" t="s">
        <v>649</v>
      </c>
      <c r="C69" s="101">
        <v>-65000</v>
      </c>
      <c r="D69" s="157" t="s">
        <v>25</v>
      </c>
      <c r="E69" s="157"/>
      <c r="F69" s="157"/>
      <c r="G69" s="93">
        <f>C69</f>
        <v>-65000</v>
      </c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7"/>
      <c r="S69" s="97"/>
      <c r="T69" s="97"/>
      <c r="U69" s="97"/>
      <c r="V69" s="97"/>
      <c r="W69" s="97"/>
      <c r="X69" s="97"/>
      <c r="Y69" s="97"/>
      <c r="Z69" s="97"/>
      <c r="AA69" s="93"/>
      <c r="AB69" s="93"/>
      <c r="AC69" s="93"/>
      <c r="AD69" s="93"/>
      <c r="AE69" s="93"/>
      <c r="AF69" s="93"/>
      <c r="AG69" s="93"/>
      <c r="AH69" s="93"/>
      <c r="AI69" s="93"/>
      <c r="AJ69" s="93"/>
      <c r="AK69" s="93"/>
      <c r="AL69" s="93"/>
    </row>
    <row r="70" spans="1:38" s="98" customFormat="1" x14ac:dyDescent="0.25">
      <c r="A70" s="99">
        <v>45356</v>
      </c>
      <c r="B70" s="50" t="s">
        <v>596</v>
      </c>
      <c r="C70" s="101">
        <v>-214000</v>
      </c>
      <c r="D70" s="157" t="s">
        <v>533</v>
      </c>
      <c r="E70" s="157"/>
      <c r="F70" s="157"/>
      <c r="G70" s="93"/>
      <c r="H70" s="93">
        <f>C70</f>
        <v>-214000</v>
      </c>
      <c r="I70" s="93"/>
      <c r="J70" s="93"/>
      <c r="K70" s="93"/>
      <c r="L70" s="93"/>
      <c r="M70" s="93"/>
      <c r="N70" s="93"/>
      <c r="O70" s="93"/>
      <c r="P70" s="93"/>
      <c r="Q70" s="93"/>
      <c r="R70" s="97"/>
      <c r="S70" s="97"/>
      <c r="T70" s="97"/>
      <c r="U70" s="97"/>
      <c r="V70" s="97"/>
      <c r="W70" s="97"/>
      <c r="X70" s="97"/>
      <c r="Y70" s="97"/>
      <c r="Z70" s="97"/>
      <c r="AA70" s="93"/>
      <c r="AB70" s="93"/>
      <c r="AC70" s="93"/>
      <c r="AD70" s="93"/>
      <c r="AE70" s="93"/>
      <c r="AF70" s="93"/>
      <c r="AG70" s="93"/>
      <c r="AH70" s="93"/>
      <c r="AI70" s="93"/>
      <c r="AJ70" s="93"/>
      <c r="AK70" s="93"/>
      <c r="AL70" s="93"/>
    </row>
    <row r="71" spans="1:38" s="98" customFormat="1" x14ac:dyDescent="0.25">
      <c r="A71" s="99">
        <v>45356</v>
      </c>
      <c r="B71" s="50" t="s">
        <v>264</v>
      </c>
      <c r="C71" s="101">
        <v>-2543000</v>
      </c>
      <c r="D71" s="157" t="s">
        <v>533</v>
      </c>
      <c r="E71" s="157"/>
      <c r="F71" s="157"/>
      <c r="G71" s="93"/>
      <c r="H71" s="93">
        <f>C71</f>
        <v>-2543000</v>
      </c>
      <c r="I71" s="93"/>
      <c r="J71" s="93"/>
      <c r="K71" s="93"/>
      <c r="L71" s="93"/>
      <c r="M71" s="93"/>
      <c r="N71" s="93"/>
      <c r="O71" s="93"/>
      <c r="P71" s="93"/>
      <c r="Q71" s="93"/>
      <c r="R71" s="97"/>
      <c r="S71" s="97"/>
      <c r="T71" s="97"/>
      <c r="U71" s="97"/>
      <c r="V71" s="97"/>
      <c r="W71" s="97"/>
      <c r="X71" s="97"/>
      <c r="Y71" s="97"/>
      <c r="Z71" s="97"/>
      <c r="AA71" s="93"/>
      <c r="AB71" s="93"/>
      <c r="AC71" s="93"/>
      <c r="AD71" s="93"/>
      <c r="AE71" s="93"/>
      <c r="AF71" s="93"/>
      <c r="AG71" s="93"/>
      <c r="AH71" s="93"/>
      <c r="AI71" s="93"/>
      <c r="AJ71" s="93"/>
      <c r="AK71" s="93"/>
      <c r="AL71" s="93"/>
    </row>
    <row r="72" spans="1:38" s="98" customFormat="1" x14ac:dyDescent="0.25">
      <c r="A72" s="99">
        <v>45356</v>
      </c>
      <c r="B72" s="50" t="s">
        <v>190</v>
      </c>
      <c r="C72" s="101">
        <v>-425000</v>
      </c>
      <c r="D72" s="157" t="s">
        <v>533</v>
      </c>
      <c r="E72" s="157"/>
      <c r="F72" s="157"/>
      <c r="G72" s="93"/>
      <c r="H72" s="93">
        <f>C72</f>
        <v>-425000</v>
      </c>
      <c r="I72" s="93"/>
      <c r="J72" s="93"/>
      <c r="K72" s="93"/>
      <c r="L72" s="93"/>
      <c r="M72" s="93"/>
      <c r="N72" s="93"/>
      <c r="O72" s="93"/>
      <c r="P72" s="93"/>
      <c r="Q72" s="93"/>
      <c r="R72" s="97"/>
      <c r="S72" s="97"/>
      <c r="T72" s="97"/>
      <c r="U72" s="97"/>
      <c r="V72" s="97"/>
      <c r="W72" s="97"/>
      <c r="X72" s="97"/>
      <c r="Y72" s="97"/>
      <c r="Z72" s="97"/>
      <c r="AA72" s="93"/>
      <c r="AB72" s="93"/>
      <c r="AC72" s="93"/>
      <c r="AD72" s="93"/>
      <c r="AE72" s="93"/>
      <c r="AF72" s="93"/>
      <c r="AG72" s="93"/>
      <c r="AH72" s="93"/>
      <c r="AI72" s="93"/>
      <c r="AJ72" s="93"/>
      <c r="AK72" s="93"/>
      <c r="AL72" s="93"/>
    </row>
    <row r="73" spans="1:38" s="98" customFormat="1" x14ac:dyDescent="0.25">
      <c r="A73" s="99">
        <v>45356</v>
      </c>
      <c r="B73" s="50" t="s">
        <v>185</v>
      </c>
      <c r="C73" s="101">
        <v>-79800</v>
      </c>
      <c r="D73" s="157" t="s">
        <v>534</v>
      </c>
      <c r="E73" s="157"/>
      <c r="F73" s="157"/>
      <c r="G73" s="93"/>
      <c r="H73" s="93"/>
      <c r="I73" s="93"/>
      <c r="J73" s="93">
        <f>C73</f>
        <v>-79800</v>
      </c>
      <c r="K73" s="93"/>
      <c r="L73" s="93"/>
      <c r="M73" s="93"/>
      <c r="N73" s="93"/>
      <c r="O73" s="93"/>
      <c r="P73" s="93"/>
      <c r="Q73" s="93"/>
      <c r="R73" s="97"/>
      <c r="S73" s="97"/>
      <c r="T73" s="97"/>
      <c r="U73" s="97"/>
      <c r="V73" s="97"/>
      <c r="W73" s="97"/>
      <c r="X73" s="97"/>
      <c r="Y73" s="97"/>
      <c r="Z73" s="97"/>
      <c r="AA73" s="93"/>
      <c r="AB73" s="93"/>
      <c r="AC73" s="93"/>
      <c r="AD73" s="93"/>
      <c r="AE73" s="93"/>
      <c r="AF73" s="93"/>
      <c r="AG73" s="93"/>
      <c r="AH73" s="93"/>
      <c r="AI73" s="93"/>
      <c r="AJ73" s="93"/>
      <c r="AK73" s="93"/>
      <c r="AL73" s="93"/>
    </row>
    <row r="74" spans="1:38" s="98" customFormat="1" x14ac:dyDescent="0.25">
      <c r="A74" s="99">
        <v>45356</v>
      </c>
      <c r="B74" s="50" t="s">
        <v>652</v>
      </c>
      <c r="C74" s="101">
        <v>-3598740</v>
      </c>
      <c r="D74" s="157" t="s">
        <v>929</v>
      </c>
      <c r="E74" s="157"/>
      <c r="F74" s="157"/>
      <c r="G74" s="93"/>
      <c r="H74" s="93"/>
      <c r="I74" s="93"/>
      <c r="J74" s="93"/>
      <c r="K74" s="93"/>
      <c r="L74" s="93"/>
      <c r="M74" s="93"/>
      <c r="N74" s="93"/>
      <c r="O74" s="93">
        <f>C74</f>
        <v>-3598740</v>
      </c>
      <c r="P74" s="93"/>
      <c r="Q74" s="93"/>
      <c r="R74" s="97"/>
      <c r="S74" s="97"/>
      <c r="T74" s="97"/>
      <c r="U74" s="97"/>
      <c r="V74" s="97"/>
      <c r="W74" s="97"/>
      <c r="X74" s="97"/>
      <c r="Y74" s="97"/>
      <c r="Z74" s="97"/>
      <c r="AA74" s="93"/>
      <c r="AB74" s="93"/>
      <c r="AC74" s="93"/>
      <c r="AD74" s="93"/>
      <c r="AE74" s="93"/>
      <c r="AF74" s="93"/>
      <c r="AG74" s="93"/>
      <c r="AH74" s="93"/>
      <c r="AI74" s="93"/>
      <c r="AJ74" s="93"/>
      <c r="AK74" s="93"/>
      <c r="AL74" s="93"/>
    </row>
    <row r="75" spans="1:38" s="98" customFormat="1" x14ac:dyDescent="0.25">
      <c r="A75" s="99">
        <v>45356</v>
      </c>
      <c r="B75" s="50" t="s">
        <v>653</v>
      </c>
      <c r="C75" s="101">
        <v>-174500</v>
      </c>
      <c r="D75" s="157" t="s">
        <v>533</v>
      </c>
      <c r="E75" s="157"/>
      <c r="F75" s="157"/>
      <c r="G75" s="93"/>
      <c r="H75" s="93">
        <f>C75</f>
        <v>-174500</v>
      </c>
      <c r="I75" s="93"/>
      <c r="J75" s="93"/>
      <c r="K75" s="93"/>
      <c r="L75" s="93"/>
      <c r="M75" s="93"/>
      <c r="N75" s="93"/>
      <c r="O75" s="93"/>
      <c r="P75" s="93"/>
      <c r="Q75" s="93"/>
      <c r="R75" s="97"/>
      <c r="S75" s="97"/>
      <c r="T75" s="97"/>
      <c r="U75" s="97"/>
      <c r="V75" s="97"/>
      <c r="W75" s="97"/>
      <c r="X75" s="97"/>
      <c r="Y75" s="97"/>
      <c r="Z75" s="97"/>
      <c r="AA75" s="93"/>
      <c r="AB75" s="93"/>
      <c r="AC75" s="93"/>
      <c r="AD75" s="93"/>
      <c r="AE75" s="93"/>
      <c r="AF75" s="93"/>
      <c r="AG75" s="93"/>
      <c r="AH75" s="93"/>
      <c r="AI75" s="93"/>
      <c r="AJ75" s="93"/>
      <c r="AK75" s="93"/>
      <c r="AL75" s="93"/>
    </row>
    <row r="76" spans="1:38" s="98" customFormat="1" x14ac:dyDescent="0.25">
      <c r="A76" s="99">
        <v>45356</v>
      </c>
      <c r="B76" s="50" t="s">
        <v>654</v>
      </c>
      <c r="C76" s="101">
        <v>-458700</v>
      </c>
      <c r="D76" s="157" t="s">
        <v>142</v>
      </c>
      <c r="E76" s="157"/>
      <c r="F76" s="157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7"/>
      <c r="S76" s="97"/>
      <c r="T76" s="97"/>
      <c r="U76" s="97"/>
      <c r="V76" s="97"/>
      <c r="W76" s="97"/>
      <c r="X76" s="97"/>
      <c r="Y76" s="97"/>
      <c r="Z76" s="97"/>
      <c r="AA76" s="93"/>
      <c r="AB76" s="93"/>
      <c r="AC76" s="93"/>
      <c r="AD76" s="93"/>
      <c r="AE76" s="93"/>
      <c r="AF76" s="93"/>
      <c r="AG76" s="93"/>
      <c r="AH76" s="93"/>
      <c r="AI76" s="93"/>
      <c r="AJ76" s="93"/>
      <c r="AK76" s="93">
        <f>C76</f>
        <v>-458700</v>
      </c>
      <c r="AL76" s="93"/>
    </row>
    <row r="77" spans="1:38" s="98" customFormat="1" x14ac:dyDescent="0.25">
      <c r="A77" s="99">
        <v>45356</v>
      </c>
      <c r="B77" s="50" t="s">
        <v>655</v>
      </c>
      <c r="C77" s="101">
        <v>-75000</v>
      </c>
      <c r="D77" s="157" t="s">
        <v>25</v>
      </c>
      <c r="E77" s="157"/>
      <c r="F77" s="157"/>
      <c r="G77" s="93">
        <f>C77</f>
        <v>-75000</v>
      </c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7"/>
      <c r="S77" s="97"/>
      <c r="T77" s="97"/>
      <c r="U77" s="97"/>
      <c r="V77" s="97"/>
      <c r="W77" s="97"/>
      <c r="X77" s="97"/>
      <c r="Y77" s="97"/>
      <c r="Z77" s="97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</row>
    <row r="78" spans="1:38" s="98" customFormat="1" x14ac:dyDescent="0.25">
      <c r="A78" s="99">
        <v>45356</v>
      </c>
      <c r="B78" s="50" t="s">
        <v>656</v>
      </c>
      <c r="C78" s="101">
        <v>-75000</v>
      </c>
      <c r="D78" s="157" t="s">
        <v>25</v>
      </c>
      <c r="E78" s="157"/>
      <c r="F78" s="157"/>
      <c r="G78" s="93">
        <f>C78</f>
        <v>-75000</v>
      </c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7"/>
      <c r="S78" s="97"/>
      <c r="T78" s="97"/>
      <c r="U78" s="97"/>
      <c r="V78" s="97"/>
      <c r="W78" s="97"/>
      <c r="X78" s="97"/>
      <c r="Y78" s="97"/>
      <c r="Z78" s="97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</row>
    <row r="79" spans="1:38" s="98" customFormat="1" x14ac:dyDescent="0.25">
      <c r="A79" s="99">
        <v>45356</v>
      </c>
      <c r="B79" s="50" t="s">
        <v>529</v>
      </c>
      <c r="C79" s="101">
        <v>-30000</v>
      </c>
      <c r="D79" s="157" t="s">
        <v>533</v>
      </c>
      <c r="E79" s="157"/>
      <c r="F79" s="157"/>
      <c r="G79" s="93"/>
      <c r="H79" s="93">
        <f>C79</f>
        <v>-30000</v>
      </c>
      <c r="I79" s="93"/>
      <c r="J79" s="93"/>
      <c r="K79" s="93"/>
      <c r="L79" s="93"/>
      <c r="M79" s="93"/>
      <c r="N79" s="93"/>
      <c r="O79" s="93"/>
      <c r="P79" s="93"/>
      <c r="Q79" s="93"/>
      <c r="R79" s="97"/>
      <c r="S79" s="97"/>
      <c r="T79" s="97"/>
      <c r="U79" s="97"/>
      <c r="V79" s="97"/>
      <c r="W79" s="97"/>
      <c r="X79" s="97"/>
      <c r="Y79" s="97"/>
      <c r="Z79" s="97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</row>
    <row r="80" spans="1:38" s="98" customFormat="1" x14ac:dyDescent="0.25">
      <c r="A80" s="99">
        <v>45357</v>
      </c>
      <c r="B80" s="50" t="s">
        <v>163</v>
      </c>
      <c r="C80" s="101">
        <v>-11000</v>
      </c>
      <c r="D80" s="157" t="s">
        <v>532</v>
      </c>
      <c r="E80" s="157"/>
      <c r="F80" s="157"/>
      <c r="G80" s="93"/>
      <c r="H80" s="93"/>
      <c r="I80" s="93"/>
      <c r="J80" s="93"/>
      <c r="K80" s="93">
        <f>C80</f>
        <v>-11000</v>
      </c>
      <c r="L80" s="93"/>
      <c r="M80" s="93"/>
      <c r="N80" s="93"/>
      <c r="O80" s="93"/>
      <c r="P80" s="93"/>
      <c r="Q80" s="93"/>
      <c r="R80" s="97"/>
      <c r="S80" s="97"/>
      <c r="T80" s="97"/>
      <c r="U80" s="97"/>
      <c r="V80" s="97"/>
      <c r="W80" s="97"/>
      <c r="X80" s="97"/>
      <c r="Y80" s="97"/>
      <c r="Z80" s="97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</row>
    <row r="81" spans="1:38" s="98" customFormat="1" x14ac:dyDescent="0.25">
      <c r="A81" s="99">
        <v>45357</v>
      </c>
      <c r="B81" s="50" t="s">
        <v>658</v>
      </c>
      <c r="C81" s="101">
        <v>-280000</v>
      </c>
      <c r="D81" s="157" t="s">
        <v>532</v>
      </c>
      <c r="E81" s="157"/>
      <c r="F81" s="157"/>
      <c r="G81" s="93"/>
      <c r="H81" s="93"/>
      <c r="I81" s="93"/>
      <c r="J81" s="93"/>
      <c r="K81" s="93">
        <f>C81</f>
        <v>-280000</v>
      </c>
      <c r="L81" s="93"/>
      <c r="M81" s="93"/>
      <c r="N81" s="93"/>
      <c r="O81" s="93"/>
      <c r="P81" s="93"/>
      <c r="Q81" s="93"/>
      <c r="R81" s="97"/>
      <c r="S81" s="97"/>
      <c r="T81" s="97"/>
      <c r="U81" s="97"/>
      <c r="V81" s="97"/>
      <c r="W81" s="97"/>
      <c r="X81" s="97"/>
      <c r="Y81" s="97"/>
      <c r="Z81" s="97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</row>
    <row r="82" spans="1:38" s="98" customFormat="1" x14ac:dyDescent="0.25">
      <c r="A82" s="99">
        <v>45357</v>
      </c>
      <c r="B82" s="50" t="s">
        <v>659</v>
      </c>
      <c r="C82" s="101">
        <v>-200000</v>
      </c>
      <c r="D82" s="157" t="s">
        <v>532</v>
      </c>
      <c r="E82" s="157"/>
      <c r="F82" s="157"/>
      <c r="G82" s="93"/>
      <c r="H82" s="93"/>
      <c r="I82" s="93"/>
      <c r="J82" s="93"/>
      <c r="K82" s="93">
        <f>C82</f>
        <v>-200000</v>
      </c>
      <c r="L82" s="93"/>
      <c r="M82" s="93"/>
      <c r="N82" s="93"/>
      <c r="O82" s="93"/>
      <c r="P82" s="93"/>
      <c r="Q82" s="93"/>
      <c r="R82" s="97"/>
      <c r="S82" s="97"/>
      <c r="T82" s="97"/>
      <c r="U82" s="97"/>
      <c r="V82" s="97"/>
      <c r="W82" s="97"/>
      <c r="X82" s="97"/>
      <c r="Y82" s="97"/>
      <c r="Z82" s="97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</row>
    <row r="83" spans="1:38" s="98" customFormat="1" x14ac:dyDescent="0.25">
      <c r="A83" s="99">
        <v>45357</v>
      </c>
      <c r="B83" s="50" t="s">
        <v>660</v>
      </c>
      <c r="C83" s="101">
        <v>-65000</v>
      </c>
      <c r="D83" s="157" t="s">
        <v>25</v>
      </c>
      <c r="E83" s="157"/>
      <c r="F83" s="157"/>
      <c r="G83" s="93">
        <f>C83</f>
        <v>-65000</v>
      </c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7"/>
      <c r="S83" s="97"/>
      <c r="T83" s="97"/>
      <c r="U83" s="97"/>
      <c r="V83" s="97"/>
      <c r="W83" s="97"/>
      <c r="X83" s="97"/>
      <c r="Y83" s="97"/>
      <c r="Z83" s="97"/>
      <c r="AA83" s="93"/>
      <c r="AB83" s="93"/>
      <c r="AC83" s="93"/>
      <c r="AD83" s="93"/>
      <c r="AE83" s="93"/>
      <c r="AF83" s="93"/>
      <c r="AG83" s="93"/>
      <c r="AH83" s="93"/>
      <c r="AI83" s="93"/>
      <c r="AJ83" s="93"/>
      <c r="AK83" s="93"/>
      <c r="AL83" s="93"/>
    </row>
    <row r="84" spans="1:38" s="98" customFormat="1" x14ac:dyDescent="0.25">
      <c r="A84" s="99">
        <v>45357</v>
      </c>
      <c r="B84" s="50" t="s">
        <v>661</v>
      </c>
      <c r="C84" s="101">
        <v>-240300</v>
      </c>
      <c r="D84" s="157" t="s">
        <v>141</v>
      </c>
      <c r="E84" s="157"/>
      <c r="F84" s="157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7"/>
      <c r="S84" s="97"/>
      <c r="T84" s="97"/>
      <c r="U84" s="97"/>
      <c r="V84" s="97"/>
      <c r="W84" s="97"/>
      <c r="X84" s="97"/>
      <c r="Y84" s="97"/>
      <c r="Z84" s="97"/>
      <c r="AA84" s="93"/>
      <c r="AB84" s="93"/>
      <c r="AC84" s="93"/>
      <c r="AD84" s="93"/>
      <c r="AE84" s="93"/>
      <c r="AF84" s="93"/>
      <c r="AG84" s="93"/>
      <c r="AH84" s="93"/>
      <c r="AI84" s="93"/>
      <c r="AJ84" s="93">
        <f>C84</f>
        <v>-240300</v>
      </c>
      <c r="AK84" s="93"/>
      <c r="AL84" s="93"/>
    </row>
    <row r="85" spans="1:38" s="98" customFormat="1" x14ac:dyDescent="0.25">
      <c r="A85" s="99">
        <v>45357</v>
      </c>
      <c r="B85" s="50" t="s">
        <v>662</v>
      </c>
      <c r="C85" s="101">
        <v>-34000</v>
      </c>
      <c r="D85" s="157" t="s">
        <v>142</v>
      </c>
      <c r="E85" s="157"/>
      <c r="F85" s="157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7"/>
      <c r="S85" s="97"/>
      <c r="T85" s="97"/>
      <c r="U85" s="97"/>
      <c r="V85" s="97"/>
      <c r="W85" s="97"/>
      <c r="X85" s="97"/>
      <c r="Y85" s="97"/>
      <c r="Z85" s="97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>
        <f>C85</f>
        <v>-34000</v>
      </c>
      <c r="AL85" s="93"/>
    </row>
    <row r="86" spans="1:38" s="98" customFormat="1" x14ac:dyDescent="0.25">
      <c r="A86" s="99">
        <v>45357</v>
      </c>
      <c r="B86" s="50" t="s">
        <v>274</v>
      </c>
      <c r="C86" s="101">
        <v>-79100</v>
      </c>
      <c r="D86" s="157" t="s">
        <v>27</v>
      </c>
      <c r="E86" s="157"/>
      <c r="F86" s="157"/>
      <c r="G86" s="93"/>
      <c r="H86" s="93"/>
      <c r="I86" s="93">
        <f>C86</f>
        <v>-79100</v>
      </c>
      <c r="J86" s="93"/>
      <c r="K86" s="93"/>
      <c r="L86" s="93"/>
      <c r="M86" s="93"/>
      <c r="N86" s="93"/>
      <c r="O86" s="93"/>
      <c r="P86" s="93"/>
      <c r="Q86" s="93"/>
      <c r="R86" s="97"/>
      <c r="S86" s="97"/>
      <c r="T86" s="97"/>
      <c r="U86" s="97"/>
      <c r="V86" s="97"/>
      <c r="W86" s="97"/>
      <c r="X86" s="97"/>
      <c r="Y86" s="97"/>
      <c r="Z86" s="97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</row>
    <row r="87" spans="1:38" s="98" customFormat="1" x14ac:dyDescent="0.25">
      <c r="A87" s="99">
        <v>45357</v>
      </c>
      <c r="B87" s="50" t="s">
        <v>664</v>
      </c>
      <c r="C87" s="101">
        <v>-418000</v>
      </c>
      <c r="D87" s="157" t="s">
        <v>533</v>
      </c>
      <c r="E87" s="157"/>
      <c r="F87" s="157"/>
      <c r="G87" s="93"/>
      <c r="H87" s="93">
        <f>C87</f>
        <v>-418000</v>
      </c>
      <c r="I87" s="93"/>
      <c r="J87" s="93"/>
      <c r="K87" s="93"/>
      <c r="L87" s="93"/>
      <c r="M87" s="93"/>
      <c r="N87" s="93"/>
      <c r="O87" s="93"/>
      <c r="P87" s="93"/>
      <c r="Q87" s="93"/>
      <c r="R87" s="97"/>
      <c r="S87" s="97"/>
      <c r="T87" s="97"/>
      <c r="U87" s="97"/>
      <c r="V87" s="97"/>
      <c r="W87" s="97"/>
      <c r="X87" s="97"/>
      <c r="Y87" s="97"/>
      <c r="Z87" s="97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</row>
    <row r="88" spans="1:38" s="98" customFormat="1" x14ac:dyDescent="0.25">
      <c r="A88" s="99">
        <v>45357</v>
      </c>
      <c r="B88" s="50" t="s">
        <v>264</v>
      </c>
      <c r="C88" s="101">
        <v>-933000</v>
      </c>
      <c r="D88" s="157" t="s">
        <v>533</v>
      </c>
      <c r="E88" s="157"/>
      <c r="F88" s="157"/>
      <c r="G88" s="93"/>
      <c r="H88" s="93">
        <f>C88</f>
        <v>-933000</v>
      </c>
      <c r="I88" s="93"/>
      <c r="J88" s="93"/>
      <c r="K88" s="93"/>
      <c r="L88" s="93"/>
      <c r="M88" s="93"/>
      <c r="N88" s="93"/>
      <c r="O88" s="93"/>
      <c r="P88" s="93"/>
      <c r="Q88" s="93"/>
      <c r="R88" s="97"/>
      <c r="S88" s="97"/>
      <c r="T88" s="97"/>
      <c r="U88" s="97"/>
      <c r="V88" s="97"/>
      <c r="W88" s="97"/>
      <c r="X88" s="97"/>
      <c r="Y88" s="97"/>
      <c r="Z88" s="97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</row>
    <row r="89" spans="1:38" s="98" customFormat="1" x14ac:dyDescent="0.25">
      <c r="A89" s="99">
        <v>45357</v>
      </c>
      <c r="B89" s="50" t="s">
        <v>267</v>
      </c>
      <c r="C89" s="101">
        <v>-217000</v>
      </c>
      <c r="D89" s="157" t="s">
        <v>535</v>
      </c>
      <c r="E89" s="157"/>
      <c r="F89" s="157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7"/>
      <c r="S89" s="97"/>
      <c r="T89" s="97"/>
      <c r="U89" s="97"/>
      <c r="V89" s="97"/>
      <c r="W89" s="97"/>
      <c r="X89" s="97"/>
      <c r="Y89" s="97"/>
      <c r="Z89" s="97"/>
      <c r="AA89" s="93"/>
      <c r="AB89" s="93"/>
      <c r="AC89" s="93"/>
      <c r="AD89" s="93"/>
      <c r="AE89" s="93"/>
      <c r="AF89" s="93"/>
      <c r="AG89" s="93">
        <f>C89</f>
        <v>-217000</v>
      </c>
      <c r="AH89" s="93"/>
      <c r="AI89" s="93"/>
      <c r="AJ89" s="93"/>
      <c r="AK89" s="93"/>
      <c r="AL89" s="93"/>
    </row>
    <row r="90" spans="1:38" s="98" customFormat="1" x14ac:dyDescent="0.25">
      <c r="A90" s="99">
        <v>45357</v>
      </c>
      <c r="B90" s="50" t="s">
        <v>264</v>
      </c>
      <c r="C90" s="101">
        <v>-1013400</v>
      </c>
      <c r="D90" s="157" t="s">
        <v>533</v>
      </c>
      <c r="E90" s="157"/>
      <c r="F90" s="157"/>
      <c r="G90" s="93"/>
      <c r="H90" s="93">
        <f>C90</f>
        <v>-1013400</v>
      </c>
      <c r="I90" s="93"/>
      <c r="J90" s="93"/>
      <c r="K90" s="93"/>
      <c r="L90" s="93"/>
      <c r="M90" s="93"/>
      <c r="N90" s="93"/>
      <c r="O90" s="93"/>
      <c r="P90" s="93"/>
      <c r="Q90" s="93"/>
      <c r="R90" s="97"/>
      <c r="S90" s="97"/>
      <c r="T90" s="97"/>
      <c r="U90" s="97"/>
      <c r="V90" s="97"/>
      <c r="W90" s="97"/>
      <c r="X90" s="97"/>
      <c r="Y90" s="97"/>
      <c r="Z90" s="97"/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  <c r="AL90" s="93"/>
    </row>
    <row r="91" spans="1:38" s="98" customFormat="1" x14ac:dyDescent="0.25">
      <c r="A91" s="99">
        <v>45357</v>
      </c>
      <c r="B91" s="50" t="s">
        <v>666</v>
      </c>
      <c r="C91" s="101">
        <v>-235000</v>
      </c>
      <c r="D91" s="157" t="s">
        <v>927</v>
      </c>
      <c r="E91" s="157"/>
      <c r="F91" s="157"/>
      <c r="G91" s="93"/>
      <c r="H91" s="93"/>
      <c r="I91" s="93"/>
      <c r="J91" s="93"/>
      <c r="K91" s="93"/>
      <c r="L91" s="93">
        <f>C91</f>
        <v>-235000</v>
      </c>
      <c r="M91" s="93"/>
      <c r="N91" s="93"/>
      <c r="O91" s="93"/>
      <c r="P91" s="93"/>
      <c r="Q91" s="93"/>
      <c r="R91" s="97"/>
      <c r="S91" s="97"/>
      <c r="T91" s="97"/>
      <c r="U91" s="97"/>
      <c r="V91" s="97"/>
      <c r="W91" s="97"/>
      <c r="X91" s="97"/>
      <c r="Y91" s="97"/>
      <c r="Z91" s="97"/>
      <c r="AA91" s="93"/>
      <c r="AB91" s="93"/>
      <c r="AC91" s="93"/>
      <c r="AD91" s="93"/>
      <c r="AE91" s="93"/>
      <c r="AF91" s="93"/>
      <c r="AG91" s="93"/>
      <c r="AH91" s="93"/>
      <c r="AI91" s="93"/>
      <c r="AJ91" s="93"/>
      <c r="AK91" s="93"/>
      <c r="AL91" s="93"/>
    </row>
    <row r="92" spans="1:38" s="98" customFormat="1" x14ac:dyDescent="0.25">
      <c r="A92" s="99">
        <v>45357</v>
      </c>
      <c r="B92" s="50" t="s">
        <v>185</v>
      </c>
      <c r="C92" s="101">
        <v>-35000</v>
      </c>
      <c r="D92" s="157" t="s">
        <v>534</v>
      </c>
      <c r="E92" s="157"/>
      <c r="F92" s="157"/>
      <c r="G92" s="93"/>
      <c r="H92" s="93"/>
      <c r="I92" s="93"/>
      <c r="J92" s="93">
        <f>C92</f>
        <v>-35000</v>
      </c>
      <c r="K92" s="93"/>
      <c r="L92" s="93"/>
      <c r="M92" s="93"/>
      <c r="N92" s="93"/>
      <c r="O92" s="93"/>
      <c r="P92" s="93"/>
      <c r="Q92" s="93"/>
      <c r="R92" s="97"/>
      <c r="S92" s="97"/>
      <c r="T92" s="97"/>
      <c r="U92" s="97"/>
      <c r="V92" s="97"/>
      <c r="W92" s="97"/>
      <c r="X92" s="97"/>
      <c r="Y92" s="97"/>
      <c r="Z92" s="97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</row>
    <row r="93" spans="1:38" s="98" customFormat="1" x14ac:dyDescent="0.25">
      <c r="A93" s="99">
        <v>45357</v>
      </c>
      <c r="B93" s="50" t="s">
        <v>667</v>
      </c>
      <c r="C93" s="101">
        <v>-1290000</v>
      </c>
      <c r="D93" s="157" t="s">
        <v>535</v>
      </c>
      <c r="E93" s="157"/>
      <c r="F93" s="157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97"/>
      <c r="S93" s="97"/>
      <c r="T93" s="97"/>
      <c r="U93" s="97"/>
      <c r="V93" s="97"/>
      <c r="W93" s="97"/>
      <c r="X93" s="97"/>
      <c r="Y93" s="97"/>
      <c r="Z93" s="97"/>
      <c r="AA93" s="93"/>
      <c r="AB93" s="93"/>
      <c r="AC93" s="93"/>
      <c r="AD93" s="93"/>
      <c r="AE93" s="93"/>
      <c r="AF93" s="93"/>
      <c r="AG93" s="93">
        <f>C93</f>
        <v>-1290000</v>
      </c>
      <c r="AH93" s="93"/>
      <c r="AI93" s="93"/>
      <c r="AJ93" s="93"/>
      <c r="AK93" s="93"/>
      <c r="AL93" s="93"/>
    </row>
    <row r="94" spans="1:38" s="98" customFormat="1" x14ac:dyDescent="0.25">
      <c r="A94" s="99">
        <v>45357</v>
      </c>
      <c r="B94" s="50" t="s">
        <v>184</v>
      </c>
      <c r="C94" s="101">
        <v>-818000</v>
      </c>
      <c r="D94" s="157" t="s">
        <v>533</v>
      </c>
      <c r="E94" s="157"/>
      <c r="F94" s="157"/>
      <c r="G94" s="93"/>
      <c r="H94" s="93">
        <f>C94</f>
        <v>-818000</v>
      </c>
      <c r="I94" s="93"/>
      <c r="J94" s="93"/>
      <c r="K94" s="93"/>
      <c r="L94" s="93"/>
      <c r="M94" s="93"/>
      <c r="N94" s="93"/>
      <c r="O94" s="93"/>
      <c r="P94" s="93"/>
      <c r="Q94" s="93"/>
      <c r="R94" s="97"/>
      <c r="S94" s="97"/>
      <c r="T94" s="97"/>
      <c r="U94" s="97"/>
      <c r="V94" s="97"/>
      <c r="W94" s="97"/>
      <c r="X94" s="97"/>
      <c r="Y94" s="97"/>
      <c r="Z94" s="97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</row>
    <row r="95" spans="1:38" s="98" customFormat="1" x14ac:dyDescent="0.25">
      <c r="A95" s="99">
        <v>45357</v>
      </c>
      <c r="B95" s="50" t="s">
        <v>264</v>
      </c>
      <c r="C95" s="101">
        <v>-41000</v>
      </c>
      <c r="D95" s="157" t="s">
        <v>533</v>
      </c>
      <c r="E95" s="157"/>
      <c r="F95" s="157"/>
      <c r="G95" s="93"/>
      <c r="H95" s="93">
        <f>C95</f>
        <v>-41000</v>
      </c>
      <c r="I95" s="93"/>
      <c r="J95" s="93"/>
      <c r="K95" s="93"/>
      <c r="L95" s="93"/>
      <c r="M95" s="93"/>
      <c r="N95" s="93"/>
      <c r="O95" s="93"/>
      <c r="P95" s="93"/>
      <c r="Q95" s="93"/>
      <c r="R95" s="97"/>
      <c r="S95" s="97"/>
      <c r="T95" s="97"/>
      <c r="U95" s="97"/>
      <c r="V95" s="97"/>
      <c r="W95" s="97"/>
      <c r="X95" s="97"/>
      <c r="Y95" s="97"/>
      <c r="Z95" s="97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</row>
    <row r="96" spans="1:38" s="98" customFormat="1" x14ac:dyDescent="0.25">
      <c r="A96" s="99">
        <v>45357</v>
      </c>
      <c r="B96" s="50" t="s">
        <v>668</v>
      </c>
      <c r="C96" s="101">
        <v>-75000</v>
      </c>
      <c r="D96" s="157" t="s">
        <v>25</v>
      </c>
      <c r="E96" s="157"/>
      <c r="F96" s="157"/>
      <c r="G96" s="93">
        <f>C96</f>
        <v>-75000</v>
      </c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7"/>
      <c r="S96" s="97"/>
      <c r="T96" s="97"/>
      <c r="U96" s="97"/>
      <c r="V96" s="97"/>
      <c r="W96" s="97"/>
      <c r="X96" s="97"/>
      <c r="Y96" s="97"/>
      <c r="Z96" s="97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</row>
    <row r="97" spans="1:38" s="98" customFormat="1" x14ac:dyDescent="0.25">
      <c r="A97" s="99">
        <v>45357</v>
      </c>
      <c r="B97" s="50" t="s">
        <v>669</v>
      </c>
      <c r="C97" s="101">
        <v>-450000</v>
      </c>
      <c r="D97" s="157" t="s">
        <v>532</v>
      </c>
      <c r="E97" s="157"/>
      <c r="F97" s="157"/>
      <c r="G97" s="93"/>
      <c r="H97" s="93"/>
      <c r="I97" s="93"/>
      <c r="J97" s="93"/>
      <c r="K97" s="93">
        <f>C97</f>
        <v>-450000</v>
      </c>
      <c r="L97" s="93"/>
      <c r="M97" s="93"/>
      <c r="N97" s="93"/>
      <c r="O97" s="93"/>
      <c r="P97" s="93"/>
      <c r="Q97" s="93"/>
      <c r="R97" s="97"/>
      <c r="S97" s="97"/>
      <c r="T97" s="97"/>
      <c r="U97" s="97"/>
      <c r="V97" s="97"/>
      <c r="W97" s="97"/>
      <c r="X97" s="97"/>
      <c r="Y97" s="97"/>
      <c r="Z97" s="97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</row>
    <row r="98" spans="1:38" s="98" customFormat="1" x14ac:dyDescent="0.25">
      <c r="A98" s="99">
        <v>45358</v>
      </c>
      <c r="B98" s="316" t="s">
        <v>163</v>
      </c>
      <c r="C98" s="101">
        <v>-11000</v>
      </c>
      <c r="D98" s="157" t="s">
        <v>532</v>
      </c>
      <c r="E98" s="157"/>
      <c r="F98" s="157"/>
      <c r="G98" s="93"/>
      <c r="H98" s="93"/>
      <c r="I98" s="93"/>
      <c r="J98" s="93"/>
      <c r="K98" s="93">
        <f>C98</f>
        <v>-11000</v>
      </c>
      <c r="L98" s="93"/>
      <c r="M98" s="93"/>
      <c r="N98" s="93"/>
      <c r="O98" s="93"/>
      <c r="P98" s="93"/>
      <c r="Q98" s="93"/>
      <c r="R98" s="97"/>
      <c r="S98" s="97"/>
      <c r="T98" s="97"/>
      <c r="U98" s="97"/>
      <c r="V98" s="97"/>
      <c r="W98" s="97"/>
      <c r="X98" s="97"/>
      <c r="Y98" s="97"/>
      <c r="Z98" s="97"/>
      <c r="AA98" s="93"/>
      <c r="AB98" s="93"/>
      <c r="AC98" s="93"/>
      <c r="AD98" s="93"/>
      <c r="AE98" s="93"/>
      <c r="AF98" s="93"/>
      <c r="AG98" s="93"/>
      <c r="AH98" s="93"/>
      <c r="AI98" s="93"/>
      <c r="AJ98" s="93"/>
      <c r="AK98" s="93"/>
      <c r="AL98" s="93"/>
    </row>
    <row r="99" spans="1:38" s="98" customFormat="1" x14ac:dyDescent="0.25">
      <c r="A99" s="99">
        <v>45358</v>
      </c>
      <c r="B99" s="316" t="s">
        <v>264</v>
      </c>
      <c r="C99" s="101">
        <v>-118000</v>
      </c>
      <c r="D99" s="157" t="s">
        <v>533</v>
      </c>
      <c r="E99" s="157"/>
      <c r="F99" s="157"/>
      <c r="G99" s="93"/>
      <c r="H99" s="93">
        <f>C99</f>
        <v>-118000</v>
      </c>
      <c r="I99" s="93"/>
      <c r="J99" s="93"/>
      <c r="K99" s="93"/>
      <c r="L99" s="93"/>
      <c r="M99" s="93"/>
      <c r="N99" s="93"/>
      <c r="O99" s="93"/>
      <c r="P99" s="93"/>
      <c r="Q99" s="93"/>
      <c r="R99" s="97"/>
      <c r="S99" s="97"/>
      <c r="T99" s="97"/>
      <c r="U99" s="97"/>
      <c r="V99" s="97"/>
      <c r="W99" s="97"/>
      <c r="X99" s="97"/>
      <c r="Y99" s="97"/>
      <c r="Z99" s="97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3"/>
      <c r="AL99" s="93"/>
    </row>
    <row r="100" spans="1:38" s="98" customFormat="1" x14ac:dyDescent="0.25">
      <c r="A100" s="99">
        <v>45358</v>
      </c>
      <c r="B100" s="316" t="s">
        <v>672</v>
      </c>
      <c r="C100" s="101">
        <v>-46000</v>
      </c>
      <c r="D100" s="157" t="s">
        <v>532</v>
      </c>
      <c r="E100" s="157"/>
      <c r="F100" s="157"/>
      <c r="G100" s="93"/>
      <c r="H100" s="93"/>
      <c r="I100" s="93"/>
      <c r="J100" s="93"/>
      <c r="K100" s="93">
        <f>C100</f>
        <v>-46000</v>
      </c>
      <c r="L100" s="93"/>
      <c r="M100" s="93"/>
      <c r="N100" s="93"/>
      <c r="O100" s="93"/>
      <c r="P100" s="93"/>
      <c r="Q100" s="93"/>
      <c r="R100" s="97"/>
      <c r="S100" s="97"/>
      <c r="T100" s="97"/>
      <c r="U100" s="97"/>
      <c r="V100" s="97"/>
      <c r="W100" s="97"/>
      <c r="X100" s="97"/>
      <c r="Y100" s="97"/>
      <c r="Z100" s="97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93"/>
    </row>
    <row r="101" spans="1:38" s="98" customFormat="1" x14ac:dyDescent="0.25">
      <c r="A101" s="99">
        <v>45358</v>
      </c>
      <c r="B101" s="316" t="s">
        <v>185</v>
      </c>
      <c r="C101" s="101">
        <v>-535000</v>
      </c>
      <c r="D101" s="157" t="s">
        <v>534</v>
      </c>
      <c r="E101" s="157"/>
      <c r="F101" s="157"/>
      <c r="G101" s="93"/>
      <c r="H101" s="93"/>
      <c r="I101" s="93"/>
      <c r="J101" s="93">
        <f>C101</f>
        <v>-535000</v>
      </c>
      <c r="K101" s="93"/>
      <c r="L101" s="93"/>
      <c r="M101" s="93"/>
      <c r="N101" s="93"/>
      <c r="O101" s="93"/>
      <c r="P101" s="93"/>
      <c r="Q101" s="93"/>
      <c r="R101" s="97"/>
      <c r="S101" s="97"/>
      <c r="T101" s="97"/>
      <c r="U101" s="97"/>
      <c r="V101" s="97"/>
      <c r="W101" s="97"/>
      <c r="X101" s="97"/>
      <c r="Y101" s="97"/>
      <c r="Z101" s="97"/>
      <c r="AA101" s="93"/>
      <c r="AB101" s="93"/>
      <c r="AC101" s="93"/>
      <c r="AD101" s="93"/>
      <c r="AE101" s="93"/>
      <c r="AF101" s="93"/>
      <c r="AG101" s="93"/>
      <c r="AH101" s="93"/>
      <c r="AI101" s="93"/>
      <c r="AJ101" s="93"/>
      <c r="AK101" s="93"/>
      <c r="AL101" s="93"/>
    </row>
    <row r="102" spans="1:38" s="98" customFormat="1" x14ac:dyDescent="0.25">
      <c r="A102" s="99">
        <v>45358</v>
      </c>
      <c r="B102" s="316" t="s">
        <v>264</v>
      </c>
      <c r="C102" s="101">
        <v>-14000</v>
      </c>
      <c r="D102" s="157" t="s">
        <v>533</v>
      </c>
      <c r="E102" s="157"/>
      <c r="F102" s="157"/>
      <c r="G102" s="93"/>
      <c r="H102" s="93">
        <f>C102</f>
        <v>-14000</v>
      </c>
      <c r="I102" s="93"/>
      <c r="J102" s="93"/>
      <c r="K102" s="93"/>
      <c r="L102" s="93"/>
      <c r="M102" s="93"/>
      <c r="N102" s="93"/>
      <c r="O102" s="93"/>
      <c r="P102" s="93"/>
      <c r="Q102" s="93"/>
      <c r="R102" s="97"/>
      <c r="S102" s="97"/>
      <c r="T102" s="97"/>
      <c r="U102" s="97"/>
      <c r="V102" s="97"/>
      <c r="W102" s="97"/>
      <c r="X102" s="97"/>
      <c r="Y102" s="97"/>
      <c r="Z102" s="97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</row>
    <row r="103" spans="1:38" s="98" customFormat="1" x14ac:dyDescent="0.25">
      <c r="A103" s="99">
        <v>45358</v>
      </c>
      <c r="B103" s="316" t="s">
        <v>673</v>
      </c>
      <c r="C103" s="101">
        <v>-100000</v>
      </c>
      <c r="D103" s="157" t="s">
        <v>930</v>
      </c>
      <c r="E103" s="157"/>
      <c r="F103" s="157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7"/>
      <c r="S103" s="97"/>
      <c r="T103" s="97"/>
      <c r="U103" s="97"/>
      <c r="V103" s="97"/>
      <c r="W103" s="97"/>
      <c r="X103" s="97"/>
      <c r="Y103" s="97"/>
      <c r="Z103" s="97"/>
      <c r="AA103" s="93"/>
      <c r="AB103" s="93"/>
      <c r="AC103" s="93"/>
      <c r="AD103" s="93"/>
      <c r="AE103" s="93"/>
      <c r="AF103" s="93"/>
      <c r="AG103" s="93"/>
      <c r="AH103" s="93"/>
      <c r="AI103" s="93">
        <f>C103</f>
        <v>-100000</v>
      </c>
      <c r="AJ103" s="93"/>
      <c r="AK103" s="93"/>
      <c r="AL103" s="93"/>
    </row>
    <row r="104" spans="1:38" s="98" customFormat="1" x14ac:dyDescent="0.25">
      <c r="A104" s="99">
        <v>45358</v>
      </c>
      <c r="B104" s="316" t="s">
        <v>674</v>
      </c>
      <c r="C104" s="101">
        <v>-1238258</v>
      </c>
      <c r="D104" s="157" t="s">
        <v>278</v>
      </c>
      <c r="E104" s="157"/>
      <c r="F104" s="157"/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  <c r="R104" s="97"/>
      <c r="S104" s="97"/>
      <c r="T104" s="97"/>
      <c r="U104" s="97"/>
      <c r="V104" s="97"/>
      <c r="W104" s="97"/>
      <c r="X104" s="97"/>
      <c r="Y104" s="97"/>
      <c r="Z104" s="97"/>
      <c r="AA104" s="93"/>
      <c r="AB104" s="93"/>
      <c r="AC104" s="93"/>
      <c r="AD104" s="93"/>
      <c r="AE104" s="93"/>
      <c r="AF104" s="93">
        <f>C104</f>
        <v>-1238258</v>
      </c>
      <c r="AG104" s="93"/>
      <c r="AH104" s="93"/>
      <c r="AI104" s="93"/>
      <c r="AJ104" s="93"/>
      <c r="AK104" s="93"/>
      <c r="AL104" s="93"/>
    </row>
    <row r="105" spans="1:38" s="98" customFormat="1" x14ac:dyDescent="0.25">
      <c r="A105" s="99">
        <v>45358</v>
      </c>
      <c r="B105" s="316" t="s">
        <v>654</v>
      </c>
      <c r="C105" s="101">
        <v>-483000</v>
      </c>
      <c r="D105" s="157" t="s">
        <v>142</v>
      </c>
      <c r="E105" s="157"/>
      <c r="F105" s="157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7"/>
      <c r="S105" s="97"/>
      <c r="T105" s="97"/>
      <c r="U105" s="97"/>
      <c r="V105" s="97"/>
      <c r="W105" s="97"/>
      <c r="X105" s="97"/>
      <c r="Y105" s="97"/>
      <c r="Z105" s="97"/>
      <c r="AA105" s="93"/>
      <c r="AB105" s="93"/>
      <c r="AC105" s="93"/>
      <c r="AD105" s="93"/>
      <c r="AE105" s="93"/>
      <c r="AF105" s="93"/>
      <c r="AG105" s="93"/>
      <c r="AH105" s="93"/>
      <c r="AI105" s="93"/>
      <c r="AJ105" s="93"/>
      <c r="AK105" s="93">
        <f>C105</f>
        <v>-483000</v>
      </c>
      <c r="AL105" s="93"/>
    </row>
    <row r="106" spans="1:38" s="98" customFormat="1" x14ac:dyDescent="0.25">
      <c r="A106" s="99">
        <v>45358</v>
      </c>
      <c r="B106" s="316" t="s">
        <v>267</v>
      </c>
      <c r="C106" s="101">
        <v>-100000</v>
      </c>
      <c r="D106" s="157" t="s">
        <v>535</v>
      </c>
      <c r="E106" s="157"/>
      <c r="F106" s="157"/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  <c r="R106" s="97"/>
      <c r="S106" s="97"/>
      <c r="T106" s="97"/>
      <c r="U106" s="97"/>
      <c r="V106" s="97"/>
      <c r="W106" s="97"/>
      <c r="X106" s="97"/>
      <c r="Y106" s="97"/>
      <c r="Z106" s="97"/>
      <c r="AA106" s="93"/>
      <c r="AB106" s="93"/>
      <c r="AC106" s="93"/>
      <c r="AD106" s="93"/>
      <c r="AE106" s="93"/>
      <c r="AF106" s="93"/>
      <c r="AG106" s="93">
        <f>C106</f>
        <v>-100000</v>
      </c>
      <c r="AH106" s="93"/>
      <c r="AI106" s="93"/>
      <c r="AJ106" s="93"/>
      <c r="AK106" s="93"/>
      <c r="AL106" s="93"/>
    </row>
    <row r="107" spans="1:38" s="98" customFormat="1" x14ac:dyDescent="0.25">
      <c r="A107" s="99">
        <v>45358</v>
      </c>
      <c r="B107" s="316" t="s">
        <v>931</v>
      </c>
      <c r="C107" s="101">
        <v>-12000</v>
      </c>
      <c r="D107" s="157" t="s">
        <v>927</v>
      </c>
      <c r="E107" s="157"/>
      <c r="F107" s="157"/>
      <c r="G107" s="93"/>
      <c r="H107" s="93"/>
      <c r="I107" s="93"/>
      <c r="J107" s="93"/>
      <c r="K107" s="93"/>
      <c r="L107" s="93">
        <f>C107</f>
        <v>-12000</v>
      </c>
      <c r="M107" s="93"/>
      <c r="N107" s="93"/>
      <c r="O107" s="93"/>
      <c r="P107" s="93"/>
      <c r="Q107" s="93"/>
      <c r="R107" s="97"/>
      <c r="S107" s="97"/>
      <c r="T107" s="97"/>
      <c r="U107" s="97"/>
      <c r="V107" s="97"/>
      <c r="W107" s="97"/>
      <c r="X107" s="97"/>
      <c r="Y107" s="97"/>
      <c r="Z107" s="97"/>
      <c r="AA107" s="93"/>
      <c r="AB107" s="93"/>
      <c r="AC107" s="93"/>
      <c r="AD107" s="93"/>
      <c r="AE107" s="93"/>
      <c r="AF107" s="93"/>
      <c r="AG107" s="93"/>
      <c r="AH107" s="93"/>
      <c r="AI107" s="93"/>
      <c r="AJ107" s="93"/>
      <c r="AK107" s="93"/>
      <c r="AL107" s="93"/>
    </row>
    <row r="108" spans="1:38" s="98" customFormat="1" x14ac:dyDescent="0.25">
      <c r="A108" s="99">
        <v>45358</v>
      </c>
      <c r="B108" s="316" t="s">
        <v>676</v>
      </c>
      <c r="C108" s="101">
        <v>-1960000</v>
      </c>
      <c r="D108" s="157" t="s">
        <v>535</v>
      </c>
      <c r="E108" s="157"/>
      <c r="F108" s="157"/>
      <c r="G108" s="93"/>
      <c r="H108" s="93"/>
      <c r="I108" s="93"/>
      <c r="J108" s="93"/>
      <c r="K108" s="93"/>
      <c r="L108" s="93"/>
      <c r="M108" s="93"/>
      <c r="N108" s="93"/>
      <c r="O108" s="93"/>
      <c r="P108" s="93"/>
      <c r="Q108" s="93"/>
      <c r="R108" s="97"/>
      <c r="S108" s="97"/>
      <c r="T108" s="97"/>
      <c r="U108" s="97"/>
      <c r="V108" s="97"/>
      <c r="W108" s="97"/>
      <c r="X108" s="97"/>
      <c r="Y108" s="97"/>
      <c r="Z108" s="97"/>
      <c r="AA108" s="93"/>
      <c r="AB108" s="93"/>
      <c r="AC108" s="93"/>
      <c r="AD108" s="93"/>
      <c r="AE108" s="93"/>
      <c r="AF108" s="93"/>
      <c r="AG108" s="93">
        <f>C108</f>
        <v>-1960000</v>
      </c>
      <c r="AH108" s="93"/>
      <c r="AI108" s="93"/>
      <c r="AJ108" s="93"/>
      <c r="AK108" s="93"/>
      <c r="AL108" s="93"/>
    </row>
    <row r="109" spans="1:38" s="98" customFormat="1" x14ac:dyDescent="0.25">
      <c r="A109" s="99">
        <v>45358</v>
      </c>
      <c r="B109" s="316" t="s">
        <v>677</v>
      </c>
      <c r="C109" s="101">
        <v>-75000</v>
      </c>
      <c r="D109" s="157" t="s">
        <v>25</v>
      </c>
      <c r="E109" s="157"/>
      <c r="F109" s="157"/>
      <c r="G109" s="93">
        <f>C109</f>
        <v>-75000</v>
      </c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97"/>
      <c r="S109" s="97"/>
      <c r="T109" s="97"/>
      <c r="U109" s="97"/>
      <c r="V109" s="97"/>
      <c r="W109" s="97"/>
      <c r="X109" s="97"/>
      <c r="Y109" s="97"/>
      <c r="Z109" s="97"/>
      <c r="AA109" s="93"/>
      <c r="AB109" s="93"/>
      <c r="AC109" s="93"/>
      <c r="AD109" s="93"/>
      <c r="AE109" s="93"/>
      <c r="AF109" s="93"/>
      <c r="AG109" s="93"/>
      <c r="AH109" s="93"/>
      <c r="AI109" s="93"/>
      <c r="AJ109" s="93"/>
      <c r="AK109" s="93"/>
      <c r="AL109" s="93"/>
    </row>
    <row r="110" spans="1:38" s="98" customFormat="1" x14ac:dyDescent="0.25">
      <c r="A110" s="99">
        <v>45358</v>
      </c>
      <c r="B110" s="316" t="s">
        <v>528</v>
      </c>
      <c r="C110" s="101">
        <v>-555000</v>
      </c>
      <c r="D110" s="157" t="s">
        <v>534</v>
      </c>
      <c r="E110" s="157"/>
      <c r="F110" s="157"/>
      <c r="G110" s="93"/>
      <c r="H110" s="93"/>
      <c r="I110" s="93"/>
      <c r="J110" s="93">
        <f>C110</f>
        <v>-555000</v>
      </c>
      <c r="K110" s="93"/>
      <c r="L110" s="93"/>
      <c r="M110" s="93"/>
      <c r="N110" s="93"/>
      <c r="O110" s="93"/>
      <c r="P110" s="93"/>
      <c r="Q110" s="93"/>
      <c r="R110" s="97"/>
      <c r="S110" s="97"/>
      <c r="T110" s="97"/>
      <c r="U110" s="97"/>
      <c r="V110" s="97"/>
      <c r="W110" s="97"/>
      <c r="X110" s="97"/>
      <c r="Y110" s="97"/>
      <c r="Z110" s="97"/>
      <c r="AA110" s="93"/>
      <c r="AB110" s="93"/>
      <c r="AC110" s="93"/>
      <c r="AD110" s="93"/>
      <c r="AE110" s="93"/>
      <c r="AF110" s="93"/>
      <c r="AG110" s="93"/>
      <c r="AH110" s="93"/>
      <c r="AI110" s="93"/>
      <c r="AJ110" s="93"/>
      <c r="AK110" s="93"/>
      <c r="AL110" s="93"/>
    </row>
    <row r="111" spans="1:38" s="98" customFormat="1" x14ac:dyDescent="0.25">
      <c r="A111" s="99">
        <v>45358</v>
      </c>
      <c r="B111" s="316" t="s">
        <v>264</v>
      </c>
      <c r="C111" s="101">
        <v>-798000</v>
      </c>
      <c r="D111" s="157" t="s">
        <v>533</v>
      </c>
      <c r="E111" s="157"/>
      <c r="F111" s="157"/>
      <c r="G111" s="93"/>
      <c r="H111" s="93">
        <f>C111</f>
        <v>-798000</v>
      </c>
      <c r="I111" s="93"/>
      <c r="J111" s="93"/>
      <c r="K111" s="93"/>
      <c r="L111" s="93"/>
      <c r="M111" s="93"/>
      <c r="N111" s="93"/>
      <c r="O111" s="93"/>
      <c r="P111" s="93"/>
      <c r="Q111" s="93"/>
      <c r="R111" s="97"/>
      <c r="S111" s="97"/>
      <c r="T111" s="97"/>
      <c r="U111" s="97"/>
      <c r="V111" s="97"/>
      <c r="W111" s="97"/>
      <c r="X111" s="97"/>
      <c r="Y111" s="97"/>
      <c r="Z111" s="97"/>
      <c r="AA111" s="93"/>
      <c r="AB111" s="93"/>
      <c r="AC111" s="93"/>
      <c r="AD111" s="93"/>
      <c r="AE111" s="93"/>
      <c r="AF111" s="93"/>
      <c r="AG111" s="93"/>
      <c r="AH111" s="93"/>
      <c r="AI111" s="93"/>
      <c r="AJ111" s="93"/>
      <c r="AK111" s="93"/>
      <c r="AL111" s="93"/>
    </row>
    <row r="112" spans="1:38" s="98" customFormat="1" x14ac:dyDescent="0.25">
      <c r="A112" s="99">
        <v>45359</v>
      </c>
      <c r="B112" s="50" t="s">
        <v>163</v>
      </c>
      <c r="C112" s="101">
        <v>-11000</v>
      </c>
      <c r="D112" s="157" t="s">
        <v>532</v>
      </c>
      <c r="E112" s="157"/>
      <c r="F112" s="157"/>
      <c r="G112" s="93"/>
      <c r="H112" s="93"/>
      <c r="I112" s="93"/>
      <c r="J112" s="93"/>
      <c r="K112" s="93">
        <f>C112</f>
        <v>-11000</v>
      </c>
      <c r="L112" s="93"/>
      <c r="M112" s="93"/>
      <c r="N112" s="93"/>
      <c r="O112" s="93"/>
      <c r="P112" s="93"/>
      <c r="Q112" s="93"/>
      <c r="R112" s="97"/>
      <c r="S112" s="97"/>
      <c r="T112" s="97"/>
      <c r="U112" s="97"/>
      <c r="V112" s="97"/>
      <c r="W112" s="97"/>
      <c r="X112" s="97"/>
      <c r="Y112" s="97"/>
      <c r="Z112" s="97"/>
      <c r="AA112" s="93"/>
      <c r="AB112" s="93"/>
      <c r="AC112" s="93"/>
      <c r="AD112" s="93"/>
      <c r="AE112" s="93"/>
      <c r="AF112" s="93"/>
      <c r="AG112" s="93"/>
      <c r="AH112" s="93"/>
      <c r="AI112" s="93"/>
      <c r="AJ112" s="93"/>
      <c r="AK112" s="93"/>
      <c r="AL112" s="93"/>
    </row>
    <row r="113" spans="1:38" s="98" customFormat="1" x14ac:dyDescent="0.25">
      <c r="A113" s="99">
        <v>45359</v>
      </c>
      <c r="B113" s="50" t="s">
        <v>271</v>
      </c>
      <c r="C113" s="101">
        <v>-1045000</v>
      </c>
      <c r="D113" s="157" t="s">
        <v>533</v>
      </c>
      <c r="E113" s="157"/>
      <c r="F113" s="157"/>
      <c r="G113" s="93"/>
      <c r="H113" s="93">
        <f>C113</f>
        <v>-1045000</v>
      </c>
      <c r="I113" s="93"/>
      <c r="J113" s="93"/>
      <c r="K113" s="93"/>
      <c r="L113" s="93"/>
      <c r="M113" s="93"/>
      <c r="N113" s="93"/>
      <c r="O113" s="93"/>
      <c r="P113" s="93"/>
      <c r="Q113" s="93"/>
      <c r="R113" s="97"/>
      <c r="S113" s="97"/>
      <c r="T113" s="97"/>
      <c r="U113" s="97"/>
      <c r="V113" s="97"/>
      <c r="W113" s="97"/>
      <c r="X113" s="97"/>
      <c r="Y113" s="97"/>
      <c r="Z113" s="97"/>
      <c r="AA113" s="93"/>
      <c r="AB113" s="93"/>
      <c r="AC113" s="93"/>
      <c r="AD113" s="93"/>
      <c r="AE113" s="93"/>
      <c r="AF113" s="93"/>
      <c r="AG113" s="93"/>
      <c r="AH113" s="93"/>
      <c r="AI113" s="93"/>
      <c r="AJ113" s="93"/>
      <c r="AK113" s="93"/>
      <c r="AL113" s="93"/>
    </row>
    <row r="114" spans="1:38" s="98" customFormat="1" x14ac:dyDescent="0.25">
      <c r="A114" s="99">
        <v>45359</v>
      </c>
      <c r="B114" s="50" t="s">
        <v>680</v>
      </c>
      <c r="C114" s="101">
        <v>-693000</v>
      </c>
      <c r="D114" s="157" t="s">
        <v>533</v>
      </c>
      <c r="E114" s="157"/>
      <c r="F114" s="157"/>
      <c r="G114" s="93"/>
      <c r="H114" s="93">
        <f>C114</f>
        <v>-693000</v>
      </c>
      <c r="I114" s="93"/>
      <c r="J114" s="93"/>
      <c r="K114" s="93"/>
      <c r="L114" s="93"/>
      <c r="M114" s="93"/>
      <c r="N114" s="93"/>
      <c r="O114" s="93"/>
      <c r="P114" s="93"/>
      <c r="Q114" s="93"/>
      <c r="R114" s="97"/>
      <c r="S114" s="97"/>
      <c r="T114" s="97"/>
      <c r="U114" s="97"/>
      <c r="V114" s="97"/>
      <c r="W114" s="97"/>
      <c r="X114" s="97"/>
      <c r="Y114" s="97"/>
      <c r="Z114" s="97"/>
      <c r="AA114" s="93"/>
      <c r="AB114" s="93"/>
      <c r="AC114" s="93"/>
      <c r="AD114" s="93"/>
      <c r="AE114" s="93"/>
      <c r="AF114" s="93"/>
      <c r="AG114" s="93"/>
      <c r="AH114" s="93"/>
      <c r="AI114" s="93"/>
      <c r="AJ114" s="93"/>
      <c r="AK114" s="93"/>
      <c r="AL114" s="93"/>
    </row>
    <row r="115" spans="1:38" s="98" customFormat="1" x14ac:dyDescent="0.25">
      <c r="A115" s="99">
        <v>45359</v>
      </c>
      <c r="B115" s="50" t="s">
        <v>185</v>
      </c>
      <c r="C115" s="101">
        <v>-593000</v>
      </c>
      <c r="D115" s="157" t="s">
        <v>534</v>
      </c>
      <c r="E115" s="157"/>
      <c r="F115" s="157"/>
      <c r="G115" s="93"/>
      <c r="H115" s="93"/>
      <c r="I115" s="93"/>
      <c r="J115" s="93">
        <f>C115</f>
        <v>-593000</v>
      </c>
      <c r="K115" s="93"/>
      <c r="L115" s="93"/>
      <c r="M115" s="93"/>
      <c r="N115" s="93"/>
      <c r="O115" s="93"/>
      <c r="P115" s="93"/>
      <c r="Q115" s="93"/>
      <c r="R115" s="97"/>
      <c r="S115" s="97"/>
      <c r="T115" s="97"/>
      <c r="U115" s="97"/>
      <c r="V115" s="97"/>
      <c r="W115" s="97"/>
      <c r="X115" s="97"/>
      <c r="Y115" s="97"/>
      <c r="Z115" s="97"/>
      <c r="AA115" s="93"/>
      <c r="AB115" s="93"/>
      <c r="AC115" s="93"/>
      <c r="AD115" s="93"/>
      <c r="AE115" s="93"/>
      <c r="AF115" s="93"/>
      <c r="AG115" s="93"/>
      <c r="AH115" s="93"/>
      <c r="AI115" s="93"/>
      <c r="AJ115" s="93"/>
      <c r="AK115" s="93"/>
      <c r="AL115" s="93"/>
    </row>
    <row r="116" spans="1:38" s="98" customFormat="1" x14ac:dyDescent="0.25">
      <c r="A116" s="99">
        <v>45359</v>
      </c>
      <c r="B116" s="50" t="s">
        <v>684</v>
      </c>
      <c r="C116" s="101">
        <v>-209000</v>
      </c>
      <c r="D116" s="157" t="s">
        <v>533</v>
      </c>
      <c r="E116" s="157"/>
      <c r="F116" s="157"/>
      <c r="G116" s="93"/>
      <c r="H116" s="93">
        <f>C116</f>
        <v>-209000</v>
      </c>
      <c r="I116" s="93"/>
      <c r="J116" s="93"/>
      <c r="K116" s="93"/>
      <c r="L116" s="93"/>
      <c r="M116" s="93"/>
      <c r="N116" s="93"/>
      <c r="O116" s="93"/>
      <c r="P116" s="93"/>
      <c r="Q116" s="93"/>
      <c r="R116" s="97"/>
      <c r="S116" s="97"/>
      <c r="T116" s="97"/>
      <c r="U116" s="97"/>
      <c r="V116" s="97"/>
      <c r="W116" s="97"/>
      <c r="X116" s="97"/>
      <c r="Y116" s="97"/>
      <c r="Z116" s="97"/>
      <c r="AA116" s="93"/>
      <c r="AB116" s="93"/>
      <c r="AC116" s="93"/>
      <c r="AD116" s="93"/>
      <c r="AE116" s="93"/>
      <c r="AF116" s="93"/>
      <c r="AG116" s="93"/>
      <c r="AH116" s="93"/>
      <c r="AI116" s="93"/>
      <c r="AJ116" s="93"/>
      <c r="AK116" s="93"/>
      <c r="AL116" s="93"/>
    </row>
    <row r="117" spans="1:38" s="98" customFormat="1" x14ac:dyDescent="0.25">
      <c r="A117" s="99">
        <v>45359</v>
      </c>
      <c r="B117" s="50" t="s">
        <v>685</v>
      </c>
      <c r="C117" s="101">
        <v>-75000</v>
      </c>
      <c r="D117" s="157" t="s">
        <v>25</v>
      </c>
      <c r="E117" s="157"/>
      <c r="F117" s="157"/>
      <c r="G117" s="93">
        <f>C117</f>
        <v>-75000</v>
      </c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7"/>
      <c r="S117" s="97"/>
      <c r="T117" s="97"/>
      <c r="U117" s="97"/>
      <c r="V117" s="97"/>
      <c r="W117" s="97"/>
      <c r="X117" s="97"/>
      <c r="Y117" s="97"/>
      <c r="Z117" s="97"/>
      <c r="AA117" s="93"/>
      <c r="AB117" s="93"/>
      <c r="AC117" s="93"/>
      <c r="AD117" s="93"/>
      <c r="AE117" s="93"/>
      <c r="AF117" s="93"/>
      <c r="AG117" s="93"/>
      <c r="AH117" s="93"/>
      <c r="AI117" s="93"/>
      <c r="AJ117" s="93"/>
      <c r="AK117" s="93"/>
      <c r="AL117" s="93"/>
    </row>
    <row r="118" spans="1:38" s="98" customFormat="1" x14ac:dyDescent="0.25">
      <c r="A118" s="99">
        <v>45359</v>
      </c>
      <c r="B118" s="50" t="s">
        <v>567</v>
      </c>
      <c r="C118" s="101">
        <v>-375000</v>
      </c>
      <c r="D118" s="157" t="s">
        <v>534</v>
      </c>
      <c r="E118" s="157"/>
      <c r="F118" s="157"/>
      <c r="G118" s="93"/>
      <c r="H118" s="93"/>
      <c r="I118" s="93"/>
      <c r="J118" s="93">
        <f>C118</f>
        <v>-375000</v>
      </c>
      <c r="K118" s="93"/>
      <c r="L118" s="93"/>
      <c r="M118" s="93"/>
      <c r="N118" s="93"/>
      <c r="O118" s="93"/>
      <c r="P118" s="93"/>
      <c r="Q118" s="93"/>
      <c r="R118" s="97"/>
      <c r="S118" s="97"/>
      <c r="T118" s="97"/>
      <c r="U118" s="97"/>
      <c r="V118" s="97"/>
      <c r="W118" s="97"/>
      <c r="X118" s="97"/>
      <c r="Y118" s="97"/>
      <c r="Z118" s="97"/>
      <c r="AA118" s="93"/>
      <c r="AB118" s="93"/>
      <c r="AC118" s="93"/>
      <c r="AD118" s="93"/>
      <c r="AE118" s="93"/>
      <c r="AF118" s="93"/>
      <c r="AG118" s="93"/>
      <c r="AH118" s="93"/>
      <c r="AI118" s="93"/>
      <c r="AJ118" s="93"/>
      <c r="AK118" s="93"/>
      <c r="AL118" s="93"/>
    </row>
    <row r="119" spans="1:38" s="98" customFormat="1" x14ac:dyDescent="0.25">
      <c r="A119" s="99">
        <v>45359</v>
      </c>
      <c r="B119" s="50" t="s">
        <v>262</v>
      </c>
      <c r="C119" s="101">
        <v>-447000</v>
      </c>
      <c r="D119" s="157" t="s">
        <v>533</v>
      </c>
      <c r="E119" s="157"/>
      <c r="F119" s="157"/>
      <c r="G119" s="93"/>
      <c r="H119" s="93">
        <f>C119</f>
        <v>-447000</v>
      </c>
      <c r="I119" s="93"/>
      <c r="J119" s="93"/>
      <c r="K119" s="93"/>
      <c r="L119" s="93"/>
      <c r="M119" s="93"/>
      <c r="N119" s="93"/>
      <c r="O119" s="93"/>
      <c r="P119" s="93"/>
      <c r="Q119" s="93"/>
      <c r="R119" s="97"/>
      <c r="S119" s="97"/>
      <c r="T119" s="97"/>
      <c r="U119" s="97"/>
      <c r="V119" s="97"/>
      <c r="W119" s="97"/>
      <c r="X119" s="97"/>
      <c r="Y119" s="97"/>
      <c r="Z119" s="97"/>
      <c r="AA119" s="93"/>
      <c r="AB119" s="93"/>
      <c r="AC119" s="93"/>
      <c r="AD119" s="93"/>
      <c r="AE119" s="93"/>
      <c r="AF119" s="93"/>
      <c r="AG119" s="93"/>
      <c r="AH119" s="93"/>
      <c r="AI119" s="93"/>
      <c r="AJ119" s="93"/>
      <c r="AK119" s="93"/>
      <c r="AL119" s="93"/>
    </row>
    <row r="120" spans="1:38" s="98" customFormat="1" x14ac:dyDescent="0.25">
      <c r="A120" s="99">
        <v>45359</v>
      </c>
      <c r="B120" s="50" t="s">
        <v>686</v>
      </c>
      <c r="C120" s="101">
        <v>-55000</v>
      </c>
      <c r="D120" s="157" t="s">
        <v>927</v>
      </c>
      <c r="E120" s="157"/>
      <c r="F120" s="157"/>
      <c r="G120" s="93"/>
      <c r="H120" s="93"/>
      <c r="I120" s="93"/>
      <c r="J120" s="93"/>
      <c r="K120" s="93"/>
      <c r="L120" s="93">
        <f>C120</f>
        <v>-55000</v>
      </c>
      <c r="M120" s="93"/>
      <c r="N120" s="93"/>
      <c r="O120" s="93"/>
      <c r="P120" s="93"/>
      <c r="Q120" s="93"/>
      <c r="R120" s="97"/>
      <c r="S120" s="97"/>
      <c r="T120" s="97"/>
      <c r="U120" s="97"/>
      <c r="V120" s="97"/>
      <c r="W120" s="97"/>
      <c r="X120" s="97"/>
      <c r="Y120" s="97"/>
      <c r="Z120" s="97"/>
      <c r="AA120" s="93"/>
      <c r="AB120" s="93"/>
      <c r="AC120" s="93"/>
      <c r="AD120" s="93"/>
      <c r="AE120" s="93"/>
      <c r="AF120" s="93"/>
      <c r="AG120" s="93"/>
      <c r="AH120" s="93"/>
      <c r="AI120" s="93"/>
      <c r="AJ120" s="93"/>
      <c r="AK120" s="93"/>
      <c r="AL120" s="93"/>
    </row>
    <row r="121" spans="1:38" s="98" customFormat="1" x14ac:dyDescent="0.25">
      <c r="A121" s="99">
        <v>45359</v>
      </c>
      <c r="B121" s="50" t="s">
        <v>688</v>
      </c>
      <c r="C121" s="101">
        <v>-30000</v>
      </c>
      <c r="D121" s="157" t="s">
        <v>533</v>
      </c>
      <c r="E121" s="157"/>
      <c r="F121" s="157"/>
      <c r="G121" s="93"/>
      <c r="H121" s="93">
        <f>C121</f>
        <v>-30000</v>
      </c>
      <c r="I121" s="93"/>
      <c r="J121" s="93"/>
      <c r="K121" s="93"/>
      <c r="L121" s="93"/>
      <c r="M121" s="93"/>
      <c r="N121" s="93"/>
      <c r="O121" s="93"/>
      <c r="P121" s="93"/>
      <c r="Q121" s="93"/>
      <c r="R121" s="97"/>
      <c r="S121" s="97"/>
      <c r="T121" s="97"/>
      <c r="U121" s="97"/>
      <c r="V121" s="97"/>
      <c r="W121" s="97"/>
      <c r="X121" s="97"/>
      <c r="Y121" s="97"/>
      <c r="Z121" s="97"/>
      <c r="AA121" s="93"/>
      <c r="AB121" s="93"/>
      <c r="AC121" s="93"/>
      <c r="AD121" s="93"/>
      <c r="AE121" s="93"/>
      <c r="AF121" s="93"/>
      <c r="AG121" s="93"/>
      <c r="AH121" s="93"/>
      <c r="AI121" s="93"/>
      <c r="AJ121" s="93"/>
      <c r="AK121" s="93"/>
      <c r="AL121" s="93"/>
    </row>
    <row r="122" spans="1:38" s="98" customFormat="1" x14ac:dyDescent="0.25">
      <c r="A122" s="99">
        <v>45360</v>
      </c>
      <c r="B122" s="50" t="s">
        <v>163</v>
      </c>
      <c r="C122" s="101">
        <v>-11000</v>
      </c>
      <c r="D122" s="157" t="s">
        <v>532</v>
      </c>
      <c r="E122" s="157"/>
      <c r="F122" s="157"/>
      <c r="G122" s="93"/>
      <c r="H122" s="93"/>
      <c r="I122" s="93"/>
      <c r="J122" s="93"/>
      <c r="K122" s="93">
        <f>C122</f>
        <v>-11000</v>
      </c>
      <c r="L122" s="93"/>
      <c r="M122" s="93"/>
      <c r="N122" s="93"/>
      <c r="O122" s="93"/>
      <c r="P122" s="93"/>
      <c r="Q122" s="93"/>
      <c r="R122" s="97"/>
      <c r="S122" s="97"/>
      <c r="T122" s="97"/>
      <c r="U122" s="97"/>
      <c r="V122" s="97"/>
      <c r="W122" s="97"/>
      <c r="X122" s="97"/>
      <c r="Y122" s="97"/>
      <c r="Z122" s="97"/>
      <c r="AA122" s="93"/>
      <c r="AB122" s="93"/>
      <c r="AC122" s="93"/>
      <c r="AD122" s="93"/>
      <c r="AE122" s="93"/>
      <c r="AF122" s="93"/>
      <c r="AG122" s="93"/>
      <c r="AH122" s="93"/>
      <c r="AI122" s="93"/>
      <c r="AJ122" s="93"/>
      <c r="AK122" s="93"/>
      <c r="AL122" s="93"/>
    </row>
    <row r="123" spans="1:38" s="98" customFormat="1" x14ac:dyDescent="0.25">
      <c r="A123" s="99">
        <v>45360</v>
      </c>
      <c r="B123" s="50" t="s">
        <v>689</v>
      </c>
      <c r="C123" s="101">
        <v>-299600</v>
      </c>
      <c r="D123" s="157" t="s">
        <v>32</v>
      </c>
      <c r="E123" s="157"/>
      <c r="F123" s="157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7"/>
      <c r="S123" s="97"/>
      <c r="T123" s="97"/>
      <c r="U123" s="97"/>
      <c r="V123" s="97"/>
      <c r="W123" s="97"/>
      <c r="X123" s="97"/>
      <c r="Y123" s="97"/>
      <c r="Z123" s="97"/>
      <c r="AA123" s="93"/>
      <c r="AB123" s="93">
        <f>C123</f>
        <v>-299600</v>
      </c>
      <c r="AC123" s="93"/>
      <c r="AD123" s="93"/>
      <c r="AE123" s="93"/>
      <c r="AF123" s="93"/>
      <c r="AG123" s="93"/>
      <c r="AH123" s="93"/>
      <c r="AI123" s="93"/>
      <c r="AJ123" s="93"/>
      <c r="AK123" s="93"/>
      <c r="AL123" s="93"/>
    </row>
    <row r="124" spans="1:38" s="98" customFormat="1" x14ac:dyDescent="0.25">
      <c r="A124" s="99">
        <v>45360</v>
      </c>
      <c r="B124" s="50" t="s">
        <v>264</v>
      </c>
      <c r="C124" s="101">
        <v>-242500</v>
      </c>
      <c r="D124" s="157" t="s">
        <v>533</v>
      </c>
      <c r="E124" s="157"/>
      <c r="F124" s="157"/>
      <c r="G124" s="93"/>
      <c r="H124" s="93">
        <f>C124</f>
        <v>-242500</v>
      </c>
      <c r="I124" s="93"/>
      <c r="J124" s="93"/>
      <c r="K124" s="93"/>
      <c r="L124" s="93"/>
      <c r="M124" s="93"/>
      <c r="N124" s="93"/>
      <c r="O124" s="93"/>
      <c r="P124" s="93"/>
      <c r="Q124" s="93"/>
      <c r="R124" s="97"/>
      <c r="S124" s="97"/>
      <c r="T124" s="97"/>
      <c r="U124" s="97"/>
      <c r="V124" s="97"/>
      <c r="W124" s="97"/>
      <c r="X124" s="97"/>
      <c r="Y124" s="97"/>
      <c r="Z124" s="97"/>
      <c r="AA124" s="93"/>
      <c r="AB124" s="93"/>
      <c r="AC124" s="93"/>
      <c r="AD124" s="93"/>
      <c r="AE124" s="93"/>
      <c r="AF124" s="93"/>
      <c r="AG124" s="93"/>
      <c r="AH124" s="93"/>
      <c r="AI124" s="93"/>
      <c r="AJ124" s="93"/>
      <c r="AK124" s="93"/>
      <c r="AL124" s="93"/>
    </row>
    <row r="125" spans="1:38" s="98" customFormat="1" x14ac:dyDescent="0.25">
      <c r="A125" s="99">
        <v>45360</v>
      </c>
      <c r="B125" s="50" t="s">
        <v>690</v>
      </c>
      <c r="C125" s="101">
        <v>-9000</v>
      </c>
      <c r="D125" s="157" t="s">
        <v>142</v>
      </c>
      <c r="E125" s="157"/>
      <c r="F125" s="157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7"/>
      <c r="S125" s="97"/>
      <c r="T125" s="97"/>
      <c r="U125" s="97"/>
      <c r="V125" s="97"/>
      <c r="W125" s="97"/>
      <c r="X125" s="97"/>
      <c r="Y125" s="97"/>
      <c r="Z125" s="97"/>
      <c r="AA125" s="93"/>
      <c r="AB125" s="93"/>
      <c r="AC125" s="93"/>
      <c r="AD125" s="93"/>
      <c r="AE125" s="93"/>
      <c r="AF125" s="93"/>
      <c r="AG125" s="93"/>
      <c r="AH125" s="93"/>
      <c r="AI125" s="93"/>
      <c r="AJ125" s="93"/>
      <c r="AK125" s="93">
        <f>C125</f>
        <v>-9000</v>
      </c>
      <c r="AL125" s="93"/>
    </row>
    <row r="126" spans="1:38" s="98" customFormat="1" x14ac:dyDescent="0.25">
      <c r="A126" s="99">
        <v>45360</v>
      </c>
      <c r="B126" s="50" t="s">
        <v>691</v>
      </c>
      <c r="C126" s="101">
        <v>-539500</v>
      </c>
      <c r="D126" s="157" t="s">
        <v>533</v>
      </c>
      <c r="E126" s="157"/>
      <c r="F126" s="157"/>
      <c r="G126" s="93"/>
      <c r="H126" s="93">
        <f>C126</f>
        <v>-539500</v>
      </c>
      <c r="I126" s="93"/>
      <c r="J126" s="93"/>
      <c r="K126" s="93"/>
      <c r="L126" s="93"/>
      <c r="M126" s="93"/>
      <c r="N126" s="93"/>
      <c r="O126" s="93"/>
      <c r="P126" s="93"/>
      <c r="Q126" s="93"/>
      <c r="R126" s="97"/>
      <c r="S126" s="97"/>
      <c r="T126" s="97"/>
      <c r="U126" s="97"/>
      <c r="V126" s="97"/>
      <c r="W126" s="97"/>
      <c r="X126" s="97"/>
      <c r="Y126" s="97"/>
      <c r="Z126" s="97"/>
      <c r="AA126" s="93"/>
      <c r="AB126" s="93"/>
      <c r="AC126" s="93"/>
      <c r="AD126" s="93"/>
      <c r="AE126" s="93"/>
      <c r="AF126" s="93"/>
      <c r="AG126" s="93"/>
      <c r="AH126" s="93"/>
      <c r="AI126" s="93"/>
      <c r="AJ126" s="93"/>
      <c r="AK126" s="93"/>
      <c r="AL126" s="93"/>
    </row>
    <row r="127" spans="1:38" s="98" customFormat="1" x14ac:dyDescent="0.25">
      <c r="A127" s="99">
        <v>45360</v>
      </c>
      <c r="B127" s="50" t="s">
        <v>692</v>
      </c>
      <c r="C127" s="101">
        <v>-180000</v>
      </c>
      <c r="D127" s="157" t="s">
        <v>532</v>
      </c>
      <c r="E127" s="157"/>
      <c r="F127" s="157"/>
      <c r="G127" s="93"/>
      <c r="H127" s="93"/>
      <c r="I127" s="93"/>
      <c r="J127" s="93"/>
      <c r="K127" s="93">
        <f>C127</f>
        <v>-180000</v>
      </c>
      <c r="L127" s="93"/>
      <c r="M127" s="93"/>
      <c r="N127" s="93"/>
      <c r="O127" s="93"/>
      <c r="P127" s="93"/>
      <c r="Q127" s="93"/>
      <c r="R127" s="97"/>
      <c r="S127" s="97"/>
      <c r="T127" s="97"/>
      <c r="U127" s="97"/>
      <c r="V127" s="97"/>
      <c r="W127" s="97"/>
      <c r="X127" s="97"/>
      <c r="Y127" s="97"/>
      <c r="Z127" s="97"/>
      <c r="AA127" s="93"/>
      <c r="AB127" s="93"/>
      <c r="AC127" s="93"/>
      <c r="AD127" s="93"/>
      <c r="AE127" s="93"/>
      <c r="AF127" s="93"/>
      <c r="AG127" s="93"/>
      <c r="AH127" s="93"/>
      <c r="AI127" s="93"/>
      <c r="AJ127" s="93"/>
      <c r="AK127" s="93"/>
      <c r="AL127" s="93"/>
    </row>
    <row r="128" spans="1:38" s="98" customFormat="1" x14ac:dyDescent="0.25">
      <c r="A128" s="99">
        <v>45360</v>
      </c>
      <c r="B128" s="50" t="s">
        <v>693</v>
      </c>
      <c r="C128" s="101">
        <v>-8000</v>
      </c>
      <c r="D128" s="157" t="s">
        <v>533</v>
      </c>
      <c r="E128" s="157"/>
      <c r="F128" s="157"/>
      <c r="G128" s="93"/>
      <c r="H128" s="93">
        <f>C128</f>
        <v>-8000</v>
      </c>
      <c r="I128" s="93"/>
      <c r="J128" s="93"/>
      <c r="K128" s="93"/>
      <c r="L128" s="93"/>
      <c r="M128" s="93"/>
      <c r="N128" s="93"/>
      <c r="O128" s="93"/>
      <c r="P128" s="93"/>
      <c r="Q128" s="93"/>
      <c r="R128" s="97"/>
      <c r="S128" s="97"/>
      <c r="T128" s="97"/>
      <c r="U128" s="97"/>
      <c r="V128" s="97"/>
      <c r="W128" s="97"/>
      <c r="X128" s="97"/>
      <c r="Y128" s="97"/>
      <c r="Z128" s="97"/>
      <c r="AA128" s="93"/>
      <c r="AB128" s="93"/>
      <c r="AC128" s="93"/>
      <c r="AD128" s="93"/>
      <c r="AE128" s="93"/>
      <c r="AF128" s="93"/>
      <c r="AG128" s="93"/>
      <c r="AH128" s="93"/>
      <c r="AI128" s="93"/>
      <c r="AJ128" s="93"/>
      <c r="AK128" s="93"/>
      <c r="AL128" s="93"/>
    </row>
    <row r="129" spans="1:38" s="98" customFormat="1" x14ac:dyDescent="0.25">
      <c r="A129" s="99">
        <v>45360</v>
      </c>
      <c r="B129" s="50" t="s">
        <v>694</v>
      </c>
      <c r="C129" s="101">
        <v>-3000</v>
      </c>
      <c r="D129" s="157" t="s">
        <v>532</v>
      </c>
      <c r="E129" s="157"/>
      <c r="F129" s="157"/>
      <c r="G129" s="93"/>
      <c r="H129" s="93"/>
      <c r="I129" s="93"/>
      <c r="J129" s="93"/>
      <c r="K129" s="93">
        <f>C129</f>
        <v>-3000</v>
      </c>
      <c r="L129" s="93"/>
      <c r="M129" s="93"/>
      <c r="N129" s="93"/>
      <c r="O129" s="93"/>
      <c r="P129" s="93"/>
      <c r="Q129" s="93"/>
      <c r="R129" s="97"/>
      <c r="S129" s="97"/>
      <c r="T129" s="97"/>
      <c r="U129" s="97"/>
      <c r="V129" s="97"/>
      <c r="W129" s="97"/>
      <c r="X129" s="97"/>
      <c r="Y129" s="97"/>
      <c r="Z129" s="97"/>
      <c r="AA129" s="93"/>
      <c r="AB129" s="93"/>
      <c r="AC129" s="93"/>
      <c r="AD129" s="93"/>
      <c r="AE129" s="93"/>
      <c r="AF129" s="93"/>
      <c r="AG129" s="93"/>
      <c r="AH129" s="93"/>
      <c r="AI129" s="93"/>
      <c r="AJ129" s="93"/>
      <c r="AK129" s="93"/>
      <c r="AL129" s="93"/>
    </row>
    <row r="130" spans="1:38" s="98" customFormat="1" x14ac:dyDescent="0.25">
      <c r="A130" s="99">
        <v>45360</v>
      </c>
      <c r="B130" s="50" t="s">
        <v>695</v>
      </c>
      <c r="C130" s="101">
        <v>-1080000</v>
      </c>
      <c r="D130" s="157" t="s">
        <v>535</v>
      </c>
      <c r="E130" s="157"/>
      <c r="F130" s="157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7"/>
      <c r="S130" s="97"/>
      <c r="T130" s="97"/>
      <c r="U130" s="97"/>
      <c r="V130" s="97"/>
      <c r="W130" s="97"/>
      <c r="X130" s="97"/>
      <c r="Y130" s="97"/>
      <c r="Z130" s="97"/>
      <c r="AA130" s="93"/>
      <c r="AB130" s="93"/>
      <c r="AC130" s="93"/>
      <c r="AD130" s="93"/>
      <c r="AE130" s="93"/>
      <c r="AF130" s="93"/>
      <c r="AG130" s="93">
        <f>C130</f>
        <v>-1080000</v>
      </c>
      <c r="AH130" s="93"/>
      <c r="AI130" s="93"/>
      <c r="AJ130" s="93"/>
      <c r="AK130" s="93"/>
      <c r="AL130" s="93"/>
    </row>
    <row r="131" spans="1:38" s="98" customFormat="1" x14ac:dyDescent="0.25">
      <c r="A131" s="99">
        <v>45360</v>
      </c>
      <c r="B131" s="393" t="s">
        <v>700</v>
      </c>
      <c r="C131" s="394">
        <v>-900000</v>
      </c>
      <c r="D131" s="157" t="s">
        <v>130</v>
      </c>
      <c r="E131" s="157"/>
      <c r="F131" s="157"/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97"/>
      <c r="S131" s="97"/>
      <c r="T131" s="97"/>
      <c r="U131" s="97"/>
      <c r="V131" s="97"/>
      <c r="W131" s="97"/>
      <c r="X131" s="97"/>
      <c r="Y131" s="97">
        <f>C131</f>
        <v>-900000</v>
      </c>
      <c r="Z131" s="97"/>
      <c r="AA131" s="93"/>
      <c r="AB131" s="93"/>
      <c r="AC131" s="93"/>
      <c r="AD131" s="93"/>
      <c r="AE131" s="93"/>
      <c r="AF131" s="93"/>
      <c r="AG131" s="93"/>
      <c r="AH131" s="93"/>
      <c r="AI131" s="93"/>
      <c r="AJ131" s="93"/>
      <c r="AK131" s="93"/>
      <c r="AL131" s="93"/>
    </row>
    <row r="132" spans="1:38" s="98" customFormat="1" x14ac:dyDescent="0.25">
      <c r="A132" s="99">
        <v>45360</v>
      </c>
      <c r="B132" s="50" t="s">
        <v>696</v>
      </c>
      <c r="C132" s="101">
        <v>-15000</v>
      </c>
      <c r="D132" s="157" t="s">
        <v>27</v>
      </c>
      <c r="E132" s="157"/>
      <c r="F132" s="157"/>
      <c r="G132" s="93"/>
      <c r="H132" s="93"/>
      <c r="I132" s="93">
        <f>C132</f>
        <v>-15000</v>
      </c>
      <c r="J132" s="93"/>
      <c r="K132" s="93"/>
      <c r="L132" s="93"/>
      <c r="M132" s="93"/>
      <c r="N132" s="93"/>
      <c r="O132" s="93"/>
      <c r="P132" s="93"/>
      <c r="Q132" s="93"/>
      <c r="R132" s="97"/>
      <c r="S132" s="97"/>
      <c r="T132" s="97"/>
      <c r="U132" s="97"/>
      <c r="V132" s="97"/>
      <c r="W132" s="97"/>
      <c r="X132" s="97"/>
      <c r="Y132" s="97"/>
      <c r="Z132" s="97"/>
      <c r="AA132" s="93"/>
      <c r="AB132" s="93"/>
      <c r="AC132" s="93"/>
      <c r="AD132" s="93"/>
      <c r="AE132" s="93"/>
      <c r="AF132" s="93"/>
      <c r="AG132" s="93"/>
      <c r="AH132" s="93"/>
      <c r="AI132" s="93"/>
      <c r="AJ132" s="93"/>
      <c r="AK132" s="93"/>
      <c r="AL132" s="93"/>
    </row>
    <row r="133" spans="1:38" s="98" customFormat="1" x14ac:dyDescent="0.25">
      <c r="A133" s="99">
        <v>45360</v>
      </c>
      <c r="B133" s="50" t="s">
        <v>275</v>
      </c>
      <c r="C133" s="101">
        <v>-219000</v>
      </c>
      <c r="D133" s="157" t="s">
        <v>533</v>
      </c>
      <c r="E133" s="157"/>
      <c r="F133" s="157"/>
      <c r="G133" s="93"/>
      <c r="H133" s="93">
        <f>C133</f>
        <v>-219000</v>
      </c>
      <c r="I133" s="93"/>
      <c r="J133" s="93"/>
      <c r="K133" s="93"/>
      <c r="L133" s="93"/>
      <c r="M133" s="93"/>
      <c r="N133" s="93"/>
      <c r="O133" s="93"/>
      <c r="P133" s="93"/>
      <c r="Q133" s="93"/>
      <c r="R133" s="97"/>
      <c r="S133" s="97"/>
      <c r="T133" s="97"/>
      <c r="U133" s="97"/>
      <c r="V133" s="97"/>
      <c r="W133" s="97"/>
      <c r="X133" s="97"/>
      <c r="Y133" s="97"/>
      <c r="Z133" s="97"/>
      <c r="AA133" s="93"/>
      <c r="AB133" s="93"/>
      <c r="AC133" s="93"/>
      <c r="AD133" s="93"/>
      <c r="AE133" s="93"/>
      <c r="AF133" s="93"/>
      <c r="AG133" s="93"/>
      <c r="AH133" s="93"/>
      <c r="AI133" s="93"/>
      <c r="AJ133" s="93"/>
      <c r="AK133" s="93"/>
      <c r="AL133" s="93"/>
    </row>
    <row r="134" spans="1:38" s="98" customFormat="1" x14ac:dyDescent="0.25">
      <c r="A134" s="99">
        <v>45360</v>
      </c>
      <c r="B134" s="50" t="s">
        <v>276</v>
      </c>
      <c r="C134" s="101">
        <v>-1250000</v>
      </c>
      <c r="D134" s="157" t="s">
        <v>535</v>
      </c>
      <c r="E134" s="157"/>
      <c r="F134" s="157"/>
      <c r="G134" s="93"/>
      <c r="H134" s="93"/>
      <c r="I134" s="93"/>
      <c r="J134" s="93"/>
      <c r="K134" s="93"/>
      <c r="L134" s="93"/>
      <c r="M134" s="93"/>
      <c r="N134" s="93"/>
      <c r="O134" s="93"/>
      <c r="P134" s="93"/>
      <c r="Q134" s="93"/>
      <c r="R134" s="97"/>
      <c r="S134" s="97"/>
      <c r="T134" s="97"/>
      <c r="U134" s="97"/>
      <c r="V134" s="97"/>
      <c r="W134" s="97"/>
      <c r="X134" s="97"/>
      <c r="Y134" s="97"/>
      <c r="Z134" s="97"/>
      <c r="AA134" s="93"/>
      <c r="AB134" s="93"/>
      <c r="AC134" s="93"/>
      <c r="AD134" s="93"/>
      <c r="AE134" s="93"/>
      <c r="AF134" s="93"/>
      <c r="AG134" s="93">
        <f>C134</f>
        <v>-1250000</v>
      </c>
      <c r="AH134" s="93"/>
      <c r="AI134" s="93"/>
      <c r="AJ134" s="93"/>
      <c r="AK134" s="93"/>
      <c r="AL134" s="93"/>
    </row>
    <row r="135" spans="1:38" s="98" customFormat="1" x14ac:dyDescent="0.25">
      <c r="A135" s="99">
        <v>45360</v>
      </c>
      <c r="B135" s="50" t="s">
        <v>698</v>
      </c>
      <c r="C135" s="101">
        <v>-65000</v>
      </c>
      <c r="D135" s="157" t="s">
        <v>25</v>
      </c>
      <c r="E135" s="157"/>
      <c r="F135" s="157"/>
      <c r="G135" s="93">
        <f>C135</f>
        <v>-65000</v>
      </c>
      <c r="H135" s="93"/>
      <c r="I135" s="93"/>
      <c r="J135" s="93"/>
      <c r="K135" s="93"/>
      <c r="L135" s="93"/>
      <c r="M135" s="93"/>
      <c r="N135" s="93"/>
      <c r="O135" s="93"/>
      <c r="P135" s="93"/>
      <c r="Q135" s="93"/>
      <c r="R135" s="97"/>
      <c r="S135" s="97"/>
      <c r="T135" s="97"/>
      <c r="U135" s="97"/>
      <c r="V135" s="97"/>
      <c r="W135" s="97"/>
      <c r="X135" s="97"/>
      <c r="Y135" s="97"/>
      <c r="Z135" s="97"/>
      <c r="AA135" s="93"/>
      <c r="AB135" s="93"/>
      <c r="AC135" s="93"/>
      <c r="AD135" s="93"/>
      <c r="AE135" s="93"/>
      <c r="AF135" s="93"/>
      <c r="AG135" s="93"/>
      <c r="AH135" s="93"/>
      <c r="AI135" s="93"/>
      <c r="AJ135" s="93"/>
      <c r="AK135" s="93"/>
      <c r="AL135" s="93"/>
    </row>
    <row r="136" spans="1:38" s="98" customFormat="1" x14ac:dyDescent="0.25">
      <c r="A136" s="99">
        <v>45360</v>
      </c>
      <c r="B136" s="50" t="s">
        <v>702</v>
      </c>
      <c r="C136" s="101">
        <v>-60000</v>
      </c>
      <c r="D136" s="157" t="s">
        <v>534</v>
      </c>
      <c r="E136" s="157"/>
      <c r="F136" s="157"/>
      <c r="G136" s="93"/>
      <c r="H136" s="93"/>
      <c r="I136" s="93"/>
      <c r="J136" s="93">
        <f>C136</f>
        <v>-60000</v>
      </c>
      <c r="K136" s="93"/>
      <c r="L136" s="93"/>
      <c r="M136" s="93"/>
      <c r="N136" s="93"/>
      <c r="O136" s="93"/>
      <c r="P136" s="93"/>
      <c r="Q136" s="93"/>
      <c r="R136" s="97"/>
      <c r="S136" s="97"/>
      <c r="T136" s="97"/>
      <c r="U136" s="97"/>
      <c r="V136" s="97"/>
      <c r="W136" s="97"/>
      <c r="X136" s="97"/>
      <c r="Y136" s="97"/>
      <c r="Z136" s="97"/>
      <c r="AA136" s="93"/>
      <c r="AB136" s="93"/>
      <c r="AC136" s="93"/>
      <c r="AD136" s="93"/>
      <c r="AE136" s="93"/>
      <c r="AF136" s="93"/>
      <c r="AG136" s="93"/>
      <c r="AH136" s="93"/>
      <c r="AI136" s="93"/>
      <c r="AJ136" s="93"/>
      <c r="AK136" s="93"/>
      <c r="AL136" s="93"/>
    </row>
    <row r="137" spans="1:38" s="98" customFormat="1" x14ac:dyDescent="0.25">
      <c r="A137" s="99">
        <v>45360</v>
      </c>
      <c r="B137" s="50" t="s">
        <v>703</v>
      </c>
      <c r="C137" s="101">
        <v>-300000</v>
      </c>
      <c r="D137" s="157" t="s">
        <v>932</v>
      </c>
      <c r="E137" s="157"/>
      <c r="F137" s="157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7"/>
      <c r="S137" s="97"/>
      <c r="T137" s="97"/>
      <c r="U137" s="97"/>
      <c r="V137" s="97"/>
      <c r="W137" s="97"/>
      <c r="X137" s="97">
        <f>C137</f>
        <v>-300000</v>
      </c>
      <c r="Y137" s="97"/>
      <c r="Z137" s="97"/>
      <c r="AA137" s="93"/>
      <c r="AB137" s="93"/>
      <c r="AC137" s="93"/>
      <c r="AD137" s="93"/>
      <c r="AE137" s="93"/>
      <c r="AF137" s="93"/>
      <c r="AG137" s="93"/>
      <c r="AH137" s="93"/>
      <c r="AI137" s="93"/>
      <c r="AK137" s="93"/>
      <c r="AL137" s="93"/>
    </row>
    <row r="138" spans="1:38" s="98" customFormat="1" x14ac:dyDescent="0.25">
      <c r="A138" s="99">
        <v>45360</v>
      </c>
      <c r="B138" s="50" t="s">
        <v>264</v>
      </c>
      <c r="C138" s="101">
        <v>-961000</v>
      </c>
      <c r="D138" s="157" t="s">
        <v>533</v>
      </c>
      <c r="E138" s="157"/>
      <c r="F138" s="157"/>
      <c r="G138" s="93"/>
      <c r="H138" s="93">
        <f>C138</f>
        <v>-961000</v>
      </c>
      <c r="I138" s="93"/>
      <c r="J138" s="93"/>
      <c r="K138" s="93"/>
      <c r="L138" s="93"/>
      <c r="M138" s="93"/>
      <c r="N138" s="93"/>
      <c r="O138" s="93"/>
      <c r="P138" s="93"/>
      <c r="Q138" s="93"/>
      <c r="R138" s="97"/>
      <c r="S138" s="97"/>
      <c r="T138" s="97"/>
      <c r="U138" s="97"/>
      <c r="V138" s="97"/>
      <c r="W138" s="97"/>
      <c r="X138" s="97"/>
      <c r="Y138" s="97"/>
      <c r="Z138" s="97"/>
      <c r="AA138" s="93"/>
      <c r="AB138" s="93"/>
      <c r="AC138" s="93"/>
      <c r="AD138" s="93"/>
      <c r="AE138" s="93"/>
      <c r="AF138" s="93"/>
      <c r="AG138" s="93"/>
      <c r="AH138" s="93"/>
      <c r="AI138" s="93"/>
      <c r="AJ138" s="93"/>
      <c r="AK138" s="93"/>
      <c r="AL138" s="93"/>
    </row>
    <row r="139" spans="1:38" s="98" customFormat="1" x14ac:dyDescent="0.25">
      <c r="A139" s="99">
        <v>45361</v>
      </c>
      <c r="B139" s="50" t="s">
        <v>163</v>
      </c>
      <c r="C139" s="101">
        <v>-11000</v>
      </c>
      <c r="D139" s="157" t="s">
        <v>532</v>
      </c>
      <c r="E139" s="157"/>
      <c r="F139" s="157"/>
      <c r="G139" s="93"/>
      <c r="H139" s="93"/>
      <c r="I139" s="93"/>
      <c r="J139" s="93"/>
      <c r="K139" s="93">
        <f>C139</f>
        <v>-11000</v>
      </c>
      <c r="L139" s="93"/>
      <c r="M139" s="93"/>
      <c r="N139" s="93"/>
      <c r="O139" s="93"/>
      <c r="P139" s="93"/>
      <c r="Q139" s="93"/>
      <c r="R139" s="97"/>
      <c r="S139" s="97"/>
      <c r="T139" s="97"/>
      <c r="U139" s="97"/>
      <c r="V139" s="97"/>
      <c r="W139" s="97"/>
      <c r="X139" s="97"/>
      <c r="Y139" s="97"/>
      <c r="Z139" s="97"/>
      <c r="AA139" s="93"/>
      <c r="AB139" s="93"/>
      <c r="AC139" s="93"/>
      <c r="AD139" s="93"/>
      <c r="AE139" s="93"/>
      <c r="AF139" s="93"/>
      <c r="AG139" s="93"/>
      <c r="AH139" s="93"/>
      <c r="AI139" s="93"/>
      <c r="AJ139" s="93"/>
      <c r="AK139" s="93"/>
      <c r="AL139" s="93"/>
    </row>
    <row r="140" spans="1:38" s="98" customFormat="1" x14ac:dyDescent="0.25">
      <c r="A140" s="99">
        <v>45361</v>
      </c>
      <c r="B140" s="50" t="s">
        <v>654</v>
      </c>
      <c r="C140" s="101">
        <v>-9000</v>
      </c>
      <c r="D140" s="157" t="s">
        <v>142</v>
      </c>
      <c r="E140" s="157"/>
      <c r="F140" s="157"/>
      <c r="G140" s="93"/>
      <c r="H140" s="93"/>
      <c r="I140" s="93"/>
      <c r="J140" s="93"/>
      <c r="K140" s="93"/>
      <c r="L140" s="93"/>
      <c r="M140" s="93"/>
      <c r="N140" s="93"/>
      <c r="O140" s="93"/>
      <c r="P140" s="93"/>
      <c r="Q140" s="93"/>
      <c r="R140" s="97"/>
      <c r="S140" s="97"/>
      <c r="T140" s="97"/>
      <c r="U140" s="97"/>
      <c r="V140" s="97"/>
      <c r="W140" s="97"/>
      <c r="X140" s="97"/>
      <c r="Y140" s="97"/>
      <c r="Z140" s="97"/>
      <c r="AA140" s="93"/>
      <c r="AB140" s="93"/>
      <c r="AC140" s="93"/>
      <c r="AD140" s="93"/>
      <c r="AE140" s="93"/>
      <c r="AF140" s="93"/>
      <c r="AG140" s="93"/>
      <c r="AH140" s="93"/>
      <c r="AI140" s="93"/>
      <c r="AJ140" s="93"/>
      <c r="AK140" s="93">
        <f>C140</f>
        <v>-9000</v>
      </c>
      <c r="AL140" s="93"/>
    </row>
    <row r="141" spans="1:38" s="98" customFormat="1" x14ac:dyDescent="0.25">
      <c r="A141" s="99">
        <v>45361</v>
      </c>
      <c r="B141" s="50" t="s">
        <v>705</v>
      </c>
      <c r="C141" s="101">
        <v>-372000</v>
      </c>
      <c r="D141" s="157" t="s">
        <v>533</v>
      </c>
      <c r="E141" s="157"/>
      <c r="F141" s="157"/>
      <c r="G141" s="93"/>
      <c r="H141" s="93">
        <f>C141</f>
        <v>-372000</v>
      </c>
      <c r="I141" s="93"/>
      <c r="J141" s="93"/>
      <c r="K141" s="93"/>
      <c r="L141" s="93"/>
      <c r="M141" s="93"/>
      <c r="N141" s="93"/>
      <c r="O141" s="93"/>
      <c r="P141" s="93"/>
      <c r="Q141" s="93"/>
      <c r="R141" s="97"/>
      <c r="S141" s="97"/>
      <c r="T141" s="97"/>
      <c r="U141" s="97"/>
      <c r="V141" s="97"/>
      <c r="W141" s="97"/>
      <c r="X141" s="97"/>
      <c r="Y141" s="97"/>
      <c r="Z141" s="97"/>
      <c r="AA141" s="93"/>
      <c r="AB141" s="93"/>
      <c r="AC141" s="93"/>
      <c r="AD141" s="93"/>
      <c r="AE141" s="93"/>
      <c r="AF141" s="93"/>
      <c r="AG141" s="93"/>
      <c r="AH141" s="93"/>
      <c r="AI141" s="93"/>
      <c r="AJ141" s="93"/>
      <c r="AK141" s="93"/>
      <c r="AL141" s="93"/>
    </row>
    <row r="142" spans="1:38" s="98" customFormat="1" x14ac:dyDescent="0.25">
      <c r="A142" s="99">
        <v>45361</v>
      </c>
      <c r="B142" s="50" t="s">
        <v>706</v>
      </c>
      <c r="C142" s="101">
        <v>-24500</v>
      </c>
      <c r="D142" s="157" t="s">
        <v>32</v>
      </c>
      <c r="E142" s="157"/>
      <c r="F142" s="157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7"/>
      <c r="S142" s="97"/>
      <c r="T142" s="97"/>
      <c r="U142" s="97"/>
      <c r="V142" s="97"/>
      <c r="W142" s="97"/>
      <c r="X142" s="97"/>
      <c r="Y142" s="97"/>
      <c r="Z142" s="97"/>
      <c r="AA142" s="93"/>
      <c r="AB142" s="93">
        <f>C142</f>
        <v>-24500</v>
      </c>
      <c r="AC142" s="93"/>
      <c r="AD142" s="93"/>
      <c r="AE142" s="93"/>
      <c r="AF142" s="93"/>
      <c r="AG142" s="93"/>
      <c r="AH142" s="93"/>
      <c r="AI142" s="93"/>
      <c r="AJ142" s="93"/>
      <c r="AK142" s="93"/>
      <c r="AL142" s="93"/>
    </row>
    <row r="143" spans="1:38" s="98" customFormat="1" x14ac:dyDescent="0.25">
      <c r="A143" s="99">
        <v>45361</v>
      </c>
      <c r="B143" s="50" t="s">
        <v>707</v>
      </c>
      <c r="C143" s="101">
        <v>-20000</v>
      </c>
      <c r="D143" s="157" t="s">
        <v>533</v>
      </c>
      <c r="E143" s="157"/>
      <c r="F143" s="157"/>
      <c r="G143" s="93"/>
      <c r="H143" s="93">
        <f>C143</f>
        <v>-20000</v>
      </c>
      <c r="I143" s="93"/>
      <c r="J143" s="93"/>
      <c r="K143" s="93"/>
      <c r="L143" s="93"/>
      <c r="M143" s="93"/>
      <c r="N143" s="93"/>
      <c r="O143" s="93"/>
      <c r="P143" s="93"/>
      <c r="Q143" s="93"/>
      <c r="R143" s="97"/>
      <c r="S143" s="97"/>
      <c r="T143" s="97"/>
      <c r="U143" s="97"/>
      <c r="V143" s="97"/>
      <c r="W143" s="97"/>
      <c r="X143" s="97"/>
      <c r="Y143" s="97"/>
      <c r="Z143" s="97"/>
      <c r="AA143" s="93"/>
      <c r="AB143" s="93"/>
      <c r="AC143" s="93"/>
      <c r="AD143" s="93"/>
      <c r="AE143" s="93"/>
      <c r="AF143" s="93"/>
      <c r="AG143" s="93"/>
      <c r="AH143" s="93"/>
      <c r="AI143" s="93"/>
      <c r="AJ143" s="93"/>
      <c r="AK143" s="93"/>
      <c r="AL143" s="93"/>
    </row>
    <row r="144" spans="1:38" s="98" customFormat="1" x14ac:dyDescent="0.25">
      <c r="A144" s="99">
        <v>45361</v>
      </c>
      <c r="B144" s="50" t="s">
        <v>708</v>
      </c>
      <c r="C144" s="101">
        <v>-77500</v>
      </c>
      <c r="D144" s="157" t="s">
        <v>533</v>
      </c>
      <c r="E144" s="157"/>
      <c r="F144" s="157"/>
      <c r="G144" s="93"/>
      <c r="H144" s="93">
        <f>C144</f>
        <v>-77500</v>
      </c>
      <c r="I144" s="93"/>
      <c r="J144" s="93"/>
      <c r="K144" s="93"/>
      <c r="L144" s="93"/>
      <c r="M144" s="93"/>
      <c r="N144" s="93"/>
      <c r="O144" s="93"/>
      <c r="P144" s="93"/>
      <c r="Q144" s="93"/>
      <c r="R144" s="97"/>
      <c r="S144" s="97"/>
      <c r="T144" s="97"/>
      <c r="U144" s="97"/>
      <c r="V144" s="97"/>
      <c r="W144" s="97"/>
      <c r="X144" s="97"/>
      <c r="Y144" s="97"/>
      <c r="Z144" s="97"/>
      <c r="AA144" s="93"/>
      <c r="AB144" s="93"/>
      <c r="AC144" s="93"/>
      <c r="AD144" s="93"/>
      <c r="AE144" s="93"/>
      <c r="AF144" s="93"/>
      <c r="AG144" s="93"/>
      <c r="AH144" s="93"/>
      <c r="AI144" s="93"/>
      <c r="AJ144" s="93"/>
      <c r="AK144" s="93"/>
      <c r="AL144" s="93"/>
    </row>
    <row r="145" spans="1:38" s="98" customFormat="1" x14ac:dyDescent="0.25">
      <c r="A145" s="99">
        <v>45361</v>
      </c>
      <c r="B145" s="50" t="s">
        <v>709</v>
      </c>
      <c r="C145" s="101">
        <v>-40000</v>
      </c>
      <c r="D145" s="157" t="s">
        <v>533</v>
      </c>
      <c r="E145" s="157"/>
      <c r="F145" s="157"/>
      <c r="G145" s="93"/>
      <c r="H145" s="93">
        <f>C145</f>
        <v>-40000</v>
      </c>
      <c r="I145" s="93"/>
      <c r="J145" s="93"/>
      <c r="K145" s="93"/>
      <c r="L145" s="93"/>
      <c r="M145" s="93"/>
      <c r="N145" s="93"/>
      <c r="O145" s="93"/>
      <c r="P145" s="93"/>
      <c r="Q145" s="93"/>
      <c r="R145" s="97"/>
      <c r="S145" s="97"/>
      <c r="T145" s="97"/>
      <c r="U145" s="97"/>
      <c r="V145" s="97"/>
      <c r="W145" s="97"/>
      <c r="X145" s="97"/>
      <c r="Y145" s="97"/>
      <c r="Z145" s="97"/>
      <c r="AA145" s="93"/>
      <c r="AB145" s="93"/>
      <c r="AC145" s="93"/>
      <c r="AD145" s="93"/>
      <c r="AE145" s="93"/>
      <c r="AF145" s="93"/>
      <c r="AG145" s="93"/>
      <c r="AH145" s="93"/>
      <c r="AI145" s="93"/>
      <c r="AJ145" s="93"/>
      <c r="AK145" s="93"/>
      <c r="AL145" s="93"/>
    </row>
    <row r="146" spans="1:38" s="98" customFormat="1" x14ac:dyDescent="0.25">
      <c r="A146" s="99">
        <v>45361</v>
      </c>
      <c r="B146" s="50" t="s">
        <v>710</v>
      </c>
      <c r="C146" s="101">
        <v>-81000</v>
      </c>
      <c r="D146" s="157" t="s">
        <v>533</v>
      </c>
      <c r="E146" s="157"/>
      <c r="F146" s="157"/>
      <c r="G146" s="93"/>
      <c r="H146" s="93">
        <f>C146</f>
        <v>-81000</v>
      </c>
      <c r="I146" s="93"/>
      <c r="J146" s="93"/>
      <c r="K146" s="93"/>
      <c r="L146" s="93"/>
      <c r="M146" s="93"/>
      <c r="N146" s="93"/>
      <c r="O146" s="93"/>
      <c r="P146" s="93"/>
      <c r="Q146" s="93"/>
      <c r="R146" s="97"/>
      <c r="S146" s="97"/>
      <c r="T146" s="97"/>
      <c r="U146" s="97"/>
      <c r="V146" s="97"/>
      <c r="W146" s="97"/>
      <c r="X146" s="97"/>
      <c r="Y146" s="97"/>
      <c r="Z146" s="97"/>
      <c r="AA146" s="93"/>
      <c r="AB146" s="93"/>
      <c r="AC146" s="93"/>
      <c r="AD146" s="93"/>
      <c r="AE146" s="93"/>
      <c r="AF146" s="93"/>
      <c r="AG146" s="93"/>
      <c r="AH146" s="93"/>
      <c r="AI146" s="93"/>
      <c r="AJ146" s="93"/>
      <c r="AK146" s="93"/>
      <c r="AL146" s="93"/>
    </row>
    <row r="147" spans="1:38" s="98" customFormat="1" x14ac:dyDescent="0.25">
      <c r="A147" s="99">
        <v>45361</v>
      </c>
      <c r="B147" s="50" t="s">
        <v>711</v>
      </c>
      <c r="C147" s="101">
        <v>-30400</v>
      </c>
      <c r="D147" s="157" t="s">
        <v>27</v>
      </c>
      <c r="E147" s="157"/>
      <c r="F147" s="157"/>
      <c r="G147" s="93"/>
      <c r="H147" s="93"/>
      <c r="I147" s="93">
        <f>C147</f>
        <v>-30400</v>
      </c>
      <c r="J147" s="93"/>
      <c r="K147" s="93"/>
      <c r="L147" s="93"/>
      <c r="M147" s="93"/>
      <c r="N147" s="93"/>
      <c r="O147" s="93"/>
      <c r="P147" s="93"/>
      <c r="Q147" s="93"/>
      <c r="R147" s="97"/>
      <c r="S147" s="97"/>
      <c r="T147" s="97"/>
      <c r="U147" s="97"/>
      <c r="V147" s="97"/>
      <c r="W147" s="97"/>
      <c r="X147" s="97"/>
      <c r="Y147" s="97"/>
      <c r="Z147" s="97"/>
      <c r="AA147" s="93"/>
      <c r="AB147" s="93"/>
      <c r="AC147" s="93"/>
      <c r="AD147" s="93"/>
      <c r="AE147" s="93"/>
      <c r="AF147" s="93"/>
      <c r="AG147" s="93"/>
      <c r="AH147" s="93"/>
      <c r="AI147" s="93"/>
      <c r="AJ147" s="93"/>
      <c r="AK147" s="93"/>
      <c r="AL147" s="93"/>
    </row>
    <row r="148" spans="1:38" s="98" customFormat="1" x14ac:dyDescent="0.25">
      <c r="A148" s="99">
        <v>45361</v>
      </c>
      <c r="B148" s="50" t="s">
        <v>708</v>
      </c>
      <c r="C148" s="101">
        <v>-6500</v>
      </c>
      <c r="D148" s="157" t="s">
        <v>533</v>
      </c>
      <c r="E148" s="157"/>
      <c r="F148" s="157"/>
      <c r="G148" s="93"/>
      <c r="H148" s="93">
        <f>C148</f>
        <v>-6500</v>
      </c>
      <c r="I148" s="93"/>
      <c r="J148" s="93"/>
      <c r="K148" s="93"/>
      <c r="L148" s="93"/>
      <c r="M148" s="93"/>
      <c r="N148" s="93"/>
      <c r="O148" s="93"/>
      <c r="P148" s="93"/>
      <c r="Q148" s="93"/>
      <c r="R148" s="97"/>
      <c r="S148" s="97"/>
      <c r="T148" s="97"/>
      <c r="U148" s="97"/>
      <c r="V148" s="97"/>
      <c r="W148" s="97"/>
      <c r="X148" s="97"/>
      <c r="Y148" s="97"/>
      <c r="Z148" s="97"/>
      <c r="AA148" s="93"/>
      <c r="AB148" s="93"/>
      <c r="AC148" s="93"/>
      <c r="AD148" s="93"/>
      <c r="AE148" s="93"/>
      <c r="AF148" s="93"/>
      <c r="AG148" s="93"/>
      <c r="AH148" s="93"/>
      <c r="AI148" s="93"/>
      <c r="AJ148" s="93"/>
      <c r="AK148" s="93"/>
      <c r="AL148" s="93"/>
    </row>
    <row r="149" spans="1:38" s="98" customFormat="1" x14ac:dyDescent="0.25">
      <c r="A149" s="99">
        <v>45361</v>
      </c>
      <c r="B149" s="50" t="s">
        <v>594</v>
      </c>
      <c r="C149" s="101">
        <v>-48600</v>
      </c>
      <c r="D149" s="157" t="s">
        <v>27</v>
      </c>
      <c r="E149" s="157"/>
      <c r="F149" s="157"/>
      <c r="G149" s="93"/>
      <c r="H149" s="93"/>
      <c r="I149" s="93">
        <f>C149</f>
        <v>-48600</v>
      </c>
      <c r="J149" s="93"/>
      <c r="K149" s="93"/>
      <c r="L149" s="93"/>
      <c r="M149" s="93"/>
      <c r="N149" s="93"/>
      <c r="O149" s="93"/>
      <c r="P149" s="93"/>
      <c r="Q149" s="93"/>
      <c r="R149" s="97"/>
      <c r="S149" s="97"/>
      <c r="T149" s="97"/>
      <c r="U149" s="97"/>
      <c r="V149" s="97"/>
      <c r="W149" s="97"/>
      <c r="X149" s="97"/>
      <c r="Y149" s="97"/>
      <c r="Z149" s="97"/>
      <c r="AA149" s="93"/>
      <c r="AB149" s="93"/>
      <c r="AC149" s="93"/>
      <c r="AD149" s="93"/>
      <c r="AE149" s="93"/>
      <c r="AF149" s="93"/>
      <c r="AG149" s="93"/>
      <c r="AH149" s="93"/>
      <c r="AI149" s="93"/>
      <c r="AJ149" s="93"/>
      <c r="AK149" s="93"/>
      <c r="AL149" s="93"/>
    </row>
    <row r="150" spans="1:38" s="98" customFormat="1" x14ac:dyDescent="0.25">
      <c r="A150" s="99">
        <v>45361</v>
      </c>
      <c r="B150" s="50" t="s">
        <v>713</v>
      </c>
      <c r="C150" s="101">
        <v>-197670</v>
      </c>
      <c r="D150" s="157" t="s">
        <v>141</v>
      </c>
      <c r="E150" s="157"/>
      <c r="F150" s="157"/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97"/>
      <c r="S150" s="97"/>
      <c r="T150" s="97"/>
      <c r="U150" s="97"/>
      <c r="V150" s="97"/>
      <c r="W150" s="97"/>
      <c r="X150" s="97"/>
      <c r="Y150" s="97"/>
      <c r="Z150" s="97"/>
      <c r="AA150" s="93"/>
      <c r="AB150" s="93"/>
      <c r="AC150" s="93"/>
      <c r="AD150" s="93"/>
      <c r="AE150" s="93"/>
      <c r="AF150" s="93"/>
      <c r="AG150" s="93"/>
      <c r="AH150" s="93"/>
      <c r="AI150" s="93"/>
      <c r="AJ150" s="93">
        <f>C150</f>
        <v>-197670</v>
      </c>
      <c r="AK150" s="93"/>
      <c r="AL150" s="93"/>
    </row>
    <row r="151" spans="1:38" s="98" customFormat="1" x14ac:dyDescent="0.25">
      <c r="A151" s="99">
        <v>45361</v>
      </c>
      <c r="B151" s="50" t="s">
        <v>708</v>
      </c>
      <c r="C151" s="101">
        <v>-9000</v>
      </c>
      <c r="D151" s="157" t="s">
        <v>533</v>
      </c>
      <c r="E151" s="157"/>
      <c r="F151" s="157"/>
      <c r="G151" s="93"/>
      <c r="H151" s="93">
        <f>C151</f>
        <v>-9000</v>
      </c>
      <c r="I151" s="93"/>
      <c r="J151" s="93"/>
      <c r="K151" s="93"/>
      <c r="L151" s="93"/>
      <c r="M151" s="93"/>
      <c r="N151" s="93"/>
      <c r="O151" s="93"/>
      <c r="P151" s="93"/>
      <c r="Q151" s="93"/>
      <c r="R151" s="97"/>
      <c r="S151" s="97"/>
      <c r="T151" s="97"/>
      <c r="U151" s="97"/>
      <c r="V151" s="97"/>
      <c r="W151" s="97"/>
      <c r="X151" s="97"/>
      <c r="Y151" s="97"/>
      <c r="Z151" s="97"/>
      <c r="AA151" s="93"/>
      <c r="AB151" s="93"/>
      <c r="AC151" s="93"/>
      <c r="AD151" s="93"/>
      <c r="AE151" s="93"/>
      <c r="AF151" s="93"/>
      <c r="AG151" s="93"/>
      <c r="AH151" s="93"/>
      <c r="AI151" s="93"/>
      <c r="AJ151" s="93"/>
      <c r="AK151" s="93"/>
      <c r="AL151" s="93"/>
    </row>
    <row r="152" spans="1:38" s="98" customFormat="1" x14ac:dyDescent="0.25">
      <c r="A152" s="99">
        <v>45361</v>
      </c>
      <c r="B152" s="50" t="s">
        <v>654</v>
      </c>
      <c r="C152" s="101">
        <v>-35000</v>
      </c>
      <c r="D152" s="157" t="s">
        <v>142</v>
      </c>
      <c r="E152" s="157"/>
      <c r="F152" s="157"/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7"/>
      <c r="S152" s="97"/>
      <c r="T152" s="97"/>
      <c r="U152" s="97"/>
      <c r="V152" s="97"/>
      <c r="W152" s="97"/>
      <c r="X152" s="97"/>
      <c r="Y152" s="97"/>
      <c r="Z152" s="97"/>
      <c r="AA152" s="93"/>
      <c r="AB152" s="93"/>
      <c r="AC152" s="93"/>
      <c r="AD152" s="93"/>
      <c r="AE152" s="93"/>
      <c r="AF152" s="93"/>
      <c r="AG152" s="93"/>
      <c r="AH152" s="93"/>
      <c r="AI152" s="93"/>
      <c r="AJ152" s="93"/>
      <c r="AK152" s="93">
        <f>C152</f>
        <v>-35000</v>
      </c>
      <c r="AL152" s="93"/>
    </row>
    <row r="153" spans="1:38" s="98" customFormat="1" x14ac:dyDescent="0.25">
      <c r="A153" s="99">
        <v>45361</v>
      </c>
      <c r="B153" s="50" t="s">
        <v>264</v>
      </c>
      <c r="C153" s="101">
        <v>-230000</v>
      </c>
      <c r="D153" s="157" t="s">
        <v>533</v>
      </c>
      <c r="E153" s="157"/>
      <c r="F153" s="157"/>
      <c r="G153" s="93"/>
      <c r="H153" s="93">
        <f>C153</f>
        <v>-230000</v>
      </c>
      <c r="I153" s="93"/>
      <c r="J153" s="93"/>
      <c r="K153" s="93"/>
      <c r="L153" s="93"/>
      <c r="M153" s="93"/>
      <c r="N153" s="93"/>
      <c r="O153" s="93"/>
      <c r="P153" s="93"/>
      <c r="Q153" s="93"/>
      <c r="R153" s="97"/>
      <c r="S153" s="97"/>
      <c r="T153" s="97"/>
      <c r="U153" s="97"/>
      <c r="V153" s="97"/>
      <c r="W153" s="97"/>
      <c r="X153" s="97"/>
      <c r="Y153" s="97"/>
      <c r="Z153" s="97"/>
      <c r="AA153" s="93"/>
      <c r="AB153" s="93"/>
      <c r="AC153" s="93"/>
      <c r="AD153" s="93"/>
      <c r="AE153" s="93"/>
      <c r="AF153" s="93"/>
      <c r="AG153" s="93"/>
      <c r="AH153" s="93"/>
      <c r="AI153" s="93"/>
      <c r="AJ153" s="93"/>
      <c r="AK153" s="93"/>
      <c r="AL153" s="93"/>
    </row>
    <row r="154" spans="1:38" s="98" customFormat="1" x14ac:dyDescent="0.25">
      <c r="A154" s="99">
        <v>45362</v>
      </c>
      <c r="B154" s="50" t="s">
        <v>163</v>
      </c>
      <c r="C154" s="101">
        <v>-11000</v>
      </c>
      <c r="D154" s="157" t="s">
        <v>532</v>
      </c>
      <c r="E154" s="157"/>
      <c r="F154" s="157"/>
      <c r="G154" s="93"/>
      <c r="H154" s="93"/>
      <c r="I154" s="93"/>
      <c r="J154" s="93"/>
      <c r="K154" s="93">
        <f>C154</f>
        <v>-11000</v>
      </c>
      <c r="L154" s="93"/>
      <c r="M154" s="93"/>
      <c r="N154" s="93"/>
      <c r="O154" s="93"/>
      <c r="P154" s="93"/>
      <c r="Q154" s="93"/>
      <c r="R154" s="97"/>
      <c r="S154" s="97"/>
      <c r="T154" s="97"/>
      <c r="U154" s="97"/>
      <c r="V154" s="97"/>
      <c r="W154" s="97"/>
      <c r="X154" s="97"/>
      <c r="Y154" s="97"/>
      <c r="Z154" s="97"/>
      <c r="AA154" s="93"/>
      <c r="AB154" s="93"/>
      <c r="AC154" s="93"/>
      <c r="AD154" s="93"/>
      <c r="AE154" s="93"/>
      <c r="AF154" s="93"/>
      <c r="AG154" s="93"/>
      <c r="AH154" s="93"/>
      <c r="AI154" s="93"/>
      <c r="AJ154" s="93"/>
      <c r="AK154" s="93"/>
      <c r="AL154" s="93"/>
    </row>
    <row r="155" spans="1:38" s="98" customFormat="1" x14ac:dyDescent="0.25">
      <c r="A155" s="99">
        <v>45362</v>
      </c>
      <c r="B155" s="50" t="s">
        <v>723</v>
      </c>
      <c r="C155" s="101">
        <v>-153000</v>
      </c>
      <c r="D155" s="157" t="s">
        <v>535</v>
      </c>
      <c r="E155" s="157"/>
      <c r="F155" s="157"/>
      <c r="G155" s="93"/>
      <c r="H155" s="93"/>
      <c r="I155" s="93"/>
      <c r="J155" s="93"/>
      <c r="K155" s="93"/>
      <c r="L155" s="93"/>
      <c r="M155" s="93"/>
      <c r="N155" s="93"/>
      <c r="O155" s="93"/>
      <c r="P155" s="93"/>
      <c r="Q155" s="93"/>
      <c r="R155" s="97"/>
      <c r="S155" s="97"/>
      <c r="T155" s="97"/>
      <c r="U155" s="97"/>
      <c r="V155" s="97"/>
      <c r="W155" s="97"/>
      <c r="X155" s="97"/>
      <c r="Y155" s="97"/>
      <c r="Z155" s="97"/>
      <c r="AA155" s="93"/>
      <c r="AB155" s="93"/>
      <c r="AC155" s="93"/>
      <c r="AD155" s="93"/>
      <c r="AE155" s="93"/>
      <c r="AF155" s="93"/>
      <c r="AG155" s="93">
        <f>C155</f>
        <v>-153000</v>
      </c>
      <c r="AH155" s="93"/>
      <c r="AI155" s="93"/>
      <c r="AJ155" s="93"/>
      <c r="AK155" s="93"/>
      <c r="AL155" s="93"/>
    </row>
    <row r="156" spans="1:38" s="98" customFormat="1" x14ac:dyDescent="0.25">
      <c r="A156" s="99">
        <v>45362</v>
      </c>
      <c r="B156" s="50" t="s">
        <v>726</v>
      </c>
      <c r="C156" s="101">
        <v>-152500</v>
      </c>
      <c r="D156" s="157" t="s">
        <v>141</v>
      </c>
      <c r="E156" s="157"/>
      <c r="F156" s="157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7"/>
      <c r="S156" s="97"/>
      <c r="T156" s="97"/>
      <c r="U156" s="97"/>
      <c r="V156" s="97"/>
      <c r="W156" s="97"/>
      <c r="X156" s="97"/>
      <c r="Y156" s="97"/>
      <c r="Z156" s="97"/>
      <c r="AA156" s="93"/>
      <c r="AB156" s="93"/>
      <c r="AC156" s="93"/>
      <c r="AD156" s="93"/>
      <c r="AE156" s="93"/>
      <c r="AF156" s="93"/>
      <c r="AG156" s="93"/>
      <c r="AH156" s="93"/>
      <c r="AI156" s="93"/>
      <c r="AJ156" s="93">
        <f>C156</f>
        <v>-152500</v>
      </c>
      <c r="AK156" s="93"/>
      <c r="AL156" s="93"/>
    </row>
    <row r="157" spans="1:38" s="98" customFormat="1" x14ac:dyDescent="0.25">
      <c r="A157" s="99">
        <v>45362</v>
      </c>
      <c r="B157" s="50" t="s">
        <v>267</v>
      </c>
      <c r="C157" s="101">
        <v>-1250000</v>
      </c>
      <c r="D157" s="157" t="s">
        <v>535</v>
      </c>
      <c r="E157" s="157"/>
      <c r="F157" s="157"/>
      <c r="G157" s="93"/>
      <c r="H157" s="93"/>
      <c r="I157" s="93"/>
      <c r="J157" s="93"/>
      <c r="K157" s="93"/>
      <c r="L157" s="93"/>
      <c r="M157" s="93"/>
      <c r="N157" s="93"/>
      <c r="O157" s="93"/>
      <c r="P157" s="93"/>
      <c r="Q157" s="93"/>
      <c r="R157" s="97"/>
      <c r="S157" s="97"/>
      <c r="T157" s="97"/>
      <c r="U157" s="97"/>
      <c r="V157" s="97"/>
      <c r="W157" s="97"/>
      <c r="X157" s="97"/>
      <c r="Y157" s="97"/>
      <c r="Z157" s="97"/>
      <c r="AA157" s="93"/>
      <c r="AB157" s="93"/>
      <c r="AC157" s="93"/>
      <c r="AD157" s="93"/>
      <c r="AE157" s="93"/>
      <c r="AF157" s="93"/>
      <c r="AG157" s="93">
        <f>C157</f>
        <v>-1250000</v>
      </c>
      <c r="AH157" s="93"/>
      <c r="AI157" s="93"/>
      <c r="AJ157" s="93"/>
      <c r="AK157" s="93"/>
      <c r="AL157" s="93"/>
    </row>
    <row r="158" spans="1:38" s="98" customFormat="1" x14ac:dyDescent="0.25">
      <c r="A158" s="99">
        <v>45363</v>
      </c>
      <c r="B158" s="50" t="s">
        <v>163</v>
      </c>
      <c r="C158" s="101">
        <v>-11000</v>
      </c>
      <c r="D158" s="157" t="s">
        <v>532</v>
      </c>
      <c r="E158" s="157"/>
      <c r="F158" s="157"/>
      <c r="G158" s="93"/>
      <c r="H158" s="93"/>
      <c r="I158" s="93"/>
      <c r="J158" s="93"/>
      <c r="K158" s="93">
        <f>C158</f>
        <v>-11000</v>
      </c>
      <c r="L158" s="93"/>
      <c r="M158" s="93"/>
      <c r="N158" s="93"/>
      <c r="O158" s="93"/>
      <c r="P158" s="93"/>
      <c r="Q158" s="93"/>
      <c r="R158" s="97"/>
      <c r="S158" s="97"/>
      <c r="T158" s="97"/>
      <c r="U158" s="97"/>
      <c r="V158" s="97"/>
      <c r="W158" s="97"/>
      <c r="X158" s="97"/>
      <c r="Y158" s="97"/>
      <c r="Z158" s="97"/>
      <c r="AA158" s="93"/>
      <c r="AB158" s="93"/>
      <c r="AC158" s="93"/>
      <c r="AD158" s="93"/>
      <c r="AE158" s="93"/>
      <c r="AF158" s="93"/>
      <c r="AG158" s="93"/>
      <c r="AH158" s="93"/>
      <c r="AI158" s="93"/>
      <c r="AJ158" s="93"/>
      <c r="AK158" s="93"/>
      <c r="AL158" s="93"/>
    </row>
    <row r="159" spans="1:38" s="98" customFormat="1" x14ac:dyDescent="0.25">
      <c r="A159" s="99">
        <v>45363</v>
      </c>
      <c r="B159" s="50" t="s">
        <v>731</v>
      </c>
      <c r="C159" s="101">
        <v>-289000</v>
      </c>
      <c r="D159" s="157" t="s">
        <v>533</v>
      </c>
      <c r="E159" s="157"/>
      <c r="F159" s="157"/>
      <c r="G159" s="93"/>
      <c r="H159" s="93">
        <f>C159</f>
        <v>-289000</v>
      </c>
      <c r="I159" s="93"/>
      <c r="J159" s="93"/>
      <c r="K159" s="93"/>
      <c r="L159" s="93"/>
      <c r="M159" s="93"/>
      <c r="N159" s="93"/>
      <c r="O159" s="93"/>
      <c r="P159" s="93"/>
      <c r="Q159" s="93"/>
      <c r="R159" s="97"/>
      <c r="S159" s="97"/>
      <c r="T159" s="97"/>
      <c r="U159" s="97"/>
      <c r="V159" s="97"/>
      <c r="W159" s="97"/>
      <c r="X159" s="97"/>
      <c r="Y159" s="97"/>
      <c r="Z159" s="97"/>
      <c r="AA159" s="93"/>
      <c r="AB159" s="93"/>
      <c r="AC159" s="93"/>
      <c r="AD159" s="93"/>
      <c r="AE159" s="93"/>
      <c r="AF159" s="93"/>
      <c r="AG159" s="93"/>
      <c r="AH159" s="93"/>
      <c r="AI159" s="93"/>
      <c r="AJ159" s="93"/>
      <c r="AK159" s="93"/>
      <c r="AL159" s="93"/>
    </row>
    <row r="160" spans="1:38" s="98" customFormat="1" x14ac:dyDescent="0.25">
      <c r="A160" s="99">
        <v>45363</v>
      </c>
      <c r="B160" s="50" t="s">
        <v>733</v>
      </c>
      <c r="C160" s="101">
        <v>-100000</v>
      </c>
      <c r="D160" s="157" t="s">
        <v>532</v>
      </c>
      <c r="E160" s="157"/>
      <c r="F160" s="157"/>
      <c r="G160" s="93"/>
      <c r="H160" s="93"/>
      <c r="I160" s="93"/>
      <c r="J160" s="93"/>
      <c r="K160" s="93">
        <f>C160</f>
        <v>-100000</v>
      </c>
      <c r="L160" s="93"/>
      <c r="M160" s="93"/>
      <c r="N160" s="93"/>
      <c r="O160" s="93"/>
      <c r="P160" s="93"/>
      <c r="Q160" s="93"/>
      <c r="R160" s="97"/>
      <c r="S160" s="97"/>
      <c r="T160" s="97"/>
      <c r="U160" s="97"/>
      <c r="V160" s="97"/>
      <c r="W160" s="97"/>
      <c r="X160" s="97"/>
      <c r="Y160" s="97"/>
      <c r="Z160" s="97"/>
      <c r="AA160" s="93"/>
      <c r="AB160" s="93"/>
      <c r="AC160" s="93"/>
      <c r="AD160" s="93"/>
      <c r="AE160" s="93"/>
      <c r="AF160" s="93"/>
      <c r="AG160" s="93"/>
      <c r="AH160" s="93"/>
      <c r="AI160" s="93"/>
      <c r="AJ160" s="93"/>
      <c r="AK160" s="93"/>
      <c r="AL160" s="93"/>
    </row>
    <row r="161" spans="1:38" s="98" customFormat="1" x14ac:dyDescent="0.25">
      <c r="A161" s="99">
        <v>45363</v>
      </c>
      <c r="B161" s="50" t="s">
        <v>735</v>
      </c>
      <c r="C161" s="101">
        <v>-1246500</v>
      </c>
      <c r="D161" s="157" t="s">
        <v>278</v>
      </c>
      <c r="E161" s="157"/>
      <c r="F161" s="157"/>
      <c r="G161" s="93"/>
      <c r="H161" s="93"/>
      <c r="I161" s="93"/>
      <c r="J161" s="93"/>
      <c r="K161" s="93"/>
      <c r="L161" s="93"/>
      <c r="M161" s="93"/>
      <c r="N161" s="93"/>
      <c r="O161" s="93"/>
      <c r="P161" s="93"/>
      <c r="Q161" s="93"/>
      <c r="R161" s="97"/>
      <c r="S161" s="97"/>
      <c r="T161" s="97"/>
      <c r="U161" s="97"/>
      <c r="V161" s="97"/>
      <c r="W161" s="97"/>
      <c r="X161" s="97"/>
      <c r="Y161" s="97"/>
      <c r="Z161" s="97"/>
      <c r="AA161" s="93"/>
      <c r="AB161" s="93"/>
      <c r="AC161" s="93"/>
      <c r="AD161" s="93"/>
      <c r="AE161" s="93"/>
      <c r="AF161" s="93">
        <f>C161</f>
        <v>-1246500</v>
      </c>
      <c r="AG161" s="93"/>
      <c r="AH161" s="93"/>
      <c r="AI161" s="93"/>
      <c r="AJ161" s="93"/>
      <c r="AK161" s="93"/>
      <c r="AL161" s="93"/>
    </row>
    <row r="162" spans="1:38" s="98" customFormat="1" x14ac:dyDescent="0.25">
      <c r="A162" s="99">
        <v>45363</v>
      </c>
      <c r="B162" s="50" t="s">
        <v>736</v>
      </c>
      <c r="C162" s="101">
        <v>-1650000</v>
      </c>
      <c r="D162" s="157" t="s">
        <v>535</v>
      </c>
      <c r="E162" s="157"/>
      <c r="F162" s="157"/>
      <c r="G162" s="93"/>
      <c r="H162" s="93"/>
      <c r="I162" s="93"/>
      <c r="J162" s="93"/>
      <c r="K162" s="93"/>
      <c r="L162" s="93"/>
      <c r="M162" s="93"/>
      <c r="N162" s="93"/>
      <c r="O162" s="93"/>
      <c r="P162" s="93"/>
      <c r="Q162" s="93"/>
      <c r="R162" s="97"/>
      <c r="S162" s="97"/>
      <c r="T162" s="97"/>
      <c r="U162" s="97"/>
      <c r="V162" s="97"/>
      <c r="W162" s="97"/>
      <c r="X162" s="97"/>
      <c r="Y162" s="97"/>
      <c r="Z162" s="97"/>
      <c r="AA162" s="93"/>
      <c r="AB162" s="93"/>
      <c r="AC162" s="93"/>
      <c r="AD162" s="93"/>
      <c r="AE162" s="93"/>
      <c r="AF162" s="93"/>
      <c r="AG162" s="93">
        <f>C162</f>
        <v>-1650000</v>
      </c>
      <c r="AH162" s="93"/>
      <c r="AI162" s="93"/>
      <c r="AJ162" s="93"/>
      <c r="AK162" s="93"/>
      <c r="AL162" s="93"/>
    </row>
    <row r="163" spans="1:38" s="98" customFormat="1" x14ac:dyDescent="0.25">
      <c r="A163" s="99">
        <v>45363</v>
      </c>
      <c r="B163" s="50" t="s">
        <v>737</v>
      </c>
      <c r="C163" s="101">
        <v>-460000</v>
      </c>
      <c r="D163" s="157" t="s">
        <v>278</v>
      </c>
      <c r="E163" s="157"/>
      <c r="F163" s="157"/>
      <c r="G163" s="93"/>
      <c r="H163" s="93"/>
      <c r="I163" s="93"/>
      <c r="J163" s="93"/>
      <c r="K163" s="93"/>
      <c r="L163" s="93"/>
      <c r="M163" s="93"/>
      <c r="N163" s="93"/>
      <c r="O163" s="93"/>
      <c r="P163" s="93"/>
      <c r="Q163" s="93"/>
      <c r="R163" s="97"/>
      <c r="S163" s="97"/>
      <c r="T163" s="97"/>
      <c r="U163" s="97"/>
      <c r="V163" s="97"/>
      <c r="W163" s="97"/>
      <c r="X163" s="97"/>
      <c r="Y163" s="97"/>
      <c r="Z163" s="97"/>
      <c r="AA163" s="93"/>
      <c r="AB163" s="93"/>
      <c r="AC163" s="93"/>
      <c r="AD163" s="93"/>
      <c r="AE163" s="93"/>
      <c r="AF163" s="93">
        <f>C163</f>
        <v>-460000</v>
      </c>
      <c r="AG163" s="93"/>
      <c r="AH163" s="93"/>
      <c r="AI163" s="93"/>
      <c r="AJ163" s="93"/>
      <c r="AK163" s="93"/>
      <c r="AL163" s="93"/>
    </row>
    <row r="164" spans="1:38" s="98" customFormat="1" x14ac:dyDescent="0.25">
      <c r="A164" s="99">
        <v>45363</v>
      </c>
      <c r="B164" s="50" t="s">
        <v>267</v>
      </c>
      <c r="C164" s="101">
        <v>-720000</v>
      </c>
      <c r="D164" s="157" t="s">
        <v>535</v>
      </c>
      <c r="E164" s="157"/>
      <c r="F164" s="157"/>
      <c r="G164" s="93"/>
      <c r="H164" s="93"/>
      <c r="I164" s="93"/>
      <c r="J164" s="93"/>
      <c r="K164" s="93"/>
      <c r="L164" s="93"/>
      <c r="M164" s="93"/>
      <c r="N164" s="93"/>
      <c r="O164" s="93"/>
      <c r="P164" s="93"/>
      <c r="Q164" s="93"/>
      <c r="R164" s="97"/>
      <c r="S164" s="97"/>
      <c r="T164" s="97"/>
      <c r="U164" s="97"/>
      <c r="V164" s="97"/>
      <c r="W164" s="97"/>
      <c r="X164" s="97"/>
      <c r="Y164" s="97"/>
      <c r="Z164" s="97"/>
      <c r="AA164" s="93"/>
      <c r="AB164" s="93"/>
      <c r="AC164" s="93"/>
      <c r="AD164" s="93"/>
      <c r="AE164" s="93"/>
      <c r="AF164" s="93"/>
      <c r="AG164" s="93">
        <f>C164</f>
        <v>-720000</v>
      </c>
      <c r="AH164" s="93"/>
      <c r="AI164" s="93"/>
      <c r="AJ164" s="93"/>
      <c r="AK164" s="93"/>
      <c r="AL164" s="93"/>
    </row>
    <row r="165" spans="1:38" s="98" customFormat="1" x14ac:dyDescent="0.25">
      <c r="A165" s="99">
        <v>45363</v>
      </c>
      <c r="B165" s="50" t="s">
        <v>304</v>
      </c>
      <c r="C165" s="101">
        <v>-297000</v>
      </c>
      <c r="D165" s="157" t="s">
        <v>928</v>
      </c>
      <c r="E165" s="157"/>
      <c r="F165" s="157"/>
      <c r="G165" s="93"/>
      <c r="H165" s="93"/>
      <c r="I165" s="93"/>
      <c r="J165" s="93"/>
      <c r="K165" s="93"/>
      <c r="L165" s="93"/>
      <c r="M165" s="93"/>
      <c r="N165" s="93"/>
      <c r="O165" s="93"/>
      <c r="P165" s="93"/>
      <c r="Q165" s="93"/>
      <c r="R165" s="97"/>
      <c r="S165" s="97"/>
      <c r="T165" s="97"/>
      <c r="U165" s="97"/>
      <c r="V165" s="97"/>
      <c r="W165" s="97"/>
      <c r="X165" s="97"/>
      <c r="Y165" s="97"/>
      <c r="Z165" s="97"/>
      <c r="AA165" s="93"/>
      <c r="AB165" s="93"/>
      <c r="AC165" s="93"/>
      <c r="AD165" s="93">
        <f>C165</f>
        <v>-297000</v>
      </c>
      <c r="AE165" s="93"/>
      <c r="AF165" s="93"/>
      <c r="AG165" s="93"/>
      <c r="AH165" s="93"/>
      <c r="AI165" s="93"/>
      <c r="AJ165" s="93"/>
      <c r="AK165" s="93"/>
      <c r="AL165" s="93"/>
    </row>
    <row r="166" spans="1:38" s="98" customFormat="1" x14ac:dyDescent="0.25">
      <c r="A166" s="99">
        <v>45363</v>
      </c>
      <c r="B166" s="50" t="s">
        <v>739</v>
      </c>
      <c r="C166" s="101">
        <v>-9000</v>
      </c>
      <c r="D166" s="157" t="s">
        <v>142</v>
      </c>
      <c r="E166" s="157"/>
      <c r="F166" s="157"/>
      <c r="G166" s="93"/>
      <c r="H166" s="93"/>
      <c r="I166" s="93"/>
      <c r="J166" s="93"/>
      <c r="K166" s="93"/>
      <c r="L166" s="93"/>
      <c r="M166" s="93"/>
      <c r="N166" s="93"/>
      <c r="O166" s="93"/>
      <c r="P166" s="93"/>
      <c r="Q166" s="93"/>
      <c r="R166" s="97"/>
      <c r="S166" s="97"/>
      <c r="T166" s="97"/>
      <c r="U166" s="97"/>
      <c r="V166" s="97"/>
      <c r="W166" s="97"/>
      <c r="X166" s="97"/>
      <c r="Y166" s="97"/>
      <c r="Z166" s="97"/>
      <c r="AA166" s="93"/>
      <c r="AB166" s="93"/>
      <c r="AC166" s="93"/>
      <c r="AD166" s="93"/>
      <c r="AE166" s="93"/>
      <c r="AF166" s="93"/>
      <c r="AG166" s="93"/>
      <c r="AH166" s="93"/>
      <c r="AI166" s="93"/>
      <c r="AJ166" s="93"/>
      <c r="AK166" s="93">
        <f>C166</f>
        <v>-9000</v>
      </c>
      <c r="AL166" s="93"/>
    </row>
    <row r="167" spans="1:38" s="98" customFormat="1" x14ac:dyDescent="0.25">
      <c r="A167" s="99">
        <v>45363</v>
      </c>
      <c r="B167" s="50" t="s">
        <v>262</v>
      </c>
      <c r="C167" s="101">
        <v>-639000</v>
      </c>
      <c r="D167" s="157" t="s">
        <v>533</v>
      </c>
      <c r="E167" s="157"/>
      <c r="F167" s="157"/>
      <c r="G167" s="93"/>
      <c r="H167" s="93">
        <f>C167</f>
        <v>-639000</v>
      </c>
      <c r="I167" s="93"/>
      <c r="J167" s="93"/>
      <c r="K167" s="93"/>
      <c r="L167" s="93"/>
      <c r="M167" s="93"/>
      <c r="N167" s="93"/>
      <c r="O167" s="93"/>
      <c r="P167" s="93"/>
      <c r="Q167" s="93"/>
      <c r="R167" s="97"/>
      <c r="S167" s="97"/>
      <c r="T167" s="97"/>
      <c r="U167" s="97"/>
      <c r="V167" s="97"/>
      <c r="W167" s="97"/>
      <c r="X167" s="97"/>
      <c r="Y167" s="97"/>
      <c r="Z167" s="97"/>
      <c r="AA167" s="93"/>
      <c r="AB167" s="93"/>
      <c r="AC167" s="93"/>
      <c r="AD167" s="93"/>
      <c r="AE167" s="93"/>
      <c r="AF167" s="93"/>
      <c r="AG167" s="93"/>
      <c r="AH167" s="93"/>
      <c r="AI167" s="93"/>
      <c r="AJ167" s="93"/>
      <c r="AK167" s="93"/>
      <c r="AL167" s="93"/>
    </row>
    <row r="168" spans="1:38" s="98" customFormat="1" x14ac:dyDescent="0.25">
      <c r="A168" s="99">
        <v>45364</v>
      </c>
      <c r="B168" s="50" t="s">
        <v>163</v>
      </c>
      <c r="C168" s="101">
        <v>-11000</v>
      </c>
      <c r="D168" s="157" t="s">
        <v>532</v>
      </c>
      <c r="E168" s="157"/>
      <c r="F168" s="157"/>
      <c r="G168" s="93"/>
      <c r="H168" s="93"/>
      <c r="I168" s="93"/>
      <c r="J168" s="93"/>
      <c r="K168" s="93">
        <f>C168</f>
        <v>-11000</v>
      </c>
      <c r="L168" s="93"/>
      <c r="M168" s="93"/>
      <c r="N168" s="93"/>
      <c r="O168" s="93"/>
      <c r="P168" s="93"/>
      <c r="Q168" s="93"/>
      <c r="R168" s="97"/>
      <c r="S168" s="97"/>
      <c r="T168" s="97"/>
      <c r="U168" s="97"/>
      <c r="V168" s="97"/>
      <c r="W168" s="97"/>
      <c r="X168" s="97"/>
      <c r="Y168" s="97"/>
      <c r="Z168" s="97"/>
      <c r="AA168" s="93"/>
      <c r="AB168" s="93"/>
      <c r="AC168" s="93"/>
      <c r="AD168" s="93"/>
      <c r="AE168" s="93"/>
      <c r="AF168" s="93"/>
      <c r="AG168" s="93"/>
      <c r="AH168" s="93"/>
      <c r="AI168" s="93"/>
      <c r="AJ168" s="93"/>
      <c r="AK168" s="93"/>
      <c r="AL168" s="93"/>
    </row>
    <row r="169" spans="1:38" s="98" customFormat="1" x14ac:dyDescent="0.25">
      <c r="A169" s="99">
        <v>45364</v>
      </c>
      <c r="B169" s="50" t="s">
        <v>737</v>
      </c>
      <c r="C169" s="101">
        <v>-312000</v>
      </c>
      <c r="D169" s="157" t="s">
        <v>278</v>
      </c>
      <c r="E169" s="157"/>
      <c r="F169" s="157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93"/>
      <c r="R169" s="97"/>
      <c r="S169" s="97"/>
      <c r="T169" s="97"/>
      <c r="U169" s="97"/>
      <c r="V169" s="97"/>
      <c r="W169" s="97"/>
      <c r="X169" s="97"/>
      <c r="Y169" s="97"/>
      <c r="Z169" s="97"/>
      <c r="AA169" s="93"/>
      <c r="AB169" s="93"/>
      <c r="AC169" s="93"/>
      <c r="AD169" s="93"/>
      <c r="AE169" s="93"/>
      <c r="AF169" s="93">
        <f>C169</f>
        <v>-312000</v>
      </c>
      <c r="AG169" s="93"/>
      <c r="AH169" s="93"/>
      <c r="AI169" s="93"/>
      <c r="AJ169" s="93"/>
      <c r="AK169" s="93"/>
      <c r="AL169" s="93"/>
    </row>
    <row r="170" spans="1:38" s="98" customFormat="1" x14ac:dyDescent="0.25">
      <c r="A170" s="99">
        <v>45364</v>
      </c>
      <c r="B170" s="50" t="s">
        <v>274</v>
      </c>
      <c r="C170" s="101">
        <v>-98000</v>
      </c>
      <c r="D170" s="157" t="s">
        <v>27</v>
      </c>
      <c r="E170" s="157"/>
      <c r="F170" s="157"/>
      <c r="G170" s="93"/>
      <c r="H170" s="93"/>
      <c r="I170" s="93">
        <f>C170</f>
        <v>-98000</v>
      </c>
      <c r="J170" s="93"/>
      <c r="K170" s="93"/>
      <c r="L170" s="93"/>
      <c r="M170" s="93"/>
      <c r="N170" s="93"/>
      <c r="O170" s="93"/>
      <c r="P170" s="93"/>
      <c r="Q170" s="93"/>
      <c r="R170" s="97"/>
      <c r="S170" s="97"/>
      <c r="T170" s="97"/>
      <c r="U170" s="97"/>
      <c r="V170" s="97"/>
      <c r="W170" s="97"/>
      <c r="X170" s="97"/>
      <c r="Y170" s="97"/>
      <c r="Z170" s="97"/>
      <c r="AA170" s="93"/>
      <c r="AB170" s="93"/>
      <c r="AC170" s="93"/>
      <c r="AD170" s="93"/>
      <c r="AE170" s="93"/>
      <c r="AF170" s="93"/>
      <c r="AG170" s="93"/>
      <c r="AH170" s="93"/>
      <c r="AI170" s="93"/>
      <c r="AJ170" s="93"/>
      <c r="AK170" s="93"/>
      <c r="AL170" s="93"/>
    </row>
    <row r="171" spans="1:38" s="98" customFormat="1" x14ac:dyDescent="0.25">
      <c r="A171" s="99">
        <v>45364</v>
      </c>
      <c r="B171" s="50" t="s">
        <v>742</v>
      </c>
      <c r="C171" s="101">
        <v>-5781417</v>
      </c>
      <c r="D171" s="157" t="s">
        <v>536</v>
      </c>
      <c r="E171" s="157"/>
      <c r="F171" s="157"/>
      <c r="G171" s="93"/>
      <c r="H171" s="93"/>
      <c r="I171" s="93"/>
      <c r="J171" s="93"/>
      <c r="K171" s="93"/>
      <c r="L171" s="93"/>
      <c r="M171" s="93"/>
      <c r="N171" s="93"/>
      <c r="O171" s="93"/>
      <c r="P171" s="93"/>
      <c r="Q171" s="93"/>
      <c r="R171" s="97"/>
      <c r="S171" s="97"/>
      <c r="T171" s="97"/>
      <c r="U171" s="97"/>
      <c r="V171" s="97"/>
      <c r="W171" s="97"/>
      <c r="X171" s="97"/>
      <c r="Y171" s="97"/>
      <c r="Z171" s="97"/>
      <c r="AA171" s="93"/>
      <c r="AB171" s="93"/>
      <c r="AC171" s="93"/>
      <c r="AD171" s="93"/>
      <c r="AE171" s="93">
        <f>C171</f>
        <v>-5781417</v>
      </c>
      <c r="AF171" s="93"/>
      <c r="AG171" s="93"/>
      <c r="AH171" s="93"/>
      <c r="AI171" s="93"/>
      <c r="AJ171" s="93"/>
      <c r="AK171" s="93"/>
      <c r="AL171" s="93"/>
    </row>
    <row r="172" spans="1:38" s="98" customFormat="1" x14ac:dyDescent="0.25">
      <c r="A172" s="99">
        <v>45364</v>
      </c>
      <c r="B172" s="50" t="s">
        <v>743</v>
      </c>
      <c r="C172" s="101">
        <v>-24025822</v>
      </c>
      <c r="D172" s="157" t="s">
        <v>127</v>
      </c>
      <c r="E172" s="157"/>
      <c r="F172" s="157"/>
      <c r="G172" s="93"/>
      <c r="H172" s="93"/>
      <c r="I172" s="93"/>
      <c r="J172" s="93"/>
      <c r="K172" s="93"/>
      <c r="L172" s="93"/>
      <c r="M172" s="93"/>
      <c r="N172" s="93"/>
      <c r="O172" s="93"/>
      <c r="P172" s="93"/>
      <c r="Q172" s="93"/>
      <c r="R172" s="97"/>
      <c r="S172" s="97">
        <f>C172</f>
        <v>-24025822</v>
      </c>
      <c r="T172" s="97"/>
      <c r="U172" s="97"/>
      <c r="V172" s="97"/>
      <c r="W172" s="97"/>
      <c r="X172" s="97"/>
      <c r="Y172" s="97"/>
      <c r="Z172" s="97"/>
      <c r="AA172" s="93"/>
      <c r="AB172" s="93"/>
      <c r="AC172" s="93"/>
      <c r="AD172" s="93"/>
      <c r="AE172" s="93"/>
      <c r="AF172" s="93"/>
      <c r="AG172" s="93"/>
      <c r="AH172" s="93"/>
      <c r="AI172" s="93"/>
      <c r="AJ172" s="93"/>
      <c r="AK172" s="93"/>
      <c r="AL172" s="93"/>
    </row>
    <row r="173" spans="1:38" s="98" customFormat="1" x14ac:dyDescent="0.25">
      <c r="A173" s="99">
        <v>45364</v>
      </c>
      <c r="B173" s="50" t="s">
        <v>744</v>
      </c>
      <c r="C173" s="101">
        <v>-568600</v>
      </c>
      <c r="D173" s="157" t="s">
        <v>128</v>
      </c>
      <c r="E173" s="157"/>
      <c r="F173" s="157"/>
      <c r="G173" s="93"/>
      <c r="H173" s="93"/>
      <c r="I173" s="93"/>
      <c r="J173" s="93"/>
      <c r="K173" s="93"/>
      <c r="L173" s="93"/>
      <c r="M173" s="93"/>
      <c r="N173" s="93"/>
      <c r="O173" s="93"/>
      <c r="P173" s="93"/>
      <c r="Q173" s="93"/>
      <c r="R173" s="97"/>
      <c r="S173" s="97"/>
      <c r="T173" s="97">
        <f>C173</f>
        <v>-568600</v>
      </c>
      <c r="U173" s="97"/>
      <c r="V173" s="97"/>
      <c r="W173" s="97"/>
      <c r="X173" s="97"/>
      <c r="Y173" s="97"/>
      <c r="Z173" s="97"/>
      <c r="AA173" s="93"/>
      <c r="AB173" s="93"/>
      <c r="AC173" s="93"/>
      <c r="AD173" s="93"/>
      <c r="AE173" s="93"/>
      <c r="AF173" s="93"/>
      <c r="AG173" s="93"/>
      <c r="AH173" s="93"/>
      <c r="AI173" s="93"/>
      <c r="AJ173" s="93"/>
      <c r="AK173" s="93"/>
      <c r="AL173" s="93"/>
    </row>
    <row r="174" spans="1:38" s="98" customFormat="1" x14ac:dyDescent="0.25">
      <c r="A174" s="99">
        <v>45364</v>
      </c>
      <c r="B174" s="50" t="s">
        <v>745</v>
      </c>
      <c r="C174" s="101">
        <v>-63386</v>
      </c>
      <c r="D174" s="157" t="s">
        <v>933</v>
      </c>
      <c r="E174" s="157"/>
      <c r="F174" s="157"/>
      <c r="G174" s="93"/>
      <c r="H174" s="93"/>
      <c r="I174" s="93"/>
      <c r="J174" s="93"/>
      <c r="K174" s="93"/>
      <c r="L174" s="93"/>
      <c r="M174" s="93"/>
      <c r="N174" s="93"/>
      <c r="O174" s="93"/>
      <c r="P174" s="93"/>
      <c r="Q174" s="93"/>
      <c r="R174" s="97"/>
      <c r="S174" s="97"/>
      <c r="T174" s="97"/>
      <c r="U174" s="97"/>
      <c r="V174" s="97">
        <f>C174</f>
        <v>-63386</v>
      </c>
      <c r="W174" s="97"/>
      <c r="X174" s="97"/>
      <c r="Y174" s="97"/>
      <c r="Z174" s="97"/>
      <c r="AA174" s="93"/>
      <c r="AB174" s="93"/>
      <c r="AC174" s="93"/>
      <c r="AD174" s="93"/>
      <c r="AE174" s="93"/>
      <c r="AF174" s="93"/>
      <c r="AG174" s="93"/>
      <c r="AH174" s="93"/>
      <c r="AI174" s="93"/>
      <c r="AJ174" s="93"/>
      <c r="AK174" s="93"/>
      <c r="AL174" s="93"/>
    </row>
    <row r="175" spans="1:38" s="98" customFormat="1" x14ac:dyDescent="0.25">
      <c r="A175" s="99">
        <v>45364</v>
      </c>
      <c r="B175" s="50" t="s">
        <v>280</v>
      </c>
      <c r="C175" s="101">
        <v>-1014267</v>
      </c>
      <c r="D175" s="157" t="s">
        <v>934</v>
      </c>
      <c r="E175" s="157"/>
      <c r="F175" s="157"/>
      <c r="G175" s="93"/>
      <c r="H175" s="93"/>
      <c r="I175" s="93"/>
      <c r="J175" s="93"/>
      <c r="K175" s="93"/>
      <c r="L175" s="93"/>
      <c r="M175" s="93"/>
      <c r="N175" s="93"/>
      <c r="O175" s="93"/>
      <c r="P175" s="93"/>
      <c r="Q175" s="93"/>
      <c r="R175" s="97">
        <f>C175</f>
        <v>-1014267</v>
      </c>
      <c r="S175" s="97"/>
      <c r="T175" s="97"/>
      <c r="U175" s="97"/>
      <c r="V175" s="97"/>
      <c r="W175" s="97"/>
      <c r="X175" s="97"/>
      <c r="Y175" s="97"/>
      <c r="Z175" s="97"/>
      <c r="AA175" s="93"/>
      <c r="AB175" s="93"/>
      <c r="AC175" s="93"/>
      <c r="AD175" s="93"/>
      <c r="AE175" s="93"/>
      <c r="AF175" s="93"/>
      <c r="AG175" s="93"/>
      <c r="AH175" s="93"/>
      <c r="AI175" s="93"/>
      <c r="AJ175" s="93"/>
      <c r="AK175" s="93"/>
      <c r="AL175" s="93"/>
    </row>
    <row r="176" spans="1:38" s="98" customFormat="1" x14ac:dyDescent="0.25">
      <c r="A176" s="99">
        <v>45364</v>
      </c>
      <c r="B176" s="50" t="s">
        <v>746</v>
      </c>
      <c r="C176" s="101">
        <v>-2500000</v>
      </c>
      <c r="D176" s="157" t="s">
        <v>935</v>
      </c>
      <c r="E176" s="157"/>
      <c r="F176" s="157"/>
      <c r="G176" s="93"/>
      <c r="H176" s="93"/>
      <c r="I176" s="93"/>
      <c r="J176" s="93"/>
      <c r="K176" s="93"/>
      <c r="L176" s="93"/>
      <c r="M176" s="93"/>
      <c r="N176" s="93"/>
      <c r="O176" s="93"/>
      <c r="P176" s="93"/>
      <c r="Q176" s="93">
        <f>C176</f>
        <v>-2500000</v>
      </c>
      <c r="R176" s="97"/>
      <c r="S176" s="97"/>
      <c r="T176" s="97"/>
      <c r="U176" s="97"/>
      <c r="V176" s="97"/>
      <c r="W176" s="97"/>
      <c r="X176" s="97"/>
      <c r="Y176" s="97"/>
      <c r="Z176" s="97"/>
      <c r="AA176" s="93"/>
      <c r="AB176" s="93"/>
      <c r="AC176" s="93"/>
      <c r="AD176" s="93"/>
      <c r="AE176" s="93"/>
      <c r="AF176" s="93"/>
      <c r="AG176" s="93"/>
      <c r="AH176" s="93"/>
      <c r="AI176" s="93"/>
      <c r="AJ176" s="93"/>
      <c r="AK176" s="93"/>
      <c r="AL176" s="93"/>
    </row>
    <row r="177" spans="1:38" s="98" customFormat="1" x14ac:dyDescent="0.25">
      <c r="A177" s="99">
        <v>45364</v>
      </c>
      <c r="B177" s="50" t="s">
        <v>747</v>
      </c>
      <c r="C177" s="101">
        <v>-275734</v>
      </c>
      <c r="D177" s="157" t="s">
        <v>936</v>
      </c>
      <c r="E177" s="157"/>
      <c r="F177" s="157"/>
      <c r="G177" s="93"/>
      <c r="H177" s="93"/>
      <c r="I177" s="93"/>
      <c r="J177" s="93"/>
      <c r="K177" s="93"/>
      <c r="L177" s="93"/>
      <c r="M177" s="93"/>
      <c r="N177" s="93"/>
      <c r="O177" s="93"/>
      <c r="P177" s="93">
        <f>C177</f>
        <v>-275734</v>
      </c>
      <c r="Q177" s="93"/>
      <c r="R177" s="97"/>
      <c r="S177" s="97"/>
      <c r="T177" s="97"/>
      <c r="U177" s="97"/>
      <c r="V177" s="97"/>
      <c r="W177" s="97"/>
      <c r="X177" s="97"/>
      <c r="Y177" s="97"/>
      <c r="Z177" s="97"/>
      <c r="AA177" s="93"/>
      <c r="AB177" s="93"/>
      <c r="AC177" s="93"/>
      <c r="AD177" s="93"/>
      <c r="AE177" s="93"/>
      <c r="AF177" s="93"/>
      <c r="AG177" s="93"/>
      <c r="AH177" s="93"/>
      <c r="AI177" s="93"/>
      <c r="AJ177" s="93"/>
      <c r="AK177" s="93"/>
      <c r="AL177" s="93"/>
    </row>
    <row r="178" spans="1:38" s="98" customFormat="1" x14ac:dyDescent="0.25">
      <c r="A178" s="99">
        <v>45364</v>
      </c>
      <c r="B178" s="50" t="s">
        <v>748</v>
      </c>
      <c r="C178" s="101">
        <v>-1121850</v>
      </c>
      <c r="D178" s="157" t="s">
        <v>937</v>
      </c>
      <c r="E178" s="157"/>
      <c r="F178" s="157"/>
      <c r="G178" s="93"/>
      <c r="H178" s="93"/>
      <c r="I178" s="93"/>
      <c r="J178" s="93"/>
      <c r="K178" s="93"/>
      <c r="L178" s="93"/>
      <c r="M178" s="93"/>
      <c r="N178" s="93"/>
      <c r="O178" s="93"/>
      <c r="P178" s="93"/>
      <c r="Q178" s="93"/>
      <c r="R178" s="97"/>
      <c r="S178" s="97"/>
      <c r="T178" s="97"/>
      <c r="U178" s="97"/>
      <c r="V178" s="97"/>
      <c r="W178" s="97"/>
      <c r="X178" s="97"/>
      <c r="Y178" s="97"/>
      <c r="Z178" s="97">
        <f>C178</f>
        <v>-1121850</v>
      </c>
      <c r="AA178" s="93"/>
      <c r="AB178" s="93"/>
      <c r="AC178" s="93"/>
      <c r="AD178" s="93"/>
      <c r="AE178" s="93"/>
      <c r="AF178" s="93"/>
      <c r="AG178" s="93"/>
      <c r="AH178" s="93"/>
      <c r="AI178" s="93"/>
      <c r="AJ178" s="93"/>
      <c r="AK178" s="93"/>
      <c r="AL178" s="93"/>
    </row>
    <row r="179" spans="1:38" s="98" customFormat="1" x14ac:dyDescent="0.25">
      <c r="A179" s="99">
        <v>45364</v>
      </c>
      <c r="B179" s="50" t="s">
        <v>749</v>
      </c>
      <c r="C179" s="101">
        <v>-2282588</v>
      </c>
      <c r="D179" s="157" t="s">
        <v>938</v>
      </c>
      <c r="E179" s="157"/>
      <c r="F179" s="157"/>
      <c r="G179" s="93"/>
      <c r="H179" s="93"/>
      <c r="I179" s="93"/>
      <c r="J179" s="93"/>
      <c r="K179" s="93"/>
      <c r="L179" s="93"/>
      <c r="M179" s="93"/>
      <c r="N179" s="93"/>
      <c r="O179" s="93"/>
      <c r="P179" s="93"/>
      <c r="Q179" s="93"/>
      <c r="R179" s="97"/>
      <c r="S179" s="97"/>
      <c r="T179" s="97"/>
      <c r="U179" s="97"/>
      <c r="V179" s="97"/>
      <c r="W179" s="97"/>
      <c r="X179" s="97"/>
      <c r="Y179" s="97"/>
      <c r="Z179" s="97"/>
      <c r="AA179" s="93">
        <f>C179</f>
        <v>-2282588</v>
      </c>
      <c r="AB179" s="93"/>
      <c r="AC179" s="93"/>
      <c r="AD179" s="93"/>
      <c r="AE179" s="93"/>
      <c r="AF179" s="93"/>
      <c r="AG179" s="93"/>
      <c r="AH179" s="93"/>
      <c r="AI179" s="93"/>
      <c r="AJ179" s="93"/>
      <c r="AK179" s="93"/>
      <c r="AL179" s="93"/>
    </row>
    <row r="180" spans="1:38" s="98" customFormat="1" x14ac:dyDescent="0.25">
      <c r="A180" s="99">
        <v>45364</v>
      </c>
      <c r="B180" s="50" t="s">
        <v>750</v>
      </c>
      <c r="C180" s="101">
        <v>-2000</v>
      </c>
      <c r="D180" s="157" t="s">
        <v>532</v>
      </c>
      <c r="E180" s="157"/>
      <c r="F180" s="157"/>
      <c r="G180" s="93"/>
      <c r="H180" s="93"/>
      <c r="I180" s="93"/>
      <c r="J180" s="93"/>
      <c r="K180" s="93">
        <f>C180</f>
        <v>-2000</v>
      </c>
      <c r="L180" s="93"/>
      <c r="M180" s="93"/>
      <c r="N180" s="93"/>
      <c r="O180" s="93"/>
      <c r="P180" s="93"/>
      <c r="Q180" s="93"/>
      <c r="R180" s="97"/>
      <c r="S180" s="97"/>
      <c r="T180" s="97"/>
      <c r="U180" s="97"/>
      <c r="V180" s="97"/>
      <c r="W180" s="97"/>
      <c r="X180" s="97"/>
      <c r="Y180" s="97"/>
      <c r="Z180" s="97"/>
      <c r="AA180" s="93"/>
      <c r="AB180" s="93"/>
      <c r="AC180" s="93"/>
      <c r="AD180" s="93"/>
      <c r="AE180" s="93"/>
      <c r="AF180" s="93"/>
      <c r="AG180" s="93"/>
      <c r="AH180" s="93"/>
      <c r="AI180" s="93"/>
      <c r="AJ180" s="93"/>
      <c r="AK180" s="93"/>
      <c r="AL180" s="93"/>
    </row>
    <row r="181" spans="1:38" s="98" customFormat="1" x14ac:dyDescent="0.25">
      <c r="A181" s="99">
        <v>45364</v>
      </c>
      <c r="B181" s="50" t="s">
        <v>190</v>
      </c>
      <c r="C181" s="101">
        <v>-230000</v>
      </c>
      <c r="D181" s="157" t="s">
        <v>533</v>
      </c>
      <c r="E181" s="157"/>
      <c r="F181" s="157"/>
      <c r="G181" s="93"/>
      <c r="H181" s="93">
        <f>C181</f>
        <v>-230000</v>
      </c>
      <c r="I181" s="93"/>
      <c r="J181" s="93"/>
      <c r="K181" s="93"/>
      <c r="L181" s="93"/>
      <c r="M181" s="93"/>
      <c r="N181" s="93"/>
      <c r="O181" s="93"/>
      <c r="P181" s="93"/>
      <c r="Q181" s="93"/>
      <c r="R181" s="97"/>
      <c r="S181" s="97"/>
      <c r="T181" s="97"/>
      <c r="U181" s="97"/>
      <c r="V181" s="97"/>
      <c r="W181" s="97"/>
      <c r="X181" s="97"/>
      <c r="Y181" s="97"/>
      <c r="Z181" s="97"/>
      <c r="AA181" s="93"/>
      <c r="AB181" s="93"/>
      <c r="AC181" s="93"/>
      <c r="AD181" s="93"/>
      <c r="AE181" s="93"/>
      <c r="AF181" s="93"/>
      <c r="AG181" s="93"/>
      <c r="AH181" s="93"/>
      <c r="AI181" s="93"/>
      <c r="AJ181" s="93"/>
      <c r="AK181" s="93"/>
      <c r="AL181" s="93"/>
    </row>
    <row r="182" spans="1:38" s="98" customFormat="1" x14ac:dyDescent="0.25">
      <c r="A182" s="99">
        <v>45364</v>
      </c>
      <c r="B182" s="50" t="s">
        <v>752</v>
      </c>
      <c r="C182" s="101">
        <v>-150000</v>
      </c>
      <c r="D182" s="157" t="s">
        <v>536</v>
      </c>
      <c r="E182" s="157"/>
      <c r="F182" s="157"/>
      <c r="G182" s="93"/>
      <c r="H182" s="93"/>
      <c r="I182" s="93"/>
      <c r="J182" s="93"/>
      <c r="K182" s="93"/>
      <c r="L182" s="93"/>
      <c r="M182" s="93"/>
      <c r="N182" s="93"/>
      <c r="O182" s="93"/>
      <c r="P182" s="93"/>
      <c r="Q182" s="93"/>
      <c r="R182" s="97"/>
      <c r="S182" s="97"/>
      <c r="T182" s="97"/>
      <c r="U182" s="97"/>
      <c r="V182" s="97"/>
      <c r="W182" s="97"/>
      <c r="X182" s="97"/>
      <c r="Y182" s="97"/>
      <c r="Z182" s="97"/>
      <c r="AA182" s="93"/>
      <c r="AB182" s="93"/>
      <c r="AC182" s="93"/>
      <c r="AD182" s="93"/>
      <c r="AE182" s="93">
        <f>C182</f>
        <v>-150000</v>
      </c>
      <c r="AF182" s="93"/>
      <c r="AG182" s="93"/>
      <c r="AH182" s="93"/>
      <c r="AI182" s="93"/>
      <c r="AJ182" s="93"/>
      <c r="AK182" s="93"/>
      <c r="AL182" s="93"/>
    </row>
    <row r="183" spans="1:38" s="98" customFormat="1" x14ac:dyDescent="0.25">
      <c r="A183" s="99">
        <v>45364</v>
      </c>
      <c r="B183" s="50" t="s">
        <v>753</v>
      </c>
      <c r="C183" s="101">
        <v>-20000</v>
      </c>
      <c r="D183" s="157" t="s">
        <v>533</v>
      </c>
      <c r="E183" s="157"/>
      <c r="F183" s="157"/>
      <c r="G183" s="93"/>
      <c r="H183" s="93">
        <f>C183</f>
        <v>-20000</v>
      </c>
      <c r="I183" s="93"/>
      <c r="J183" s="93"/>
      <c r="K183" s="93"/>
      <c r="L183" s="93"/>
      <c r="M183" s="93"/>
      <c r="N183" s="93"/>
      <c r="O183" s="93"/>
      <c r="P183" s="93"/>
      <c r="Q183" s="93"/>
      <c r="R183" s="97"/>
      <c r="S183" s="97"/>
      <c r="T183" s="97"/>
      <c r="U183" s="97"/>
      <c r="V183" s="97"/>
      <c r="W183" s="97"/>
      <c r="X183" s="97"/>
      <c r="Y183" s="97"/>
      <c r="Z183" s="97"/>
      <c r="AA183" s="93"/>
      <c r="AB183" s="93"/>
      <c r="AC183" s="93"/>
      <c r="AD183" s="93"/>
      <c r="AE183" s="93"/>
      <c r="AF183" s="93"/>
      <c r="AG183" s="93"/>
      <c r="AH183" s="93"/>
      <c r="AI183" s="93"/>
      <c r="AJ183" s="93"/>
      <c r="AK183" s="93"/>
      <c r="AL183" s="93"/>
    </row>
    <row r="184" spans="1:38" s="98" customFormat="1" x14ac:dyDescent="0.25">
      <c r="A184" s="99">
        <v>45364</v>
      </c>
      <c r="B184" s="50" t="s">
        <v>654</v>
      </c>
      <c r="C184" s="101">
        <v>-126810</v>
      </c>
      <c r="D184" s="157" t="s">
        <v>142</v>
      </c>
      <c r="E184" s="157"/>
      <c r="F184" s="157"/>
      <c r="G184" s="93"/>
      <c r="H184" s="93"/>
      <c r="I184" s="93"/>
      <c r="J184" s="93"/>
      <c r="K184" s="93"/>
      <c r="L184" s="93"/>
      <c r="M184" s="93"/>
      <c r="N184" s="93"/>
      <c r="O184" s="93"/>
      <c r="P184" s="93"/>
      <c r="Q184" s="93"/>
      <c r="R184" s="97"/>
      <c r="S184" s="97"/>
      <c r="T184" s="97"/>
      <c r="U184" s="97"/>
      <c r="V184" s="97"/>
      <c r="W184" s="97"/>
      <c r="X184" s="97"/>
      <c r="Y184" s="97"/>
      <c r="Z184" s="97"/>
      <c r="AA184" s="93"/>
      <c r="AB184" s="93"/>
      <c r="AC184" s="93"/>
      <c r="AD184" s="93"/>
      <c r="AE184" s="93"/>
      <c r="AF184" s="93"/>
      <c r="AG184" s="93"/>
      <c r="AH184" s="93"/>
      <c r="AI184" s="93"/>
      <c r="AJ184" s="93"/>
      <c r="AK184" s="93">
        <f>C184</f>
        <v>-126810</v>
      </c>
      <c r="AL184" s="93"/>
    </row>
    <row r="185" spans="1:38" s="98" customFormat="1" x14ac:dyDescent="0.25">
      <c r="A185" s="99">
        <v>45364</v>
      </c>
      <c r="B185" s="50" t="s">
        <v>754</v>
      </c>
      <c r="C185" s="101">
        <v>-500000</v>
      </c>
      <c r="D185" s="157" t="s">
        <v>278</v>
      </c>
      <c r="E185" s="157"/>
      <c r="F185" s="157"/>
      <c r="G185" s="93"/>
      <c r="H185" s="93"/>
      <c r="I185" s="93"/>
      <c r="J185" s="93"/>
      <c r="K185" s="93"/>
      <c r="L185" s="93"/>
      <c r="M185" s="93"/>
      <c r="N185" s="93"/>
      <c r="O185" s="93"/>
      <c r="P185" s="93"/>
      <c r="Q185" s="93"/>
      <c r="R185" s="97"/>
      <c r="S185" s="97"/>
      <c r="T185" s="97"/>
      <c r="U185" s="97"/>
      <c r="V185" s="97"/>
      <c r="W185" s="97"/>
      <c r="X185" s="97"/>
      <c r="Y185" s="97"/>
      <c r="Z185" s="97"/>
      <c r="AA185" s="93"/>
      <c r="AB185" s="93"/>
      <c r="AC185" s="93"/>
      <c r="AD185" s="93"/>
      <c r="AE185" s="93"/>
      <c r="AF185" s="93">
        <f>C185</f>
        <v>-500000</v>
      </c>
      <c r="AG185" s="93"/>
      <c r="AH185" s="93"/>
      <c r="AI185" s="93"/>
      <c r="AJ185" s="93"/>
      <c r="AK185" s="93"/>
      <c r="AL185" s="93"/>
    </row>
    <row r="186" spans="1:38" s="98" customFormat="1" x14ac:dyDescent="0.25">
      <c r="A186" s="99">
        <v>45364</v>
      </c>
      <c r="B186" s="50" t="s">
        <v>654</v>
      </c>
      <c r="C186" s="101">
        <v>-19000</v>
      </c>
      <c r="D186" s="157" t="s">
        <v>142</v>
      </c>
      <c r="E186" s="157"/>
      <c r="F186" s="157"/>
      <c r="G186" s="93"/>
      <c r="H186" s="93"/>
      <c r="I186" s="93"/>
      <c r="J186" s="93"/>
      <c r="K186" s="93"/>
      <c r="L186" s="93"/>
      <c r="M186" s="93"/>
      <c r="N186" s="93"/>
      <c r="O186" s="93"/>
      <c r="P186" s="93"/>
      <c r="Q186" s="93"/>
      <c r="R186" s="97"/>
      <c r="S186" s="97"/>
      <c r="T186" s="97"/>
      <c r="U186" s="97"/>
      <c r="V186" s="97"/>
      <c r="W186" s="97"/>
      <c r="X186" s="97"/>
      <c r="Y186" s="97"/>
      <c r="Z186" s="97"/>
      <c r="AA186" s="93"/>
      <c r="AB186" s="93"/>
      <c r="AC186" s="93"/>
      <c r="AD186" s="93"/>
      <c r="AE186" s="93"/>
      <c r="AF186" s="93"/>
      <c r="AG186" s="93"/>
      <c r="AH186" s="93"/>
      <c r="AI186" s="93"/>
      <c r="AJ186" s="93"/>
      <c r="AK186" s="93">
        <f>C186</f>
        <v>-19000</v>
      </c>
      <c r="AL186" s="93"/>
    </row>
    <row r="187" spans="1:38" s="98" customFormat="1" x14ac:dyDescent="0.25">
      <c r="A187" s="99">
        <v>45364</v>
      </c>
      <c r="B187" s="50" t="s">
        <v>737</v>
      </c>
      <c r="C187" s="101">
        <v>-335500</v>
      </c>
      <c r="D187" s="157" t="s">
        <v>278</v>
      </c>
      <c r="E187" s="157"/>
      <c r="F187" s="157"/>
      <c r="G187" s="93"/>
      <c r="H187" s="93"/>
      <c r="I187" s="93"/>
      <c r="J187" s="93"/>
      <c r="K187" s="93"/>
      <c r="L187" s="93"/>
      <c r="M187" s="93"/>
      <c r="N187" s="93"/>
      <c r="O187" s="93"/>
      <c r="P187" s="93"/>
      <c r="Q187" s="93"/>
      <c r="R187" s="97"/>
      <c r="S187" s="97"/>
      <c r="T187" s="97"/>
      <c r="U187" s="97"/>
      <c r="V187" s="97"/>
      <c r="W187" s="97"/>
      <c r="X187" s="97"/>
      <c r="Y187" s="97"/>
      <c r="Z187" s="97"/>
      <c r="AA187" s="93"/>
      <c r="AB187" s="93"/>
      <c r="AC187" s="93"/>
      <c r="AD187" s="93"/>
      <c r="AE187" s="93"/>
      <c r="AF187" s="93">
        <f>C187</f>
        <v>-335500</v>
      </c>
      <c r="AG187" s="93"/>
      <c r="AH187" s="93"/>
      <c r="AI187" s="93"/>
      <c r="AJ187" s="93"/>
      <c r="AK187" s="93"/>
      <c r="AL187" s="93"/>
    </row>
    <row r="188" spans="1:38" s="98" customFormat="1" x14ac:dyDescent="0.25">
      <c r="A188" s="99">
        <v>45365</v>
      </c>
      <c r="B188" s="50" t="s">
        <v>163</v>
      </c>
      <c r="C188" s="101">
        <v>-11000</v>
      </c>
      <c r="D188" s="157" t="s">
        <v>532</v>
      </c>
      <c r="E188" s="157"/>
      <c r="F188" s="157"/>
      <c r="G188" s="93"/>
      <c r="H188" s="93"/>
      <c r="I188" s="93"/>
      <c r="J188" s="93"/>
      <c r="K188" s="93">
        <f>C188</f>
        <v>-11000</v>
      </c>
      <c r="L188" s="93"/>
      <c r="M188" s="93"/>
      <c r="N188" s="93"/>
      <c r="O188" s="93"/>
      <c r="P188" s="93"/>
      <c r="Q188" s="93"/>
      <c r="R188" s="97"/>
      <c r="S188" s="97"/>
      <c r="T188" s="97"/>
      <c r="U188" s="97"/>
      <c r="V188" s="97"/>
      <c r="W188" s="97"/>
      <c r="X188" s="97"/>
      <c r="Y188" s="97"/>
      <c r="Z188" s="97"/>
      <c r="AA188" s="93"/>
      <c r="AB188" s="93"/>
      <c r="AC188" s="93"/>
      <c r="AD188" s="93"/>
      <c r="AE188" s="93"/>
      <c r="AF188" s="93"/>
      <c r="AG188" s="93"/>
      <c r="AH188" s="93"/>
      <c r="AI188" s="93"/>
      <c r="AJ188" s="93"/>
      <c r="AK188" s="93"/>
      <c r="AL188" s="93"/>
    </row>
    <row r="189" spans="1:38" s="98" customFormat="1" x14ac:dyDescent="0.25">
      <c r="A189" s="99">
        <v>45365</v>
      </c>
      <c r="B189" s="50" t="s">
        <v>264</v>
      </c>
      <c r="C189" s="101">
        <v>-33500</v>
      </c>
      <c r="D189" s="157" t="s">
        <v>533</v>
      </c>
      <c r="E189" s="157"/>
      <c r="F189" s="157"/>
      <c r="G189" s="93"/>
      <c r="H189" s="93">
        <f>C189</f>
        <v>-33500</v>
      </c>
      <c r="I189" s="93"/>
      <c r="J189" s="93"/>
      <c r="K189" s="93"/>
      <c r="L189" s="93"/>
      <c r="M189" s="93"/>
      <c r="N189" s="93"/>
      <c r="O189" s="93"/>
      <c r="P189" s="93"/>
      <c r="Q189" s="93"/>
      <c r="R189" s="97"/>
      <c r="S189" s="97"/>
      <c r="T189" s="97"/>
      <c r="U189" s="97"/>
      <c r="V189" s="97"/>
      <c r="W189" s="97"/>
      <c r="X189" s="97"/>
      <c r="Y189" s="97"/>
      <c r="Z189" s="97"/>
      <c r="AA189" s="93"/>
      <c r="AB189" s="93"/>
      <c r="AC189" s="93"/>
      <c r="AD189" s="93"/>
      <c r="AE189" s="93"/>
      <c r="AF189" s="93"/>
      <c r="AG189" s="93"/>
      <c r="AH189" s="93"/>
      <c r="AI189" s="93"/>
      <c r="AJ189" s="93"/>
      <c r="AK189" s="93"/>
      <c r="AL189" s="93"/>
    </row>
    <row r="190" spans="1:38" s="98" customFormat="1" x14ac:dyDescent="0.25">
      <c r="A190" s="99">
        <v>45365</v>
      </c>
      <c r="B190" s="50" t="s">
        <v>184</v>
      </c>
      <c r="C190" s="101">
        <v>-680000</v>
      </c>
      <c r="D190" s="157" t="s">
        <v>533</v>
      </c>
      <c r="E190" s="157"/>
      <c r="F190" s="157"/>
      <c r="G190" s="93"/>
      <c r="H190" s="93">
        <f>C190</f>
        <v>-680000</v>
      </c>
      <c r="I190" s="93"/>
      <c r="J190" s="93"/>
      <c r="K190" s="93"/>
      <c r="L190" s="93"/>
      <c r="M190" s="93"/>
      <c r="N190" s="93"/>
      <c r="O190" s="93"/>
      <c r="P190" s="93"/>
      <c r="Q190" s="93"/>
      <c r="R190" s="97"/>
      <c r="S190" s="97"/>
      <c r="T190" s="97"/>
      <c r="U190" s="97"/>
      <c r="V190" s="97"/>
      <c r="W190" s="97"/>
      <c r="X190" s="97"/>
      <c r="Y190" s="97"/>
      <c r="Z190" s="97"/>
      <c r="AA190" s="93"/>
      <c r="AB190" s="93"/>
      <c r="AC190" s="93"/>
      <c r="AD190" s="93"/>
      <c r="AE190" s="93"/>
      <c r="AF190" s="93"/>
      <c r="AG190" s="93"/>
      <c r="AH190" s="93"/>
      <c r="AI190" s="93"/>
      <c r="AJ190" s="93"/>
      <c r="AK190" s="93"/>
      <c r="AL190" s="93"/>
    </row>
    <row r="191" spans="1:38" s="98" customFormat="1" x14ac:dyDescent="0.25">
      <c r="A191" s="99">
        <v>45365</v>
      </c>
      <c r="B191" s="50" t="s">
        <v>759</v>
      </c>
      <c r="C191" s="101">
        <v>-1000000</v>
      </c>
      <c r="D191" s="157" t="s">
        <v>535</v>
      </c>
      <c r="E191" s="157"/>
      <c r="F191" s="157"/>
      <c r="G191" s="93"/>
      <c r="H191" s="93"/>
      <c r="I191" s="93"/>
      <c r="J191" s="93"/>
      <c r="K191" s="93"/>
      <c r="L191" s="93"/>
      <c r="M191" s="93"/>
      <c r="N191" s="93"/>
      <c r="O191" s="93"/>
      <c r="P191" s="93"/>
      <c r="Q191" s="93"/>
      <c r="R191" s="97"/>
      <c r="S191" s="97"/>
      <c r="T191" s="97"/>
      <c r="U191" s="97"/>
      <c r="V191" s="97"/>
      <c r="W191" s="97"/>
      <c r="X191" s="97"/>
      <c r="Y191" s="97"/>
      <c r="Z191" s="97"/>
      <c r="AA191" s="93"/>
      <c r="AB191" s="93"/>
      <c r="AC191" s="93"/>
      <c r="AD191" s="93"/>
      <c r="AE191" s="93"/>
      <c r="AF191" s="93"/>
      <c r="AG191" s="93">
        <f>C191</f>
        <v>-1000000</v>
      </c>
      <c r="AH191" s="93"/>
      <c r="AI191" s="93"/>
      <c r="AJ191" s="93"/>
      <c r="AK191" s="93"/>
      <c r="AL191" s="93"/>
    </row>
    <row r="192" spans="1:38" s="98" customFormat="1" x14ac:dyDescent="0.25">
      <c r="A192" s="99">
        <v>45365</v>
      </c>
      <c r="B192" s="50" t="s">
        <v>762</v>
      </c>
      <c r="C192" s="101">
        <v>-285000</v>
      </c>
      <c r="D192" s="157" t="s">
        <v>278</v>
      </c>
      <c r="E192" s="157"/>
      <c r="F192" s="157"/>
      <c r="G192" s="93"/>
      <c r="H192" s="93"/>
      <c r="I192" s="93"/>
      <c r="J192" s="93"/>
      <c r="K192" s="93"/>
      <c r="L192" s="93"/>
      <c r="M192" s="93"/>
      <c r="N192" s="93"/>
      <c r="O192" s="93"/>
      <c r="P192" s="93"/>
      <c r="Q192" s="93"/>
      <c r="R192" s="97"/>
      <c r="S192" s="97"/>
      <c r="T192" s="97"/>
      <c r="U192" s="97"/>
      <c r="V192" s="97"/>
      <c r="W192" s="97"/>
      <c r="X192" s="97"/>
      <c r="Y192" s="97"/>
      <c r="Z192" s="97"/>
      <c r="AA192" s="93"/>
      <c r="AB192" s="93"/>
      <c r="AC192" s="93"/>
      <c r="AD192" s="93"/>
      <c r="AE192" s="93"/>
      <c r="AF192" s="93">
        <f>C192</f>
        <v>-285000</v>
      </c>
      <c r="AG192" s="93"/>
      <c r="AH192" s="93"/>
      <c r="AI192" s="93"/>
      <c r="AJ192" s="93"/>
      <c r="AK192" s="93"/>
      <c r="AL192" s="93"/>
    </row>
    <row r="193" spans="1:38" s="98" customFormat="1" x14ac:dyDescent="0.25">
      <c r="A193" s="99">
        <v>45365</v>
      </c>
      <c r="B193" s="50" t="s">
        <v>763</v>
      </c>
      <c r="C193" s="101">
        <v>-12000000</v>
      </c>
      <c r="D193" s="157" t="s">
        <v>535</v>
      </c>
      <c r="E193" s="157"/>
      <c r="F193" s="157"/>
      <c r="G193" s="93"/>
      <c r="H193" s="93"/>
      <c r="I193" s="93"/>
      <c r="J193" s="93"/>
      <c r="K193" s="93"/>
      <c r="L193" s="93"/>
      <c r="M193" s="93"/>
      <c r="N193" s="93"/>
      <c r="O193" s="93"/>
      <c r="P193" s="93"/>
      <c r="Q193" s="93"/>
      <c r="R193" s="97"/>
      <c r="S193" s="97"/>
      <c r="T193" s="97"/>
      <c r="U193" s="97"/>
      <c r="V193" s="97"/>
      <c r="W193" s="97"/>
      <c r="X193" s="97"/>
      <c r="Y193" s="97"/>
      <c r="Z193" s="97"/>
      <c r="AA193" s="93"/>
      <c r="AB193" s="93"/>
      <c r="AC193" s="93"/>
      <c r="AD193" s="93"/>
      <c r="AE193" s="93"/>
      <c r="AF193" s="93"/>
      <c r="AG193" s="93">
        <f>C193</f>
        <v>-12000000</v>
      </c>
      <c r="AH193" s="93"/>
      <c r="AI193" s="93"/>
      <c r="AJ193" s="93"/>
      <c r="AK193" s="93"/>
      <c r="AL193" s="93"/>
    </row>
    <row r="194" spans="1:38" s="98" customFormat="1" x14ac:dyDescent="0.25">
      <c r="A194" s="99">
        <v>45365</v>
      </c>
      <c r="B194" s="50" t="s">
        <v>764</v>
      </c>
      <c r="C194" s="101">
        <v>-500000</v>
      </c>
      <c r="D194" s="157" t="s">
        <v>932</v>
      </c>
      <c r="E194" s="157"/>
      <c r="F194" s="157"/>
      <c r="G194" s="93"/>
      <c r="H194" s="93"/>
      <c r="I194" s="93"/>
      <c r="J194" s="93"/>
      <c r="K194" s="93"/>
      <c r="L194" s="93"/>
      <c r="M194" s="93"/>
      <c r="N194" s="93"/>
      <c r="O194" s="93"/>
      <c r="P194" s="93"/>
      <c r="Q194" s="93"/>
      <c r="R194" s="97"/>
      <c r="S194" s="97"/>
      <c r="T194" s="97"/>
      <c r="U194" s="97"/>
      <c r="V194" s="97"/>
      <c r="W194" s="97"/>
      <c r="X194" s="97">
        <f>C194</f>
        <v>-500000</v>
      </c>
      <c r="Y194" s="97"/>
      <c r="Z194" s="97"/>
      <c r="AA194" s="93"/>
      <c r="AB194" s="93"/>
      <c r="AC194" s="93"/>
      <c r="AD194" s="93"/>
      <c r="AE194" s="93"/>
      <c r="AF194" s="93"/>
      <c r="AG194" s="93"/>
      <c r="AH194" s="93"/>
      <c r="AI194" s="93"/>
      <c r="AJ194" s="93"/>
      <c r="AK194" s="93"/>
      <c r="AL194" s="93"/>
    </row>
    <row r="195" spans="1:38" s="98" customFormat="1" x14ac:dyDescent="0.25">
      <c r="A195" s="99">
        <v>45365</v>
      </c>
      <c r="B195" s="50" t="s">
        <v>766</v>
      </c>
      <c r="C195" s="101">
        <v>-500000</v>
      </c>
      <c r="D195" s="157" t="s">
        <v>932</v>
      </c>
      <c r="E195" s="157"/>
      <c r="F195" s="157"/>
      <c r="G195" s="93"/>
      <c r="H195" s="93"/>
      <c r="I195" s="93"/>
      <c r="J195" s="93"/>
      <c r="K195" s="93"/>
      <c r="L195" s="93"/>
      <c r="M195" s="93"/>
      <c r="N195" s="93"/>
      <c r="O195" s="93"/>
      <c r="P195" s="93"/>
      <c r="Q195" s="93"/>
      <c r="R195" s="97"/>
      <c r="S195" s="97"/>
      <c r="T195" s="97"/>
      <c r="U195" s="97"/>
      <c r="V195" s="97"/>
      <c r="W195" s="97"/>
      <c r="X195" s="97">
        <f>C195</f>
        <v>-500000</v>
      </c>
      <c r="Y195" s="97"/>
      <c r="Z195" s="97"/>
      <c r="AA195" s="93"/>
      <c r="AB195" s="93"/>
      <c r="AC195" s="93"/>
      <c r="AD195" s="93"/>
      <c r="AE195" s="93"/>
      <c r="AF195" s="93"/>
      <c r="AG195" s="93"/>
      <c r="AH195" s="93"/>
      <c r="AI195" s="93"/>
      <c r="AJ195" s="93"/>
      <c r="AK195" s="93"/>
      <c r="AL195" s="93"/>
    </row>
    <row r="196" spans="1:38" s="98" customFormat="1" x14ac:dyDescent="0.25">
      <c r="A196" s="99">
        <v>45366</v>
      </c>
      <c r="B196" s="50" t="s">
        <v>163</v>
      </c>
      <c r="C196" s="101">
        <v>-11000</v>
      </c>
      <c r="D196" s="157" t="s">
        <v>532</v>
      </c>
      <c r="E196" s="157"/>
      <c r="F196" s="157"/>
      <c r="G196" s="93"/>
      <c r="H196" s="93"/>
      <c r="I196" s="93"/>
      <c r="J196" s="93"/>
      <c r="K196" s="93">
        <f>C196</f>
        <v>-11000</v>
      </c>
      <c r="L196" s="93"/>
      <c r="M196" s="93"/>
      <c r="N196" s="93"/>
      <c r="O196" s="93"/>
      <c r="P196" s="93"/>
      <c r="Q196" s="93"/>
      <c r="R196" s="97"/>
      <c r="S196" s="97"/>
      <c r="T196" s="97"/>
      <c r="U196" s="97"/>
      <c r="V196" s="97"/>
      <c r="W196" s="97"/>
      <c r="X196" s="97"/>
      <c r="Y196" s="97"/>
      <c r="Z196" s="97"/>
      <c r="AA196" s="93"/>
      <c r="AB196" s="93"/>
      <c r="AC196" s="93"/>
      <c r="AD196" s="93"/>
      <c r="AE196" s="93"/>
      <c r="AF196" s="93"/>
      <c r="AG196" s="93"/>
      <c r="AH196" s="93"/>
      <c r="AI196" s="93"/>
      <c r="AJ196" s="93"/>
      <c r="AK196" s="93"/>
      <c r="AL196" s="93"/>
    </row>
    <row r="197" spans="1:38" s="98" customFormat="1" x14ac:dyDescent="0.25">
      <c r="A197" s="99">
        <v>45366</v>
      </c>
      <c r="B197" s="50" t="s">
        <v>264</v>
      </c>
      <c r="C197" s="101">
        <v>-356000</v>
      </c>
      <c r="D197" s="157" t="s">
        <v>533</v>
      </c>
      <c r="E197" s="157"/>
      <c r="F197" s="157"/>
      <c r="G197" s="93"/>
      <c r="H197" s="93">
        <f>C197</f>
        <v>-356000</v>
      </c>
      <c r="I197" s="93"/>
      <c r="J197" s="93"/>
      <c r="K197" s="93"/>
      <c r="L197" s="93"/>
      <c r="M197" s="93"/>
      <c r="N197" s="93"/>
      <c r="O197" s="93"/>
      <c r="P197" s="93"/>
      <c r="Q197" s="93"/>
      <c r="R197" s="97"/>
      <c r="S197" s="97"/>
      <c r="T197" s="97"/>
      <c r="U197" s="97"/>
      <c r="V197" s="97"/>
      <c r="W197" s="97"/>
      <c r="X197" s="97"/>
      <c r="Y197" s="97"/>
      <c r="Z197" s="97"/>
      <c r="AA197" s="93"/>
      <c r="AB197" s="93"/>
      <c r="AC197" s="93"/>
      <c r="AD197" s="93"/>
      <c r="AE197" s="93"/>
      <c r="AF197" s="93"/>
      <c r="AG197" s="93"/>
      <c r="AH197" s="93"/>
      <c r="AI197" s="93"/>
      <c r="AJ197" s="93"/>
      <c r="AK197" s="93"/>
      <c r="AL197" s="93"/>
    </row>
    <row r="198" spans="1:38" s="98" customFormat="1" x14ac:dyDescent="0.25">
      <c r="A198" s="99">
        <v>45366</v>
      </c>
      <c r="B198" s="50" t="s">
        <v>767</v>
      </c>
      <c r="C198" s="101">
        <v>-432000</v>
      </c>
      <c r="D198" s="157" t="s">
        <v>939</v>
      </c>
      <c r="E198" s="157"/>
      <c r="F198" s="157"/>
      <c r="G198" s="93"/>
      <c r="H198" s="93"/>
      <c r="I198" s="93"/>
      <c r="J198" s="93"/>
      <c r="K198" s="93"/>
      <c r="L198" s="93"/>
      <c r="M198" s="93"/>
      <c r="N198" s="93">
        <f>C198</f>
        <v>-432000</v>
      </c>
      <c r="O198" s="93"/>
      <c r="P198" s="93"/>
      <c r="Q198" s="93"/>
      <c r="R198" s="97"/>
      <c r="S198" s="97"/>
      <c r="T198" s="97"/>
      <c r="U198" s="97"/>
      <c r="V198" s="97"/>
      <c r="W198" s="97"/>
      <c r="X198" s="97"/>
      <c r="Y198" s="97"/>
      <c r="Z198" s="97"/>
      <c r="AA198" s="93"/>
      <c r="AB198" s="93"/>
      <c r="AC198" s="93"/>
      <c r="AD198" s="93"/>
      <c r="AE198" s="93"/>
      <c r="AF198" s="93"/>
      <c r="AG198" s="93"/>
      <c r="AH198" s="93"/>
      <c r="AI198" s="93"/>
      <c r="AJ198" s="93"/>
      <c r="AK198" s="93"/>
      <c r="AL198" s="93"/>
    </row>
    <row r="199" spans="1:38" s="98" customFormat="1" x14ac:dyDescent="0.25">
      <c r="A199" s="99">
        <v>45366</v>
      </c>
      <c r="B199" s="50" t="s">
        <v>526</v>
      </c>
      <c r="C199" s="101">
        <v>-38000</v>
      </c>
      <c r="D199" s="157" t="s">
        <v>532</v>
      </c>
      <c r="E199" s="157"/>
      <c r="F199" s="157"/>
      <c r="G199" s="93"/>
      <c r="H199" s="93"/>
      <c r="I199" s="93"/>
      <c r="J199" s="93"/>
      <c r="K199" s="93">
        <f>C199</f>
        <v>-38000</v>
      </c>
      <c r="L199" s="93"/>
      <c r="M199" s="93"/>
      <c r="N199" s="93"/>
      <c r="O199" s="93"/>
      <c r="P199" s="93"/>
      <c r="Q199" s="93"/>
      <c r="R199" s="97"/>
      <c r="S199" s="97"/>
      <c r="T199" s="97"/>
      <c r="U199" s="97"/>
      <c r="V199" s="97"/>
      <c r="W199" s="97"/>
      <c r="X199" s="97"/>
      <c r="Y199" s="97"/>
      <c r="Z199" s="97"/>
      <c r="AA199" s="93"/>
      <c r="AB199" s="93"/>
      <c r="AC199" s="93"/>
      <c r="AD199" s="93"/>
      <c r="AE199" s="93"/>
      <c r="AF199" s="93"/>
      <c r="AG199" s="93"/>
      <c r="AH199" s="93"/>
      <c r="AI199" s="93"/>
      <c r="AJ199" s="93"/>
      <c r="AK199" s="93"/>
      <c r="AL199" s="93"/>
    </row>
    <row r="200" spans="1:38" s="98" customFormat="1" x14ac:dyDescent="0.25">
      <c r="A200" s="99">
        <v>45366</v>
      </c>
      <c r="B200" s="50" t="s">
        <v>768</v>
      </c>
      <c r="C200" s="101">
        <v>-507500</v>
      </c>
      <c r="D200" s="157" t="s">
        <v>927</v>
      </c>
      <c r="E200" s="157"/>
      <c r="F200" s="157"/>
      <c r="G200" s="93"/>
      <c r="H200" s="93"/>
      <c r="I200" s="93"/>
      <c r="J200" s="93"/>
      <c r="K200" s="93"/>
      <c r="L200" s="93">
        <f>C200</f>
        <v>-507500</v>
      </c>
      <c r="M200" s="93"/>
      <c r="N200" s="93"/>
      <c r="O200" s="93"/>
      <c r="P200" s="93"/>
      <c r="Q200" s="93"/>
      <c r="R200" s="97"/>
      <c r="S200" s="97"/>
      <c r="T200" s="97"/>
      <c r="U200" s="97"/>
      <c r="V200" s="97"/>
      <c r="W200" s="97"/>
      <c r="X200" s="97"/>
      <c r="Y200" s="97"/>
      <c r="Z200" s="97"/>
      <c r="AA200" s="93"/>
      <c r="AB200" s="93"/>
      <c r="AC200" s="93"/>
      <c r="AD200" s="93"/>
      <c r="AE200" s="93"/>
      <c r="AF200" s="93"/>
      <c r="AG200" s="93"/>
      <c r="AH200" s="93"/>
      <c r="AI200" s="93"/>
      <c r="AJ200" s="93"/>
      <c r="AK200" s="93"/>
      <c r="AL200" s="93"/>
    </row>
    <row r="201" spans="1:38" s="98" customFormat="1" x14ac:dyDescent="0.25">
      <c r="A201" s="99">
        <v>45366</v>
      </c>
      <c r="B201" s="50" t="s">
        <v>770</v>
      </c>
      <c r="C201" s="101">
        <v>-650000</v>
      </c>
      <c r="D201" s="157" t="s">
        <v>928</v>
      </c>
      <c r="E201" s="157"/>
      <c r="F201" s="157"/>
      <c r="G201" s="93"/>
      <c r="H201" s="93"/>
      <c r="I201" s="93"/>
      <c r="J201" s="93"/>
      <c r="K201" s="93"/>
      <c r="L201" s="93"/>
      <c r="M201" s="93"/>
      <c r="N201" s="93"/>
      <c r="O201" s="93"/>
      <c r="P201" s="93"/>
      <c r="Q201" s="93"/>
      <c r="R201" s="97"/>
      <c r="S201" s="97"/>
      <c r="T201" s="97"/>
      <c r="U201" s="97"/>
      <c r="V201" s="97"/>
      <c r="W201" s="97"/>
      <c r="X201" s="97"/>
      <c r="Y201" s="97"/>
      <c r="Z201" s="97"/>
      <c r="AA201" s="93"/>
      <c r="AB201" s="93"/>
      <c r="AC201" s="93"/>
      <c r="AD201" s="93">
        <f>C201</f>
        <v>-650000</v>
      </c>
      <c r="AE201" s="93"/>
      <c r="AF201" s="93"/>
      <c r="AG201" s="93"/>
      <c r="AH201" s="93"/>
      <c r="AI201" s="93"/>
      <c r="AJ201" s="93"/>
      <c r="AK201" s="93"/>
      <c r="AL201" s="93"/>
    </row>
    <row r="202" spans="1:38" s="98" customFormat="1" x14ac:dyDescent="0.25">
      <c r="A202" s="99">
        <v>45366</v>
      </c>
      <c r="B202" s="50" t="s">
        <v>771</v>
      </c>
      <c r="C202" s="101">
        <v>-300000</v>
      </c>
      <c r="D202" s="157" t="s">
        <v>932</v>
      </c>
      <c r="E202" s="157"/>
      <c r="F202" s="157"/>
      <c r="G202" s="93"/>
      <c r="H202" s="93"/>
      <c r="I202" s="93"/>
      <c r="J202" s="93"/>
      <c r="K202" s="93"/>
      <c r="L202" s="93"/>
      <c r="M202" s="93"/>
      <c r="N202" s="93"/>
      <c r="O202" s="93"/>
      <c r="P202" s="93"/>
      <c r="Q202" s="93"/>
      <c r="R202" s="97"/>
      <c r="S202" s="97"/>
      <c r="T202" s="97"/>
      <c r="U202" s="97"/>
      <c r="V202" s="97"/>
      <c r="W202" s="97"/>
      <c r="X202" s="97">
        <f>C202</f>
        <v>-300000</v>
      </c>
      <c r="Y202" s="97"/>
      <c r="Z202" s="97"/>
      <c r="AA202" s="93"/>
      <c r="AB202" s="93"/>
      <c r="AC202" s="93"/>
      <c r="AD202" s="93"/>
      <c r="AE202" s="93"/>
      <c r="AF202" s="93"/>
      <c r="AG202" s="93"/>
      <c r="AH202" s="93"/>
      <c r="AI202" s="93"/>
      <c r="AJ202" s="93"/>
      <c r="AK202" s="93"/>
      <c r="AL202" s="93"/>
    </row>
    <row r="203" spans="1:38" s="98" customFormat="1" x14ac:dyDescent="0.25">
      <c r="A203" s="99">
        <v>45366</v>
      </c>
      <c r="B203" s="50" t="s">
        <v>772</v>
      </c>
      <c r="C203" s="101">
        <v>-300000</v>
      </c>
      <c r="D203" s="157" t="s">
        <v>932</v>
      </c>
      <c r="E203" s="157"/>
      <c r="F203" s="157"/>
      <c r="G203" s="93"/>
      <c r="H203" s="93"/>
      <c r="I203" s="93"/>
      <c r="J203" s="93"/>
      <c r="K203" s="93"/>
      <c r="L203" s="93"/>
      <c r="M203" s="93"/>
      <c r="N203" s="93"/>
      <c r="O203" s="93"/>
      <c r="P203" s="93"/>
      <c r="Q203" s="93"/>
      <c r="R203" s="97"/>
      <c r="S203" s="97"/>
      <c r="T203" s="97"/>
      <c r="U203" s="97"/>
      <c r="V203" s="97"/>
      <c r="W203" s="97"/>
      <c r="X203" s="97">
        <f>C203</f>
        <v>-300000</v>
      </c>
      <c r="Y203" s="97"/>
      <c r="Z203" s="97"/>
      <c r="AA203" s="93"/>
      <c r="AB203" s="93"/>
      <c r="AC203" s="93"/>
      <c r="AD203" s="93"/>
      <c r="AE203" s="93"/>
      <c r="AF203" s="93"/>
      <c r="AG203" s="93"/>
      <c r="AH203" s="93"/>
      <c r="AI203" s="93"/>
      <c r="AJ203" s="93"/>
      <c r="AK203" s="93"/>
      <c r="AL203" s="93"/>
    </row>
    <row r="204" spans="1:38" s="98" customFormat="1" x14ac:dyDescent="0.25">
      <c r="A204" s="99">
        <v>45366</v>
      </c>
      <c r="B204" s="50" t="s">
        <v>773</v>
      </c>
      <c r="C204" s="101">
        <v>-2000000</v>
      </c>
      <c r="D204" s="157" t="s">
        <v>932</v>
      </c>
      <c r="E204" s="157"/>
      <c r="F204" s="157"/>
      <c r="G204" s="93"/>
      <c r="H204" s="93"/>
      <c r="I204" s="93"/>
      <c r="J204" s="93"/>
      <c r="K204" s="93"/>
      <c r="L204" s="93"/>
      <c r="M204" s="93"/>
      <c r="N204" s="93"/>
      <c r="O204" s="93"/>
      <c r="P204" s="93"/>
      <c r="Q204" s="93"/>
      <c r="R204" s="97"/>
      <c r="S204" s="97"/>
      <c r="T204" s="97"/>
      <c r="U204" s="97"/>
      <c r="V204" s="97"/>
      <c r="W204" s="97"/>
      <c r="X204" s="97">
        <f>C204</f>
        <v>-2000000</v>
      </c>
      <c r="Y204" s="97"/>
      <c r="Z204" s="97"/>
      <c r="AA204" s="93"/>
      <c r="AB204" s="93"/>
      <c r="AC204" s="93"/>
      <c r="AD204" s="93"/>
      <c r="AE204" s="93"/>
      <c r="AF204" s="93"/>
      <c r="AG204" s="93"/>
      <c r="AH204" s="93"/>
      <c r="AI204" s="93"/>
      <c r="AJ204" s="93"/>
      <c r="AK204" s="93"/>
      <c r="AL204" s="93"/>
    </row>
    <row r="205" spans="1:38" s="98" customFormat="1" x14ac:dyDescent="0.25">
      <c r="A205" s="99">
        <v>45366</v>
      </c>
      <c r="B205" s="50" t="s">
        <v>640</v>
      </c>
      <c r="C205" s="101">
        <v>-1390000</v>
      </c>
      <c r="D205" s="157" t="s">
        <v>534</v>
      </c>
      <c r="E205" s="157"/>
      <c r="F205" s="157"/>
      <c r="G205" s="93"/>
      <c r="H205" s="93"/>
      <c r="I205" s="93"/>
      <c r="J205" s="93">
        <f>C205</f>
        <v>-1390000</v>
      </c>
      <c r="K205" s="93"/>
      <c r="L205" s="93"/>
      <c r="M205" s="93"/>
      <c r="N205" s="93"/>
      <c r="O205" s="93"/>
      <c r="P205" s="93"/>
      <c r="Q205" s="93"/>
      <c r="R205" s="97"/>
      <c r="S205" s="97"/>
      <c r="T205" s="97"/>
      <c r="U205" s="97"/>
      <c r="V205" s="97"/>
      <c r="W205" s="97"/>
      <c r="X205" s="97"/>
      <c r="Y205" s="97"/>
      <c r="Z205" s="97"/>
      <c r="AA205" s="93"/>
      <c r="AB205" s="93"/>
      <c r="AC205" s="93"/>
      <c r="AD205" s="93"/>
      <c r="AE205" s="93"/>
      <c r="AF205" s="93"/>
      <c r="AG205" s="93"/>
      <c r="AH205" s="93"/>
      <c r="AI205" s="93"/>
      <c r="AJ205" s="93"/>
      <c r="AK205" s="93"/>
      <c r="AL205" s="93"/>
    </row>
    <row r="206" spans="1:38" s="98" customFormat="1" x14ac:dyDescent="0.25">
      <c r="A206" s="99">
        <v>45367</v>
      </c>
      <c r="B206" s="316" t="s">
        <v>163</v>
      </c>
      <c r="C206" s="101">
        <v>-11000</v>
      </c>
      <c r="D206" s="157" t="s">
        <v>532</v>
      </c>
      <c r="E206" s="157"/>
      <c r="F206" s="157"/>
      <c r="G206" s="93"/>
      <c r="H206" s="93"/>
      <c r="I206" s="93"/>
      <c r="J206" s="93"/>
      <c r="K206" s="93">
        <f>C206</f>
        <v>-11000</v>
      </c>
      <c r="L206" s="93"/>
      <c r="M206" s="93"/>
      <c r="N206" s="93"/>
      <c r="O206" s="93"/>
      <c r="P206" s="93"/>
      <c r="Q206" s="93"/>
      <c r="R206" s="97"/>
      <c r="S206" s="97"/>
      <c r="T206" s="97"/>
      <c r="U206" s="97"/>
      <c r="V206" s="97"/>
      <c r="W206" s="97"/>
      <c r="X206" s="97"/>
      <c r="Y206" s="97"/>
      <c r="Z206" s="97"/>
      <c r="AA206" s="93"/>
      <c r="AB206" s="93"/>
      <c r="AC206" s="93"/>
      <c r="AD206" s="93"/>
      <c r="AE206" s="93"/>
      <c r="AF206" s="93"/>
      <c r="AG206" s="93"/>
      <c r="AH206" s="93"/>
      <c r="AI206" s="93"/>
      <c r="AJ206" s="93"/>
      <c r="AK206" s="93"/>
      <c r="AL206" s="93"/>
    </row>
    <row r="207" spans="1:38" s="98" customFormat="1" x14ac:dyDescent="0.25">
      <c r="A207" s="99">
        <v>45367</v>
      </c>
      <c r="B207" s="316" t="s">
        <v>240</v>
      </c>
      <c r="C207" s="101">
        <v>-1152500</v>
      </c>
      <c r="D207" s="157" t="s">
        <v>535</v>
      </c>
      <c r="E207" s="157"/>
      <c r="F207" s="157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7"/>
      <c r="S207" s="97"/>
      <c r="T207" s="97"/>
      <c r="U207" s="97"/>
      <c r="V207" s="97"/>
      <c r="W207" s="97"/>
      <c r="X207" s="97"/>
      <c r="Y207" s="97"/>
      <c r="Z207" s="97"/>
      <c r="AA207" s="93"/>
      <c r="AB207" s="93"/>
      <c r="AC207" s="93"/>
      <c r="AD207" s="93"/>
      <c r="AE207" s="93"/>
      <c r="AF207" s="93"/>
      <c r="AG207" s="93">
        <f>C207</f>
        <v>-1152500</v>
      </c>
      <c r="AH207" s="93"/>
      <c r="AI207" s="93"/>
      <c r="AJ207" s="93"/>
      <c r="AK207" s="93"/>
      <c r="AL207" s="93"/>
    </row>
    <row r="208" spans="1:38" s="98" customFormat="1" x14ac:dyDescent="0.25">
      <c r="A208" s="99">
        <v>45367</v>
      </c>
      <c r="B208" s="316" t="s">
        <v>737</v>
      </c>
      <c r="C208" s="101">
        <v>-37500</v>
      </c>
      <c r="D208" s="157" t="s">
        <v>278</v>
      </c>
      <c r="E208" s="157"/>
      <c r="F208" s="157"/>
      <c r="G208" s="93"/>
      <c r="H208" s="93"/>
      <c r="I208" s="93"/>
      <c r="J208" s="93"/>
      <c r="K208" s="93"/>
      <c r="L208" s="93"/>
      <c r="M208" s="93"/>
      <c r="N208" s="93"/>
      <c r="O208" s="93"/>
      <c r="P208" s="93"/>
      <c r="Q208" s="93"/>
      <c r="R208" s="97"/>
      <c r="S208" s="97"/>
      <c r="T208" s="97"/>
      <c r="U208" s="97"/>
      <c r="V208" s="97"/>
      <c r="W208" s="97"/>
      <c r="X208" s="97"/>
      <c r="Y208" s="97"/>
      <c r="Z208" s="97"/>
      <c r="AA208" s="93"/>
      <c r="AB208" s="93"/>
      <c r="AC208" s="93"/>
      <c r="AD208" s="93"/>
      <c r="AE208" s="93"/>
      <c r="AF208" s="93">
        <f>C208</f>
        <v>-37500</v>
      </c>
      <c r="AG208" s="93"/>
      <c r="AH208" s="93"/>
      <c r="AI208" s="93"/>
      <c r="AJ208" s="93"/>
      <c r="AK208" s="93"/>
      <c r="AL208" s="93"/>
    </row>
    <row r="209" spans="1:38" s="98" customFormat="1" x14ac:dyDescent="0.25">
      <c r="A209" s="99">
        <v>45367</v>
      </c>
      <c r="B209" s="316" t="s">
        <v>240</v>
      </c>
      <c r="C209" s="101">
        <v>-742000</v>
      </c>
      <c r="D209" s="157" t="s">
        <v>535</v>
      </c>
      <c r="E209" s="157"/>
      <c r="F209" s="157"/>
      <c r="G209" s="93"/>
      <c r="H209" s="93"/>
      <c r="I209" s="93"/>
      <c r="J209" s="93"/>
      <c r="K209" s="93"/>
      <c r="L209" s="93"/>
      <c r="M209" s="93"/>
      <c r="N209" s="93"/>
      <c r="O209" s="93"/>
      <c r="P209" s="93"/>
      <c r="Q209" s="93"/>
      <c r="R209" s="97"/>
      <c r="S209" s="97"/>
      <c r="T209" s="97"/>
      <c r="U209" s="97"/>
      <c r="V209" s="97"/>
      <c r="W209" s="97"/>
      <c r="X209" s="97"/>
      <c r="Y209" s="97"/>
      <c r="Z209" s="97"/>
      <c r="AA209" s="93"/>
      <c r="AB209" s="93"/>
      <c r="AC209" s="93"/>
      <c r="AD209" s="93"/>
      <c r="AE209" s="93"/>
      <c r="AF209" s="93"/>
      <c r="AG209" s="93">
        <f>C209</f>
        <v>-742000</v>
      </c>
      <c r="AH209" s="93"/>
      <c r="AI209" s="93"/>
      <c r="AJ209" s="93"/>
      <c r="AK209" s="93"/>
      <c r="AL209" s="93"/>
    </row>
    <row r="210" spans="1:38" s="98" customFormat="1" x14ac:dyDescent="0.25">
      <c r="A210" s="99">
        <v>45367</v>
      </c>
      <c r="B210" s="316" t="s">
        <v>775</v>
      </c>
      <c r="C210" s="101">
        <v>-15000</v>
      </c>
      <c r="D210" s="157" t="s">
        <v>533</v>
      </c>
      <c r="E210" s="157"/>
      <c r="F210" s="157"/>
      <c r="G210" s="93"/>
      <c r="H210" s="93">
        <f>C210</f>
        <v>-15000</v>
      </c>
      <c r="I210" s="93"/>
      <c r="J210" s="93"/>
      <c r="K210" s="93"/>
      <c r="L210" s="93"/>
      <c r="M210" s="93"/>
      <c r="N210" s="93"/>
      <c r="O210" s="93"/>
      <c r="P210" s="93"/>
      <c r="Q210" s="93"/>
      <c r="R210" s="97"/>
      <c r="S210" s="97"/>
      <c r="T210" s="97"/>
      <c r="U210" s="97"/>
      <c r="V210" s="97"/>
      <c r="W210" s="97"/>
      <c r="X210" s="97"/>
      <c r="Y210" s="97"/>
      <c r="Z210" s="97"/>
      <c r="AA210" s="93"/>
      <c r="AB210" s="93"/>
      <c r="AC210" s="93"/>
      <c r="AD210" s="93"/>
      <c r="AE210" s="93"/>
      <c r="AF210" s="93"/>
      <c r="AG210" s="93"/>
      <c r="AH210" s="93"/>
      <c r="AI210" s="93"/>
      <c r="AJ210" s="93"/>
      <c r="AK210" s="93"/>
      <c r="AL210" s="93"/>
    </row>
    <row r="211" spans="1:38" s="98" customFormat="1" x14ac:dyDescent="0.25">
      <c r="A211" s="99">
        <v>45368</v>
      </c>
      <c r="B211" s="316" t="s">
        <v>163</v>
      </c>
      <c r="C211" s="101">
        <v>-11000</v>
      </c>
      <c r="D211" s="157" t="s">
        <v>532</v>
      </c>
      <c r="E211" s="157"/>
      <c r="F211" s="157"/>
      <c r="G211" s="93"/>
      <c r="H211" s="93"/>
      <c r="I211" s="93"/>
      <c r="J211" s="93"/>
      <c r="K211" s="93">
        <f>C211</f>
        <v>-11000</v>
      </c>
      <c r="L211" s="93"/>
      <c r="M211" s="93"/>
      <c r="N211" s="93"/>
      <c r="O211" s="93"/>
      <c r="P211" s="93"/>
      <c r="Q211" s="93"/>
      <c r="R211" s="97"/>
      <c r="S211" s="97"/>
      <c r="T211" s="97"/>
      <c r="U211" s="97"/>
      <c r="V211" s="97"/>
      <c r="W211" s="97"/>
      <c r="X211" s="97"/>
      <c r="Y211" s="97"/>
      <c r="Z211" s="97"/>
      <c r="AA211" s="93"/>
      <c r="AB211" s="93"/>
      <c r="AC211" s="93"/>
      <c r="AD211" s="93"/>
      <c r="AE211" s="93"/>
      <c r="AF211" s="93"/>
      <c r="AG211" s="93"/>
      <c r="AH211" s="93"/>
      <c r="AI211" s="93"/>
      <c r="AJ211" s="93"/>
      <c r="AK211" s="93"/>
      <c r="AL211" s="93"/>
    </row>
    <row r="212" spans="1:38" s="98" customFormat="1" x14ac:dyDescent="0.25">
      <c r="A212" s="99">
        <v>45368</v>
      </c>
      <c r="B212" s="316" t="s">
        <v>940</v>
      </c>
      <c r="C212" s="101">
        <v>-54000</v>
      </c>
      <c r="D212" s="157" t="s">
        <v>535</v>
      </c>
      <c r="E212" s="157"/>
      <c r="F212" s="157"/>
      <c r="G212" s="93"/>
      <c r="H212" s="93"/>
      <c r="I212" s="93"/>
      <c r="J212" s="93"/>
      <c r="K212" s="93"/>
      <c r="L212" s="93"/>
      <c r="M212" s="93"/>
      <c r="N212" s="93"/>
      <c r="O212" s="93"/>
      <c r="P212" s="93"/>
      <c r="Q212" s="93"/>
      <c r="R212" s="97"/>
      <c r="S212" s="97"/>
      <c r="T212" s="97"/>
      <c r="U212" s="97"/>
      <c r="V212" s="97"/>
      <c r="W212" s="97"/>
      <c r="X212" s="97"/>
      <c r="Y212" s="97"/>
      <c r="Z212" s="97"/>
      <c r="AA212" s="93"/>
      <c r="AB212" s="93"/>
      <c r="AC212" s="93"/>
      <c r="AD212" s="93"/>
      <c r="AE212" s="93"/>
      <c r="AF212" s="93"/>
      <c r="AG212" s="93">
        <f>C212</f>
        <v>-54000</v>
      </c>
      <c r="AH212" s="93"/>
      <c r="AI212" s="93"/>
      <c r="AJ212" s="93"/>
      <c r="AK212" s="93"/>
      <c r="AL212" s="93"/>
    </row>
    <row r="213" spans="1:38" s="98" customFormat="1" x14ac:dyDescent="0.25">
      <c r="A213" s="99">
        <v>45369</v>
      </c>
      <c r="B213" s="316" t="s">
        <v>163</v>
      </c>
      <c r="C213" s="101">
        <v>-11000</v>
      </c>
      <c r="D213" s="157" t="s">
        <v>532</v>
      </c>
      <c r="E213" s="157"/>
      <c r="F213" s="157"/>
      <c r="G213" s="93"/>
      <c r="H213" s="93"/>
      <c r="I213" s="93"/>
      <c r="J213" s="93"/>
      <c r="K213" s="93">
        <f>C213</f>
        <v>-11000</v>
      </c>
      <c r="L213" s="93"/>
      <c r="M213" s="93"/>
      <c r="N213" s="93"/>
      <c r="O213" s="93"/>
      <c r="P213" s="93"/>
      <c r="Q213" s="93"/>
      <c r="R213" s="97"/>
      <c r="S213" s="97"/>
      <c r="T213" s="97"/>
      <c r="U213" s="97"/>
      <c r="V213" s="97"/>
      <c r="W213" s="97"/>
      <c r="X213" s="97"/>
      <c r="Y213" s="97"/>
      <c r="Z213" s="97"/>
      <c r="AA213" s="93"/>
      <c r="AB213" s="93"/>
      <c r="AC213" s="93"/>
      <c r="AD213" s="93"/>
      <c r="AE213" s="93"/>
      <c r="AF213" s="93"/>
      <c r="AG213" s="93"/>
      <c r="AH213" s="93"/>
      <c r="AI213" s="93"/>
      <c r="AJ213" s="93"/>
      <c r="AK213" s="93"/>
      <c r="AL213" s="93"/>
    </row>
    <row r="214" spans="1:38" s="98" customFormat="1" x14ac:dyDescent="0.25">
      <c r="A214" s="99">
        <v>45369</v>
      </c>
      <c r="B214" s="316" t="s">
        <v>780</v>
      </c>
      <c r="C214" s="101">
        <v>-427000</v>
      </c>
      <c r="D214" s="157" t="s">
        <v>535</v>
      </c>
      <c r="E214" s="157"/>
      <c r="F214" s="157"/>
      <c r="G214" s="93"/>
      <c r="H214" s="93"/>
      <c r="I214" s="93"/>
      <c r="J214" s="93"/>
      <c r="K214" s="93"/>
      <c r="L214" s="93"/>
      <c r="M214" s="93"/>
      <c r="N214" s="93"/>
      <c r="O214" s="93"/>
      <c r="P214" s="93"/>
      <c r="Q214" s="93"/>
      <c r="R214" s="97"/>
      <c r="S214" s="97"/>
      <c r="T214" s="97"/>
      <c r="U214" s="97"/>
      <c r="V214" s="97"/>
      <c r="W214" s="97"/>
      <c r="X214" s="97"/>
      <c r="Y214" s="97"/>
      <c r="Z214" s="97"/>
      <c r="AA214" s="93"/>
      <c r="AB214" s="93"/>
      <c r="AC214" s="93"/>
      <c r="AD214" s="93"/>
      <c r="AE214" s="93"/>
      <c r="AF214" s="93"/>
      <c r="AG214" s="93">
        <f>C214</f>
        <v>-427000</v>
      </c>
      <c r="AH214" s="93"/>
      <c r="AI214" s="93"/>
      <c r="AJ214" s="93"/>
      <c r="AK214" s="93"/>
      <c r="AL214" s="93"/>
    </row>
    <row r="215" spans="1:38" s="98" customFormat="1" x14ac:dyDescent="0.25">
      <c r="A215" s="99">
        <v>45369</v>
      </c>
      <c r="B215" s="316" t="s">
        <v>782</v>
      </c>
      <c r="C215" s="101">
        <v>-2493000</v>
      </c>
      <c r="D215" s="157" t="s">
        <v>278</v>
      </c>
      <c r="E215" s="157"/>
      <c r="F215" s="157"/>
      <c r="G215" s="93"/>
      <c r="H215" s="93"/>
      <c r="I215" s="93"/>
      <c r="J215" s="93"/>
      <c r="K215" s="93"/>
      <c r="L215" s="93"/>
      <c r="M215" s="93"/>
      <c r="N215" s="93"/>
      <c r="O215" s="93"/>
      <c r="P215" s="93"/>
      <c r="Q215" s="93"/>
      <c r="R215" s="97"/>
      <c r="S215" s="97"/>
      <c r="T215" s="97"/>
      <c r="U215" s="97"/>
      <c r="V215" s="97"/>
      <c r="W215" s="97"/>
      <c r="X215" s="97"/>
      <c r="Y215" s="97"/>
      <c r="Z215" s="97"/>
      <c r="AA215" s="93"/>
      <c r="AB215" s="93"/>
      <c r="AC215" s="93"/>
      <c r="AD215" s="93"/>
      <c r="AE215" s="93"/>
      <c r="AF215" s="93">
        <f>C215</f>
        <v>-2493000</v>
      </c>
      <c r="AG215" s="93"/>
      <c r="AH215" s="93"/>
      <c r="AI215" s="93"/>
      <c r="AJ215" s="93"/>
      <c r="AK215" s="93"/>
      <c r="AL215" s="93"/>
    </row>
    <row r="216" spans="1:38" s="98" customFormat="1" x14ac:dyDescent="0.25">
      <c r="A216" s="99">
        <v>45369</v>
      </c>
      <c r="B216" s="316" t="s">
        <v>783</v>
      </c>
      <c r="C216" s="101">
        <v>-350000</v>
      </c>
      <c r="D216" s="157" t="s">
        <v>534</v>
      </c>
      <c r="E216" s="157"/>
      <c r="F216" s="157"/>
      <c r="G216" s="93"/>
      <c r="H216" s="93"/>
      <c r="I216" s="93"/>
      <c r="J216" s="93">
        <f>C216</f>
        <v>-350000</v>
      </c>
      <c r="K216" s="93"/>
      <c r="L216" s="93"/>
      <c r="M216" s="93"/>
      <c r="N216" s="93"/>
      <c r="O216" s="93"/>
      <c r="P216" s="93"/>
      <c r="Q216" s="93"/>
      <c r="R216" s="97"/>
      <c r="S216" s="97"/>
      <c r="T216" s="97"/>
      <c r="U216" s="97"/>
      <c r="V216" s="97"/>
      <c r="W216" s="97"/>
      <c r="X216" s="97"/>
      <c r="Y216" s="97"/>
      <c r="Z216" s="97"/>
      <c r="AA216" s="93"/>
      <c r="AB216" s="93"/>
      <c r="AC216" s="93"/>
      <c r="AD216" s="93"/>
      <c r="AE216" s="93"/>
      <c r="AF216" s="93"/>
      <c r="AG216" s="93"/>
      <c r="AH216" s="93"/>
      <c r="AI216" s="93"/>
      <c r="AJ216" s="93"/>
      <c r="AK216" s="93"/>
      <c r="AL216" s="93"/>
    </row>
    <row r="217" spans="1:38" s="98" customFormat="1" x14ac:dyDescent="0.25">
      <c r="A217" s="99">
        <v>45369</v>
      </c>
      <c r="B217" s="316" t="s">
        <v>737</v>
      </c>
      <c r="C217" s="101">
        <v>-165000</v>
      </c>
      <c r="D217" s="157" t="s">
        <v>278</v>
      </c>
      <c r="E217" s="157"/>
      <c r="F217" s="157"/>
      <c r="G217" s="93"/>
      <c r="H217" s="93"/>
      <c r="I217" s="93"/>
      <c r="J217" s="93"/>
      <c r="K217" s="93"/>
      <c r="L217" s="93"/>
      <c r="M217" s="93"/>
      <c r="N217" s="93"/>
      <c r="O217" s="93"/>
      <c r="P217" s="93"/>
      <c r="Q217" s="93"/>
      <c r="R217" s="97"/>
      <c r="S217" s="97"/>
      <c r="T217" s="97"/>
      <c r="U217" s="97"/>
      <c r="V217" s="97"/>
      <c r="W217" s="97"/>
      <c r="X217" s="97"/>
      <c r="Y217" s="97"/>
      <c r="Z217" s="97"/>
      <c r="AA217" s="93"/>
      <c r="AB217" s="93"/>
      <c r="AC217" s="93"/>
      <c r="AD217" s="93"/>
      <c r="AE217" s="93"/>
      <c r="AF217" s="93">
        <f>C217</f>
        <v>-165000</v>
      </c>
      <c r="AG217" s="93"/>
      <c r="AH217" s="93"/>
      <c r="AI217" s="93"/>
      <c r="AJ217" s="93"/>
      <c r="AK217" s="93"/>
      <c r="AL217" s="93"/>
    </row>
    <row r="218" spans="1:38" s="98" customFormat="1" x14ac:dyDescent="0.25">
      <c r="A218" s="99">
        <v>45369</v>
      </c>
      <c r="B218" s="316" t="s">
        <v>786</v>
      </c>
      <c r="C218" s="101">
        <v>-12000</v>
      </c>
      <c r="D218" s="157" t="s">
        <v>142</v>
      </c>
      <c r="E218" s="157"/>
      <c r="F218" s="157"/>
      <c r="G218" s="93"/>
      <c r="H218" s="93"/>
      <c r="I218" s="93"/>
      <c r="J218" s="93"/>
      <c r="K218" s="93"/>
      <c r="L218" s="93"/>
      <c r="M218" s="93"/>
      <c r="N218" s="93"/>
      <c r="O218" s="93"/>
      <c r="P218" s="93"/>
      <c r="Q218" s="93"/>
      <c r="R218" s="97"/>
      <c r="S218" s="97"/>
      <c r="T218" s="97"/>
      <c r="U218" s="97"/>
      <c r="V218" s="97"/>
      <c r="W218" s="97"/>
      <c r="X218" s="97"/>
      <c r="Y218" s="97"/>
      <c r="Z218" s="97"/>
      <c r="AA218" s="93"/>
      <c r="AB218" s="93"/>
      <c r="AC218" s="93"/>
      <c r="AD218" s="93"/>
      <c r="AE218" s="93"/>
      <c r="AF218" s="93"/>
      <c r="AG218" s="93"/>
      <c r="AH218" s="93"/>
      <c r="AI218" s="93"/>
      <c r="AJ218" s="93"/>
      <c r="AK218" s="93">
        <f>C218</f>
        <v>-12000</v>
      </c>
      <c r="AL218" s="93"/>
    </row>
    <row r="219" spans="1:38" s="98" customFormat="1" x14ac:dyDescent="0.25">
      <c r="A219" s="99">
        <v>45370</v>
      </c>
      <c r="B219" s="50" t="s">
        <v>163</v>
      </c>
      <c r="C219" s="101">
        <v>-11000</v>
      </c>
      <c r="D219" s="157" t="s">
        <v>532</v>
      </c>
      <c r="E219" s="157"/>
      <c r="F219" s="157"/>
      <c r="G219" s="93"/>
      <c r="H219" s="93"/>
      <c r="I219" s="93"/>
      <c r="J219" s="93"/>
      <c r="K219" s="93">
        <f>C219</f>
        <v>-11000</v>
      </c>
      <c r="L219" s="93"/>
      <c r="M219" s="93"/>
      <c r="N219" s="93"/>
      <c r="O219" s="93"/>
      <c r="P219" s="93"/>
      <c r="Q219" s="93"/>
      <c r="R219" s="97"/>
      <c r="S219" s="97"/>
      <c r="T219" s="97"/>
      <c r="U219" s="97"/>
      <c r="V219" s="97"/>
      <c r="W219" s="97"/>
      <c r="X219" s="97"/>
      <c r="Y219" s="97"/>
      <c r="Z219" s="97"/>
      <c r="AA219" s="93"/>
      <c r="AB219" s="93"/>
      <c r="AC219" s="93"/>
      <c r="AD219" s="93"/>
      <c r="AE219" s="93"/>
      <c r="AF219" s="93"/>
      <c r="AG219" s="93"/>
      <c r="AH219" s="93"/>
      <c r="AI219" s="93"/>
      <c r="AJ219" s="93"/>
      <c r="AK219" s="93"/>
      <c r="AL219" s="93"/>
    </row>
    <row r="220" spans="1:38" s="98" customFormat="1" x14ac:dyDescent="0.25">
      <c r="A220" s="99">
        <v>45370</v>
      </c>
      <c r="B220" s="50" t="s">
        <v>788</v>
      </c>
      <c r="C220" s="101">
        <v>-100000</v>
      </c>
      <c r="D220" s="157" t="s">
        <v>131</v>
      </c>
      <c r="E220" s="157"/>
      <c r="F220" s="157"/>
      <c r="G220" s="93"/>
      <c r="H220" s="93"/>
      <c r="I220" s="93"/>
      <c r="J220" s="93"/>
      <c r="K220" s="93"/>
      <c r="L220" s="93"/>
      <c r="M220" s="93"/>
      <c r="N220" s="93"/>
      <c r="O220" s="93"/>
      <c r="P220" s="93"/>
      <c r="Q220" s="93"/>
      <c r="R220" s="97"/>
      <c r="S220" s="97"/>
      <c r="T220" s="97"/>
      <c r="U220" s="97"/>
      <c r="V220" s="97"/>
      <c r="W220" s="97"/>
      <c r="X220" s="97"/>
      <c r="Y220" s="97"/>
      <c r="Z220" s="97"/>
      <c r="AA220" s="93"/>
      <c r="AB220" s="93"/>
      <c r="AC220" s="93"/>
      <c r="AD220" s="93"/>
      <c r="AE220" s="93"/>
      <c r="AF220" s="93"/>
      <c r="AG220" s="93"/>
      <c r="AH220" s="93"/>
      <c r="AI220" s="93">
        <f>C220</f>
        <v>-100000</v>
      </c>
      <c r="AJ220" s="93"/>
      <c r="AK220" s="93"/>
      <c r="AL220" s="93"/>
    </row>
    <row r="221" spans="1:38" s="98" customFormat="1" x14ac:dyDescent="0.25">
      <c r="A221" s="99">
        <v>45370</v>
      </c>
      <c r="B221" s="50" t="s">
        <v>737</v>
      </c>
      <c r="C221" s="101">
        <v>-211000</v>
      </c>
      <c r="D221" s="157" t="s">
        <v>278</v>
      </c>
      <c r="E221" s="157"/>
      <c r="F221" s="157"/>
      <c r="G221" s="93"/>
      <c r="H221" s="93"/>
      <c r="I221" s="93"/>
      <c r="J221" s="93"/>
      <c r="K221" s="93"/>
      <c r="L221" s="93"/>
      <c r="M221" s="93"/>
      <c r="N221" s="93"/>
      <c r="O221" s="93"/>
      <c r="P221" s="93"/>
      <c r="Q221" s="93"/>
      <c r="R221" s="97"/>
      <c r="S221" s="97"/>
      <c r="T221" s="97"/>
      <c r="U221" s="97"/>
      <c r="V221" s="97"/>
      <c r="W221" s="97"/>
      <c r="X221" s="97"/>
      <c r="Y221" s="97"/>
      <c r="Z221" s="97"/>
      <c r="AA221" s="93"/>
      <c r="AB221" s="93"/>
      <c r="AC221" s="93"/>
      <c r="AD221" s="93"/>
      <c r="AE221" s="93"/>
      <c r="AF221" s="93">
        <f>C221</f>
        <v>-211000</v>
      </c>
      <c r="AG221" s="93"/>
      <c r="AH221" s="93"/>
      <c r="AI221" s="93"/>
      <c r="AJ221" s="93"/>
      <c r="AK221" s="93"/>
      <c r="AL221" s="93"/>
    </row>
    <row r="222" spans="1:38" s="98" customFormat="1" x14ac:dyDescent="0.25">
      <c r="A222" s="99">
        <v>45370</v>
      </c>
      <c r="B222" s="50" t="s">
        <v>790</v>
      </c>
      <c r="C222" s="101">
        <v>-5190930</v>
      </c>
      <c r="D222" s="157" t="s">
        <v>929</v>
      </c>
      <c r="E222" s="157"/>
      <c r="F222" s="157"/>
      <c r="G222" s="93"/>
      <c r="H222" s="93"/>
      <c r="I222" s="93"/>
      <c r="J222" s="93"/>
      <c r="K222" s="93"/>
      <c r="L222" s="93"/>
      <c r="M222" s="93"/>
      <c r="N222" s="93"/>
      <c r="O222" s="93">
        <f>C222</f>
        <v>-5190930</v>
      </c>
      <c r="P222" s="93"/>
      <c r="Q222" s="93"/>
      <c r="R222" s="97"/>
      <c r="S222" s="97"/>
      <c r="T222" s="97"/>
      <c r="U222" s="97"/>
      <c r="V222" s="97"/>
      <c r="W222" s="97"/>
      <c r="X222" s="97"/>
      <c r="Y222" s="97"/>
      <c r="Z222" s="97"/>
      <c r="AA222" s="93"/>
      <c r="AB222" s="93"/>
      <c r="AC222" s="93"/>
      <c r="AD222" s="93"/>
      <c r="AE222" s="93"/>
      <c r="AF222" s="93"/>
      <c r="AG222" s="93"/>
      <c r="AH222" s="93"/>
      <c r="AI222" s="93"/>
      <c r="AJ222" s="93"/>
      <c r="AK222" s="93"/>
      <c r="AL222" s="93"/>
    </row>
    <row r="223" spans="1:38" s="98" customFormat="1" x14ac:dyDescent="0.25">
      <c r="A223" s="99">
        <v>45370</v>
      </c>
      <c r="B223" s="50" t="s">
        <v>791</v>
      </c>
      <c r="C223" s="101">
        <v>-662356</v>
      </c>
      <c r="D223" s="157" t="s">
        <v>941</v>
      </c>
      <c r="E223" s="157"/>
      <c r="F223" s="157"/>
      <c r="G223" s="93"/>
      <c r="H223" s="93"/>
      <c r="I223" s="93"/>
      <c r="J223" s="93"/>
      <c r="K223" s="93"/>
      <c r="L223" s="93"/>
      <c r="M223" s="93"/>
      <c r="N223" s="93"/>
      <c r="O223" s="93"/>
      <c r="P223" s="93">
        <f>C223</f>
        <v>-662356</v>
      </c>
      <c r="Q223" s="93"/>
      <c r="R223" s="97"/>
      <c r="S223" s="97"/>
      <c r="T223" s="97"/>
      <c r="U223" s="97"/>
      <c r="V223" s="97"/>
      <c r="W223" s="97"/>
      <c r="X223" s="97"/>
      <c r="Y223" s="97"/>
      <c r="Z223" s="97"/>
      <c r="AA223" s="93"/>
      <c r="AB223" s="93"/>
      <c r="AC223" s="93"/>
      <c r="AD223" s="93"/>
      <c r="AE223" s="93"/>
      <c r="AF223" s="93"/>
      <c r="AG223" s="93"/>
      <c r="AH223" s="93"/>
      <c r="AI223" s="93"/>
      <c r="AJ223" s="93"/>
      <c r="AK223" s="93"/>
      <c r="AL223" s="93"/>
    </row>
    <row r="224" spans="1:38" s="98" customFormat="1" x14ac:dyDescent="0.25">
      <c r="A224" s="99">
        <v>45370</v>
      </c>
      <c r="B224" s="50" t="s">
        <v>276</v>
      </c>
      <c r="C224" s="101">
        <v>-717000</v>
      </c>
      <c r="D224" s="157" t="s">
        <v>535</v>
      </c>
      <c r="E224" s="157"/>
      <c r="F224" s="157"/>
      <c r="G224" s="93"/>
      <c r="H224" s="93"/>
      <c r="I224" s="93"/>
      <c r="J224" s="93"/>
      <c r="K224" s="93"/>
      <c r="L224" s="93"/>
      <c r="M224" s="93"/>
      <c r="N224" s="93"/>
      <c r="O224" s="93"/>
      <c r="P224" s="93"/>
      <c r="Q224" s="93"/>
      <c r="R224" s="97"/>
      <c r="S224" s="97"/>
      <c r="T224" s="97"/>
      <c r="U224" s="97"/>
      <c r="V224" s="97"/>
      <c r="W224" s="97"/>
      <c r="X224" s="97"/>
      <c r="Y224" s="97"/>
      <c r="Z224" s="97"/>
      <c r="AA224" s="93"/>
      <c r="AB224" s="93"/>
      <c r="AC224" s="93"/>
      <c r="AD224" s="93"/>
      <c r="AE224" s="93"/>
      <c r="AF224" s="93"/>
      <c r="AG224" s="93">
        <f>C224</f>
        <v>-717000</v>
      </c>
      <c r="AH224" s="93"/>
      <c r="AI224" s="93"/>
      <c r="AJ224" s="93"/>
      <c r="AK224" s="93"/>
      <c r="AL224" s="93"/>
    </row>
    <row r="225" spans="1:38" s="98" customFormat="1" x14ac:dyDescent="0.25">
      <c r="A225" s="99">
        <v>45370</v>
      </c>
      <c r="B225" s="50" t="s">
        <v>792</v>
      </c>
      <c r="C225" s="101">
        <v>-217500</v>
      </c>
      <c r="D225" s="157" t="s">
        <v>928</v>
      </c>
      <c r="E225" s="157"/>
      <c r="F225" s="157"/>
      <c r="G225" s="93"/>
      <c r="H225" s="93"/>
      <c r="I225" s="93"/>
      <c r="J225" s="93"/>
      <c r="K225" s="93"/>
      <c r="L225" s="93"/>
      <c r="M225" s="93"/>
      <c r="N225" s="93"/>
      <c r="O225" s="93"/>
      <c r="P225" s="93"/>
      <c r="Q225" s="93"/>
      <c r="R225" s="97"/>
      <c r="S225" s="97"/>
      <c r="T225" s="97"/>
      <c r="U225" s="97"/>
      <c r="V225" s="97"/>
      <c r="W225" s="97"/>
      <c r="X225" s="97"/>
      <c r="Y225" s="97"/>
      <c r="Z225" s="97"/>
      <c r="AA225" s="93"/>
      <c r="AB225" s="93"/>
      <c r="AC225" s="93"/>
      <c r="AD225" s="93">
        <f>C225</f>
        <v>-217500</v>
      </c>
      <c r="AE225" s="93"/>
      <c r="AF225" s="93"/>
      <c r="AG225" s="93"/>
      <c r="AH225" s="93"/>
      <c r="AI225" s="93"/>
      <c r="AJ225" s="93"/>
      <c r="AK225" s="93"/>
      <c r="AL225" s="93"/>
    </row>
    <row r="226" spans="1:38" s="98" customFormat="1" x14ac:dyDescent="0.25">
      <c r="A226" s="99">
        <v>45370</v>
      </c>
      <c r="B226" s="50" t="s">
        <v>795</v>
      </c>
      <c r="C226" s="101">
        <v>-10000</v>
      </c>
      <c r="D226" s="157" t="s">
        <v>533</v>
      </c>
      <c r="E226" s="157"/>
      <c r="F226" s="157"/>
      <c r="G226" s="93"/>
      <c r="H226" s="93">
        <f>C226</f>
        <v>-10000</v>
      </c>
      <c r="I226" s="93"/>
      <c r="J226" s="93"/>
      <c r="K226" s="93"/>
      <c r="L226" s="93"/>
      <c r="M226" s="93"/>
      <c r="N226" s="93"/>
      <c r="O226" s="93"/>
      <c r="P226" s="93"/>
      <c r="Q226" s="93"/>
      <c r="R226" s="97"/>
      <c r="S226" s="97"/>
      <c r="T226" s="97"/>
      <c r="U226" s="97"/>
      <c r="V226" s="97"/>
      <c r="W226" s="97"/>
      <c r="X226" s="97"/>
      <c r="Y226" s="97"/>
      <c r="Z226" s="97"/>
      <c r="AA226" s="93"/>
      <c r="AB226" s="93"/>
      <c r="AC226" s="93"/>
      <c r="AD226" s="93"/>
      <c r="AE226" s="93"/>
      <c r="AF226" s="93"/>
      <c r="AG226" s="93"/>
      <c r="AH226" s="93"/>
      <c r="AI226" s="93"/>
      <c r="AJ226" s="93"/>
      <c r="AK226" s="93"/>
      <c r="AL226" s="93"/>
    </row>
    <row r="227" spans="1:38" s="98" customFormat="1" x14ac:dyDescent="0.25">
      <c r="A227" s="99">
        <v>45370</v>
      </c>
      <c r="B227" s="50" t="s">
        <v>797</v>
      </c>
      <c r="C227" s="101">
        <v>-835000</v>
      </c>
      <c r="D227" s="157" t="s">
        <v>278</v>
      </c>
      <c r="E227" s="157"/>
      <c r="F227" s="157"/>
      <c r="G227" s="93"/>
      <c r="H227" s="93"/>
      <c r="I227" s="93"/>
      <c r="J227" s="93"/>
      <c r="K227" s="93"/>
      <c r="L227" s="93"/>
      <c r="M227" s="93"/>
      <c r="N227" s="93"/>
      <c r="O227" s="93"/>
      <c r="P227" s="93"/>
      <c r="Q227" s="93"/>
      <c r="R227" s="97"/>
      <c r="S227" s="97"/>
      <c r="T227" s="97"/>
      <c r="U227" s="97"/>
      <c r="V227" s="97"/>
      <c r="W227" s="97"/>
      <c r="X227" s="97"/>
      <c r="Y227" s="97"/>
      <c r="Z227" s="97"/>
      <c r="AA227" s="93"/>
      <c r="AB227" s="93"/>
      <c r="AC227" s="93"/>
      <c r="AD227" s="93"/>
      <c r="AE227" s="93"/>
      <c r="AF227" s="93">
        <f>C227</f>
        <v>-835000</v>
      </c>
      <c r="AG227" s="93"/>
      <c r="AH227" s="93"/>
      <c r="AI227" s="93"/>
      <c r="AJ227" s="93"/>
      <c r="AK227" s="93"/>
      <c r="AL227" s="93"/>
    </row>
    <row r="228" spans="1:38" s="98" customFormat="1" x14ac:dyDescent="0.25">
      <c r="A228" s="99">
        <v>45370</v>
      </c>
      <c r="B228" s="50" t="s">
        <v>798</v>
      </c>
      <c r="C228" s="101">
        <v>-1030000</v>
      </c>
      <c r="D228" s="157" t="s">
        <v>534</v>
      </c>
      <c r="E228" s="157"/>
      <c r="F228" s="157"/>
      <c r="G228" s="93"/>
      <c r="H228" s="93"/>
      <c r="I228" s="93"/>
      <c r="J228" s="93">
        <f>C228</f>
        <v>-1030000</v>
      </c>
      <c r="K228" s="93"/>
      <c r="L228" s="93"/>
      <c r="M228" s="93"/>
      <c r="N228" s="93"/>
      <c r="O228" s="93"/>
      <c r="P228" s="93"/>
      <c r="Q228" s="93"/>
      <c r="R228" s="97"/>
      <c r="S228" s="97"/>
      <c r="T228" s="97"/>
      <c r="U228" s="97"/>
      <c r="V228" s="97"/>
      <c r="W228" s="97"/>
      <c r="X228" s="97"/>
      <c r="Y228" s="97"/>
      <c r="Z228" s="97"/>
      <c r="AA228" s="93"/>
      <c r="AB228" s="93"/>
      <c r="AC228" s="93"/>
      <c r="AD228" s="93"/>
      <c r="AE228" s="93"/>
      <c r="AF228" s="93"/>
      <c r="AG228" s="93"/>
      <c r="AH228" s="93"/>
      <c r="AI228" s="93"/>
      <c r="AJ228" s="93"/>
      <c r="AK228" s="93"/>
      <c r="AL228" s="93"/>
    </row>
    <row r="229" spans="1:38" s="98" customFormat="1" x14ac:dyDescent="0.25">
      <c r="A229" s="99">
        <v>45371</v>
      </c>
      <c r="B229" s="50" t="s">
        <v>163</v>
      </c>
      <c r="C229" s="101">
        <v>-11000</v>
      </c>
      <c r="D229" s="157" t="s">
        <v>532</v>
      </c>
      <c r="E229" s="157"/>
      <c r="F229" s="157"/>
      <c r="G229" s="93"/>
      <c r="H229" s="93"/>
      <c r="I229" s="93"/>
      <c r="J229" s="93"/>
      <c r="K229" s="93">
        <f>C229</f>
        <v>-11000</v>
      </c>
      <c r="L229" s="93"/>
      <c r="M229" s="93"/>
      <c r="N229" s="93"/>
      <c r="O229" s="93"/>
      <c r="P229" s="93"/>
      <c r="Q229" s="93"/>
      <c r="R229" s="97"/>
      <c r="S229" s="97"/>
      <c r="T229" s="97"/>
      <c r="U229" s="97"/>
      <c r="V229" s="97"/>
      <c r="W229" s="97"/>
      <c r="X229" s="97"/>
      <c r="Y229" s="97"/>
      <c r="Z229" s="97"/>
      <c r="AA229" s="93"/>
      <c r="AB229" s="93"/>
      <c r="AC229" s="93"/>
      <c r="AD229" s="93"/>
      <c r="AE229" s="93"/>
      <c r="AF229" s="93"/>
      <c r="AG229" s="93"/>
      <c r="AH229" s="93"/>
      <c r="AI229" s="93"/>
      <c r="AJ229" s="93"/>
      <c r="AK229" s="93"/>
      <c r="AL229" s="93"/>
    </row>
    <row r="230" spans="1:38" s="98" customFormat="1" x14ac:dyDescent="0.25">
      <c r="A230" s="99">
        <v>45371</v>
      </c>
      <c r="B230" s="50" t="s">
        <v>279</v>
      </c>
      <c r="C230" s="101">
        <v>-134500</v>
      </c>
      <c r="D230" s="157" t="s">
        <v>533</v>
      </c>
      <c r="E230" s="157"/>
      <c r="F230" s="157"/>
      <c r="G230" s="93"/>
      <c r="H230" s="93">
        <f>C230</f>
        <v>-134500</v>
      </c>
      <c r="I230" s="93"/>
      <c r="J230" s="93"/>
      <c r="K230" s="93"/>
      <c r="L230" s="93"/>
      <c r="M230" s="93"/>
      <c r="N230" s="93"/>
      <c r="O230" s="93"/>
      <c r="P230" s="93"/>
      <c r="Q230" s="93"/>
      <c r="R230" s="97"/>
      <c r="S230" s="97"/>
      <c r="T230" s="97"/>
      <c r="U230" s="97"/>
      <c r="V230" s="97"/>
      <c r="W230" s="97"/>
      <c r="X230" s="97"/>
      <c r="Y230" s="97"/>
      <c r="Z230" s="97"/>
      <c r="AA230" s="93"/>
      <c r="AB230" s="93"/>
      <c r="AC230" s="93"/>
      <c r="AD230" s="93"/>
      <c r="AE230" s="93"/>
      <c r="AF230" s="93"/>
      <c r="AG230" s="93"/>
      <c r="AH230" s="93"/>
      <c r="AI230" s="93"/>
      <c r="AJ230" s="93"/>
      <c r="AK230" s="93"/>
      <c r="AL230" s="93"/>
    </row>
    <row r="231" spans="1:38" s="98" customFormat="1" x14ac:dyDescent="0.25">
      <c r="A231" s="99">
        <v>45371</v>
      </c>
      <c r="B231" s="50" t="s">
        <v>267</v>
      </c>
      <c r="C231" s="101">
        <v>-810000</v>
      </c>
      <c r="D231" s="157" t="s">
        <v>535</v>
      </c>
      <c r="E231" s="157"/>
      <c r="F231" s="157"/>
      <c r="G231" s="93"/>
      <c r="H231" s="93"/>
      <c r="I231" s="93"/>
      <c r="J231" s="93"/>
      <c r="K231" s="93"/>
      <c r="L231" s="93"/>
      <c r="M231" s="93"/>
      <c r="N231" s="93"/>
      <c r="O231" s="93"/>
      <c r="P231" s="93"/>
      <c r="Q231" s="93"/>
      <c r="R231" s="97"/>
      <c r="S231" s="97"/>
      <c r="T231" s="97"/>
      <c r="U231" s="97"/>
      <c r="V231" s="97"/>
      <c r="W231" s="97"/>
      <c r="X231" s="97"/>
      <c r="Y231" s="97"/>
      <c r="Z231" s="97"/>
      <c r="AA231" s="93"/>
      <c r="AB231" s="93"/>
      <c r="AC231" s="93"/>
      <c r="AD231" s="93"/>
      <c r="AE231" s="93"/>
      <c r="AF231" s="93"/>
      <c r="AG231" s="93">
        <f>C231</f>
        <v>-810000</v>
      </c>
      <c r="AH231" s="93"/>
      <c r="AI231" s="93"/>
      <c r="AJ231" s="93"/>
      <c r="AK231" s="93"/>
      <c r="AL231" s="93"/>
    </row>
    <row r="232" spans="1:38" s="98" customFormat="1" x14ac:dyDescent="0.25">
      <c r="A232" s="99">
        <v>45371</v>
      </c>
      <c r="B232" s="50" t="s">
        <v>264</v>
      </c>
      <c r="C232" s="101">
        <v>-26000</v>
      </c>
      <c r="D232" s="157" t="s">
        <v>533</v>
      </c>
      <c r="E232" s="157"/>
      <c r="F232" s="157"/>
      <c r="G232" s="93"/>
      <c r="H232" s="93">
        <f>C232</f>
        <v>-26000</v>
      </c>
      <c r="I232" s="93"/>
      <c r="J232" s="93"/>
      <c r="K232" s="93"/>
      <c r="L232" s="93"/>
      <c r="M232" s="93"/>
      <c r="N232" s="93"/>
      <c r="O232" s="93"/>
      <c r="P232" s="93"/>
      <c r="Q232" s="93"/>
      <c r="R232" s="97"/>
      <c r="S232" s="97"/>
      <c r="T232" s="97"/>
      <c r="U232" s="97"/>
      <c r="V232" s="97"/>
      <c r="W232" s="97"/>
      <c r="X232" s="97"/>
      <c r="Y232" s="97"/>
      <c r="Z232" s="97"/>
      <c r="AA232" s="93"/>
      <c r="AB232" s="93"/>
      <c r="AC232" s="93"/>
      <c r="AD232" s="93"/>
      <c r="AE232" s="93"/>
      <c r="AF232" s="93"/>
      <c r="AG232" s="93"/>
      <c r="AH232" s="93"/>
      <c r="AI232" s="93"/>
      <c r="AJ232" s="93"/>
      <c r="AK232" s="93"/>
      <c r="AL232" s="93"/>
    </row>
    <row r="233" spans="1:38" s="98" customFormat="1" x14ac:dyDescent="0.25">
      <c r="A233" s="99">
        <v>45371</v>
      </c>
      <c r="B233" s="50" t="s">
        <v>804</v>
      </c>
      <c r="C233" s="101">
        <v>-79600</v>
      </c>
      <c r="D233" s="157" t="s">
        <v>27</v>
      </c>
      <c r="E233" s="157"/>
      <c r="F233" s="157"/>
      <c r="G233" s="93"/>
      <c r="H233" s="93"/>
      <c r="I233" s="93">
        <f>C233</f>
        <v>-79600</v>
      </c>
      <c r="J233" s="93"/>
      <c r="K233" s="93"/>
      <c r="L233" s="93"/>
      <c r="M233" s="93"/>
      <c r="N233" s="93"/>
      <c r="O233" s="93"/>
      <c r="P233" s="93"/>
      <c r="Q233" s="93"/>
      <c r="R233" s="97"/>
      <c r="S233" s="97"/>
      <c r="T233" s="97"/>
      <c r="U233" s="97"/>
      <c r="V233" s="97"/>
      <c r="W233" s="97"/>
      <c r="X233" s="97"/>
      <c r="Y233" s="97"/>
      <c r="Z233" s="97"/>
      <c r="AA233" s="93"/>
      <c r="AB233" s="93"/>
      <c r="AC233" s="93"/>
      <c r="AD233" s="93"/>
      <c r="AE233" s="93"/>
      <c r="AF233" s="93"/>
      <c r="AG233" s="93"/>
      <c r="AH233" s="93"/>
      <c r="AI233" s="93"/>
      <c r="AJ233" s="93"/>
      <c r="AK233" s="93"/>
      <c r="AL233" s="93"/>
    </row>
    <row r="234" spans="1:38" s="98" customFormat="1" x14ac:dyDescent="0.25">
      <c r="A234" s="99">
        <v>45371</v>
      </c>
      <c r="B234" s="50" t="s">
        <v>805</v>
      </c>
      <c r="C234" s="101">
        <v>-13000</v>
      </c>
      <c r="D234" s="157" t="s">
        <v>32</v>
      </c>
      <c r="E234" s="157"/>
      <c r="F234" s="157"/>
      <c r="G234" s="93"/>
      <c r="H234" s="93"/>
      <c r="I234" s="93"/>
      <c r="J234" s="93"/>
      <c r="K234" s="93"/>
      <c r="L234" s="93"/>
      <c r="M234" s="93"/>
      <c r="N234" s="93"/>
      <c r="O234" s="93"/>
      <c r="P234" s="93"/>
      <c r="Q234" s="93"/>
      <c r="R234" s="97"/>
      <c r="S234" s="97"/>
      <c r="T234" s="97"/>
      <c r="U234" s="97"/>
      <c r="V234" s="97"/>
      <c r="W234" s="97"/>
      <c r="X234" s="97"/>
      <c r="Y234" s="97"/>
      <c r="Z234" s="97"/>
      <c r="AA234" s="93"/>
      <c r="AB234" s="93">
        <f>C234</f>
        <v>-13000</v>
      </c>
      <c r="AC234" s="93"/>
      <c r="AD234" s="93"/>
      <c r="AE234" s="93"/>
      <c r="AF234" s="93"/>
      <c r="AG234" s="93"/>
      <c r="AH234" s="93"/>
      <c r="AI234" s="93"/>
      <c r="AJ234" s="93"/>
      <c r="AK234" s="93"/>
      <c r="AL234" s="93"/>
    </row>
    <row r="235" spans="1:38" s="98" customFormat="1" x14ac:dyDescent="0.25">
      <c r="A235" s="99">
        <v>45371</v>
      </c>
      <c r="B235" s="50" t="s">
        <v>737</v>
      </c>
      <c r="C235" s="101">
        <v>-715000</v>
      </c>
      <c r="D235" s="157" t="s">
        <v>278</v>
      </c>
      <c r="E235" s="157"/>
      <c r="F235" s="157"/>
      <c r="G235" s="93"/>
      <c r="H235" s="93"/>
      <c r="I235" s="93"/>
      <c r="J235" s="93"/>
      <c r="K235" s="93"/>
      <c r="L235" s="93"/>
      <c r="M235" s="93"/>
      <c r="N235" s="93"/>
      <c r="O235" s="93"/>
      <c r="P235" s="93"/>
      <c r="Q235" s="93"/>
      <c r="R235" s="97"/>
      <c r="S235" s="97"/>
      <c r="T235" s="97"/>
      <c r="U235" s="97"/>
      <c r="V235" s="97"/>
      <c r="W235" s="97"/>
      <c r="X235" s="97"/>
      <c r="Y235" s="97"/>
      <c r="Z235" s="97"/>
      <c r="AA235" s="93"/>
      <c r="AB235" s="93"/>
      <c r="AC235" s="93"/>
      <c r="AD235" s="93"/>
      <c r="AE235" s="93"/>
      <c r="AF235" s="93">
        <f>C235</f>
        <v>-715000</v>
      </c>
      <c r="AG235" s="93"/>
      <c r="AH235" s="93"/>
      <c r="AI235" s="93"/>
      <c r="AJ235" s="93"/>
      <c r="AK235" s="93"/>
      <c r="AL235" s="93"/>
    </row>
    <row r="236" spans="1:38" s="98" customFormat="1" x14ac:dyDescent="0.25">
      <c r="A236" s="99">
        <v>45371</v>
      </c>
      <c r="B236" s="50" t="s">
        <v>808</v>
      </c>
      <c r="C236" s="101">
        <v>-2493000</v>
      </c>
      <c r="D236" s="157" t="s">
        <v>278</v>
      </c>
      <c r="E236" s="157"/>
      <c r="F236" s="157"/>
      <c r="G236" s="93"/>
      <c r="H236" s="93"/>
      <c r="I236" s="93"/>
      <c r="J236" s="93"/>
      <c r="K236" s="93"/>
      <c r="L236" s="93"/>
      <c r="M236" s="93"/>
      <c r="N236" s="93"/>
      <c r="O236" s="93"/>
      <c r="P236" s="93"/>
      <c r="Q236" s="93"/>
      <c r="R236" s="97"/>
      <c r="S236" s="97"/>
      <c r="T236" s="97"/>
      <c r="U236" s="97"/>
      <c r="V236" s="97"/>
      <c r="W236" s="97"/>
      <c r="X236" s="97"/>
      <c r="Y236" s="97"/>
      <c r="Z236" s="97"/>
      <c r="AA236" s="93"/>
      <c r="AB236" s="93"/>
      <c r="AC236" s="93"/>
      <c r="AD236" s="93"/>
      <c r="AE236" s="93"/>
      <c r="AF236" s="93">
        <f>C236</f>
        <v>-2493000</v>
      </c>
      <c r="AG236" s="93"/>
      <c r="AH236" s="93"/>
      <c r="AI236" s="93"/>
      <c r="AJ236" s="93"/>
      <c r="AK236" s="93"/>
      <c r="AL236" s="93"/>
    </row>
    <row r="237" spans="1:38" s="98" customFormat="1" x14ac:dyDescent="0.25">
      <c r="A237" s="99">
        <v>45371</v>
      </c>
      <c r="B237" s="50" t="s">
        <v>527</v>
      </c>
      <c r="C237" s="101">
        <v>-380000</v>
      </c>
      <c r="D237" s="157" t="s">
        <v>534</v>
      </c>
      <c r="E237" s="157"/>
      <c r="F237" s="157"/>
      <c r="G237" s="93"/>
      <c r="H237" s="93"/>
      <c r="I237" s="93"/>
      <c r="J237" s="93">
        <f>C237</f>
        <v>-380000</v>
      </c>
      <c r="K237" s="93"/>
      <c r="L237" s="93"/>
      <c r="M237" s="93"/>
      <c r="N237" s="93"/>
      <c r="O237" s="93"/>
      <c r="P237" s="93"/>
      <c r="Q237" s="93"/>
      <c r="R237" s="97"/>
      <c r="S237" s="97"/>
      <c r="T237" s="97"/>
      <c r="U237" s="97"/>
      <c r="V237" s="97"/>
      <c r="W237" s="97"/>
      <c r="X237" s="97"/>
      <c r="Y237" s="97"/>
      <c r="Z237" s="97"/>
      <c r="AA237" s="93"/>
      <c r="AB237" s="93"/>
      <c r="AC237" s="93"/>
      <c r="AD237" s="93"/>
      <c r="AE237" s="93"/>
      <c r="AF237" s="93"/>
      <c r="AG237" s="93"/>
      <c r="AH237" s="93"/>
      <c r="AI237" s="93"/>
      <c r="AJ237" s="93"/>
      <c r="AK237" s="93"/>
      <c r="AL237" s="93"/>
    </row>
    <row r="238" spans="1:38" s="98" customFormat="1" x14ac:dyDescent="0.25">
      <c r="A238" s="99">
        <v>45371</v>
      </c>
      <c r="B238" s="50" t="s">
        <v>267</v>
      </c>
      <c r="C238" s="101">
        <v>-615000</v>
      </c>
      <c r="D238" s="157" t="s">
        <v>535</v>
      </c>
      <c r="E238" s="157"/>
      <c r="F238" s="157"/>
      <c r="G238" s="93"/>
      <c r="H238" s="93"/>
      <c r="I238" s="93"/>
      <c r="J238" s="93"/>
      <c r="K238" s="93"/>
      <c r="L238" s="93"/>
      <c r="M238" s="93"/>
      <c r="N238" s="93"/>
      <c r="O238" s="93"/>
      <c r="P238" s="93"/>
      <c r="Q238" s="93"/>
      <c r="R238" s="97"/>
      <c r="S238" s="97"/>
      <c r="T238" s="97"/>
      <c r="U238" s="97"/>
      <c r="V238" s="97"/>
      <c r="W238" s="97"/>
      <c r="X238" s="97"/>
      <c r="Y238" s="97"/>
      <c r="Z238" s="97"/>
      <c r="AA238" s="93"/>
      <c r="AB238" s="93"/>
      <c r="AC238" s="93"/>
      <c r="AD238" s="93"/>
      <c r="AE238" s="93"/>
      <c r="AF238" s="93"/>
      <c r="AG238" s="93">
        <f>C238</f>
        <v>-615000</v>
      </c>
      <c r="AH238" s="93"/>
      <c r="AI238" s="93"/>
      <c r="AJ238" s="93"/>
      <c r="AK238" s="93"/>
      <c r="AL238" s="93"/>
    </row>
    <row r="239" spans="1:38" s="98" customFormat="1" x14ac:dyDescent="0.25">
      <c r="A239" s="390">
        <v>45372</v>
      </c>
      <c r="B239" s="50" t="s">
        <v>163</v>
      </c>
      <c r="C239" s="101">
        <v>-11000</v>
      </c>
      <c r="D239" s="157" t="s">
        <v>532</v>
      </c>
      <c r="E239" s="157"/>
      <c r="F239" s="157"/>
      <c r="G239" s="93"/>
      <c r="H239" s="93"/>
      <c r="I239" s="93"/>
      <c r="J239" s="93"/>
      <c r="K239" s="93">
        <f>C239</f>
        <v>-11000</v>
      </c>
      <c r="L239" s="93"/>
      <c r="M239" s="93"/>
      <c r="N239" s="93"/>
      <c r="O239" s="93"/>
      <c r="P239" s="93"/>
      <c r="Q239" s="93"/>
      <c r="R239" s="97"/>
      <c r="S239" s="97"/>
      <c r="T239" s="97"/>
      <c r="U239" s="97"/>
      <c r="V239" s="97"/>
      <c r="W239" s="97"/>
      <c r="X239" s="97"/>
      <c r="Y239" s="97"/>
      <c r="Z239" s="97"/>
      <c r="AA239" s="93"/>
      <c r="AB239" s="93"/>
      <c r="AC239" s="93"/>
      <c r="AD239" s="93"/>
      <c r="AE239" s="93"/>
      <c r="AF239" s="93"/>
      <c r="AG239" s="93"/>
      <c r="AH239" s="93"/>
      <c r="AI239" s="93"/>
      <c r="AJ239" s="93"/>
      <c r="AK239" s="93"/>
      <c r="AL239" s="93"/>
    </row>
    <row r="240" spans="1:38" s="98" customFormat="1" x14ac:dyDescent="0.25">
      <c r="A240" s="390">
        <v>45372</v>
      </c>
      <c r="B240" s="50" t="s">
        <v>810</v>
      </c>
      <c r="C240" s="101">
        <v>-407000</v>
      </c>
      <c r="D240" s="157" t="s">
        <v>533</v>
      </c>
      <c r="E240" s="157"/>
      <c r="F240" s="157"/>
      <c r="G240" s="93"/>
      <c r="H240" s="93">
        <f>C240</f>
        <v>-407000</v>
      </c>
      <c r="I240" s="93"/>
      <c r="J240" s="93"/>
      <c r="K240" s="93"/>
      <c r="L240" s="93"/>
      <c r="M240" s="93"/>
      <c r="N240" s="93"/>
      <c r="O240" s="93"/>
      <c r="P240" s="93"/>
      <c r="Q240" s="93"/>
      <c r="R240" s="97"/>
      <c r="S240" s="97"/>
      <c r="T240" s="97"/>
      <c r="U240" s="97"/>
      <c r="V240" s="97"/>
      <c r="W240" s="97"/>
      <c r="X240" s="97"/>
      <c r="Y240" s="97"/>
      <c r="Z240" s="97"/>
      <c r="AA240" s="93"/>
      <c r="AB240" s="93"/>
      <c r="AC240" s="93"/>
      <c r="AD240" s="93"/>
      <c r="AE240" s="93"/>
      <c r="AF240" s="93"/>
      <c r="AG240" s="93"/>
      <c r="AH240" s="93"/>
      <c r="AI240" s="93"/>
      <c r="AJ240" s="93"/>
      <c r="AK240" s="93"/>
      <c r="AL240" s="93"/>
    </row>
    <row r="241" spans="1:38" s="98" customFormat="1" x14ac:dyDescent="0.25">
      <c r="A241" s="390">
        <v>45372</v>
      </c>
      <c r="B241" s="50" t="s">
        <v>597</v>
      </c>
      <c r="C241" s="101">
        <v>-35000</v>
      </c>
      <c r="D241" s="157" t="s">
        <v>928</v>
      </c>
      <c r="E241" s="157"/>
      <c r="F241" s="157"/>
      <c r="G241" s="93"/>
      <c r="H241" s="93"/>
      <c r="I241" s="93"/>
      <c r="J241" s="93"/>
      <c r="K241" s="93"/>
      <c r="L241" s="93"/>
      <c r="M241" s="93"/>
      <c r="N241" s="93"/>
      <c r="O241" s="93"/>
      <c r="P241" s="93"/>
      <c r="Q241" s="93"/>
      <c r="R241" s="97"/>
      <c r="S241" s="97"/>
      <c r="T241" s="97"/>
      <c r="U241" s="97"/>
      <c r="V241" s="97"/>
      <c r="W241" s="97"/>
      <c r="X241" s="97"/>
      <c r="Y241" s="97"/>
      <c r="Z241" s="97"/>
      <c r="AA241" s="93"/>
      <c r="AB241" s="93"/>
      <c r="AC241" s="93"/>
      <c r="AD241" s="93">
        <f>C241</f>
        <v>-35000</v>
      </c>
      <c r="AE241" s="93"/>
      <c r="AF241" s="93"/>
      <c r="AG241" s="93"/>
      <c r="AH241" s="93"/>
      <c r="AI241" s="93"/>
      <c r="AJ241" s="93"/>
      <c r="AK241" s="93"/>
      <c r="AL241" s="93"/>
    </row>
    <row r="242" spans="1:38" s="98" customFormat="1" x14ac:dyDescent="0.25">
      <c r="A242" s="390">
        <v>45372</v>
      </c>
      <c r="B242" s="50" t="s">
        <v>813</v>
      </c>
      <c r="C242" s="101">
        <v>-19000</v>
      </c>
      <c r="D242" s="157" t="s">
        <v>142</v>
      </c>
      <c r="E242" s="157"/>
      <c r="F242" s="157"/>
      <c r="G242" s="93"/>
      <c r="H242" s="93"/>
      <c r="I242" s="93"/>
      <c r="J242" s="93"/>
      <c r="K242" s="93"/>
      <c r="L242" s="93"/>
      <c r="M242" s="93"/>
      <c r="N242" s="93"/>
      <c r="O242" s="93"/>
      <c r="P242" s="93"/>
      <c r="Q242" s="93"/>
      <c r="R242" s="97"/>
      <c r="S242" s="97"/>
      <c r="T242" s="97"/>
      <c r="U242" s="97"/>
      <c r="V242" s="97"/>
      <c r="W242" s="97"/>
      <c r="X242" s="97"/>
      <c r="Y242" s="97"/>
      <c r="Z242" s="97"/>
      <c r="AA242" s="93"/>
      <c r="AB242" s="93"/>
      <c r="AC242" s="93"/>
      <c r="AD242" s="93"/>
      <c r="AE242" s="93"/>
      <c r="AF242" s="93"/>
      <c r="AG242" s="93"/>
      <c r="AH242" s="93"/>
      <c r="AI242" s="93"/>
      <c r="AJ242" s="93"/>
      <c r="AK242" s="93">
        <f>C242</f>
        <v>-19000</v>
      </c>
      <c r="AL242" s="93"/>
    </row>
    <row r="243" spans="1:38" s="98" customFormat="1" x14ac:dyDescent="0.25">
      <c r="A243" s="390">
        <v>45372</v>
      </c>
      <c r="B243" s="50" t="s">
        <v>792</v>
      </c>
      <c r="C243" s="101">
        <v>-145000</v>
      </c>
      <c r="D243" s="157" t="s">
        <v>534</v>
      </c>
      <c r="E243" s="157"/>
      <c r="F243" s="157"/>
      <c r="G243" s="93"/>
      <c r="H243" s="93"/>
      <c r="I243" s="93"/>
      <c r="J243" s="93">
        <f>C243</f>
        <v>-145000</v>
      </c>
      <c r="K243" s="93"/>
      <c r="L243" s="93"/>
      <c r="M243" s="93"/>
      <c r="N243" s="93"/>
      <c r="O243" s="93"/>
      <c r="P243" s="93"/>
      <c r="Q243" s="93"/>
      <c r="R243" s="97"/>
      <c r="S243" s="97"/>
      <c r="T243" s="97"/>
      <c r="U243" s="97"/>
      <c r="V243" s="97"/>
      <c r="W243" s="97"/>
      <c r="X243" s="97"/>
      <c r="Y243" s="97"/>
      <c r="Z243" s="97"/>
      <c r="AA243" s="93"/>
      <c r="AB243" s="93"/>
      <c r="AC243" s="93"/>
      <c r="AD243" s="93"/>
      <c r="AE243" s="93"/>
      <c r="AF243" s="93"/>
      <c r="AG243" s="93"/>
      <c r="AH243" s="93"/>
      <c r="AI243" s="93"/>
      <c r="AJ243" s="93"/>
      <c r="AK243" s="93"/>
      <c r="AL243" s="93"/>
    </row>
    <row r="244" spans="1:38" s="98" customFormat="1" x14ac:dyDescent="0.25">
      <c r="A244" s="390">
        <v>45372</v>
      </c>
      <c r="B244" s="50" t="s">
        <v>814</v>
      </c>
      <c r="C244" s="101">
        <v>-205000</v>
      </c>
      <c r="D244" s="157" t="s">
        <v>278</v>
      </c>
      <c r="E244" s="157"/>
      <c r="F244" s="157"/>
      <c r="G244" s="93"/>
      <c r="H244" s="93"/>
      <c r="I244" s="93"/>
      <c r="J244" s="93"/>
      <c r="K244" s="93"/>
      <c r="L244" s="93"/>
      <c r="M244" s="93"/>
      <c r="N244" s="93"/>
      <c r="O244" s="93"/>
      <c r="P244" s="93"/>
      <c r="Q244" s="93"/>
      <c r="R244" s="97"/>
      <c r="S244" s="97"/>
      <c r="T244" s="97"/>
      <c r="U244" s="97"/>
      <c r="V244" s="97"/>
      <c r="W244" s="97"/>
      <c r="X244" s="97"/>
      <c r="Y244" s="97"/>
      <c r="Z244" s="97"/>
      <c r="AA244" s="93"/>
      <c r="AB244" s="93"/>
      <c r="AC244" s="93"/>
      <c r="AD244" s="93"/>
      <c r="AE244" s="93"/>
      <c r="AF244" s="93">
        <f>C244</f>
        <v>-205000</v>
      </c>
      <c r="AG244" s="93"/>
      <c r="AH244" s="93"/>
      <c r="AI244" s="93"/>
      <c r="AJ244" s="93"/>
      <c r="AK244" s="93"/>
      <c r="AL244" s="93"/>
    </row>
    <row r="245" spans="1:38" s="98" customFormat="1" x14ac:dyDescent="0.25">
      <c r="A245" s="390">
        <v>45372</v>
      </c>
      <c r="B245" s="50" t="s">
        <v>597</v>
      </c>
      <c r="C245" s="101">
        <v>-75500</v>
      </c>
      <c r="D245" s="157" t="s">
        <v>928</v>
      </c>
      <c r="E245" s="157"/>
      <c r="F245" s="157"/>
      <c r="G245" s="93"/>
      <c r="H245" s="93"/>
      <c r="I245" s="93"/>
      <c r="J245" s="93"/>
      <c r="K245" s="93"/>
      <c r="L245" s="93"/>
      <c r="M245" s="93"/>
      <c r="N245" s="93"/>
      <c r="O245" s="93"/>
      <c r="P245" s="93"/>
      <c r="Q245" s="93"/>
      <c r="R245" s="97"/>
      <c r="S245" s="97"/>
      <c r="T245" s="97"/>
      <c r="U245" s="97"/>
      <c r="V245" s="97"/>
      <c r="W245" s="97"/>
      <c r="X245" s="97"/>
      <c r="Y245" s="97"/>
      <c r="Z245" s="97"/>
      <c r="AA245" s="93"/>
      <c r="AB245" s="93"/>
      <c r="AC245" s="93"/>
      <c r="AD245" s="93">
        <f>C245</f>
        <v>-75500</v>
      </c>
      <c r="AE245" s="93"/>
      <c r="AF245" s="93"/>
      <c r="AG245" s="93"/>
      <c r="AH245" s="93"/>
      <c r="AI245" s="93"/>
      <c r="AJ245" s="93"/>
      <c r="AK245" s="93"/>
      <c r="AL245" s="93"/>
    </row>
    <row r="246" spans="1:38" s="98" customFormat="1" x14ac:dyDescent="0.25">
      <c r="A246" s="390">
        <v>45372</v>
      </c>
      <c r="B246" s="50" t="s">
        <v>276</v>
      </c>
      <c r="C246" s="101">
        <v>-40000</v>
      </c>
      <c r="D246" s="157" t="s">
        <v>535</v>
      </c>
      <c r="E246" s="157"/>
      <c r="F246" s="157"/>
      <c r="G246" s="93"/>
      <c r="H246" s="93"/>
      <c r="I246" s="93"/>
      <c r="J246" s="93"/>
      <c r="K246" s="93"/>
      <c r="L246" s="93"/>
      <c r="M246" s="93"/>
      <c r="N246" s="93"/>
      <c r="O246" s="93"/>
      <c r="P246" s="93"/>
      <c r="Q246" s="93"/>
      <c r="R246" s="97"/>
      <c r="S246" s="97"/>
      <c r="T246" s="97"/>
      <c r="U246" s="97"/>
      <c r="V246" s="97"/>
      <c r="W246" s="97"/>
      <c r="X246" s="97"/>
      <c r="Y246" s="97"/>
      <c r="Z246" s="97"/>
      <c r="AA246" s="93"/>
      <c r="AB246" s="93"/>
      <c r="AC246" s="93"/>
      <c r="AD246" s="93"/>
      <c r="AE246" s="93"/>
      <c r="AF246" s="93"/>
      <c r="AG246" s="93">
        <f>C246</f>
        <v>-40000</v>
      </c>
      <c r="AH246" s="93"/>
      <c r="AI246" s="93"/>
      <c r="AJ246" s="93"/>
      <c r="AK246" s="93"/>
      <c r="AL246" s="93"/>
    </row>
    <row r="247" spans="1:38" s="98" customFormat="1" x14ac:dyDescent="0.25">
      <c r="A247" s="390">
        <v>45373</v>
      </c>
      <c r="B247" s="50" t="s">
        <v>163</v>
      </c>
      <c r="C247" s="101">
        <v>-11000</v>
      </c>
      <c r="D247" s="157" t="s">
        <v>532</v>
      </c>
      <c r="E247" s="157"/>
      <c r="F247" s="157"/>
      <c r="G247" s="93"/>
      <c r="H247" s="93"/>
      <c r="I247" s="93"/>
      <c r="J247" s="93"/>
      <c r="K247" s="93">
        <f>C247</f>
        <v>-11000</v>
      </c>
      <c r="L247" s="93"/>
      <c r="M247" s="93"/>
      <c r="N247" s="93"/>
      <c r="O247" s="93"/>
      <c r="P247" s="93"/>
      <c r="Q247" s="93"/>
      <c r="R247" s="97"/>
      <c r="S247" s="97"/>
      <c r="T247" s="97"/>
      <c r="U247" s="97"/>
      <c r="V247" s="97"/>
      <c r="W247" s="97"/>
      <c r="X247" s="97"/>
      <c r="Y247" s="97"/>
      <c r="Z247" s="97"/>
      <c r="AA247" s="93"/>
      <c r="AB247" s="93"/>
      <c r="AC247" s="93"/>
      <c r="AD247" s="93"/>
      <c r="AE247" s="93"/>
      <c r="AF247" s="93"/>
      <c r="AG247" s="93"/>
      <c r="AH247" s="93"/>
      <c r="AI247" s="93"/>
      <c r="AJ247" s="93"/>
      <c r="AK247" s="93"/>
      <c r="AL247" s="93"/>
    </row>
    <row r="248" spans="1:38" s="98" customFormat="1" x14ac:dyDescent="0.25">
      <c r="A248" s="390">
        <v>45373</v>
      </c>
      <c r="B248" s="50" t="s">
        <v>817</v>
      </c>
      <c r="C248" s="101">
        <v>-461000</v>
      </c>
      <c r="D248" s="157" t="s">
        <v>533</v>
      </c>
      <c r="E248" s="157"/>
      <c r="F248" s="157"/>
      <c r="G248" s="93"/>
      <c r="H248" s="93">
        <f>C248</f>
        <v>-461000</v>
      </c>
      <c r="I248" s="93"/>
      <c r="J248" s="93"/>
      <c r="K248" s="93"/>
      <c r="L248" s="93"/>
      <c r="M248" s="93"/>
      <c r="N248" s="93"/>
      <c r="O248" s="93"/>
      <c r="P248" s="93"/>
      <c r="Q248" s="93"/>
      <c r="R248" s="97"/>
      <c r="S248" s="97"/>
      <c r="T248" s="97"/>
      <c r="U248" s="97"/>
      <c r="V248" s="97"/>
      <c r="W248" s="97"/>
      <c r="X248" s="97"/>
      <c r="Y248" s="97"/>
      <c r="Z248" s="97"/>
      <c r="AA248" s="93"/>
      <c r="AB248" s="93"/>
      <c r="AC248" s="93"/>
      <c r="AD248" s="93"/>
      <c r="AE248" s="93"/>
      <c r="AF248" s="93"/>
      <c r="AG248" s="93"/>
      <c r="AH248" s="93"/>
      <c r="AI248" s="93"/>
      <c r="AJ248" s="93"/>
      <c r="AK248" s="93"/>
      <c r="AL248" s="93"/>
    </row>
    <row r="249" spans="1:38" s="98" customFormat="1" x14ac:dyDescent="0.25">
      <c r="A249" s="390">
        <v>45373</v>
      </c>
      <c r="B249" s="50" t="s">
        <v>818</v>
      </c>
      <c r="C249" s="101">
        <v>-394500</v>
      </c>
      <c r="D249" s="157" t="s">
        <v>533</v>
      </c>
      <c r="E249" s="157"/>
      <c r="F249" s="157"/>
      <c r="G249" s="93"/>
      <c r="H249" s="93">
        <f>C249</f>
        <v>-394500</v>
      </c>
      <c r="I249" s="93"/>
      <c r="J249" s="93"/>
      <c r="K249" s="93"/>
      <c r="L249" s="93"/>
      <c r="M249" s="93"/>
      <c r="N249" s="93"/>
      <c r="O249" s="93"/>
      <c r="P249" s="93"/>
      <c r="Q249" s="93"/>
      <c r="R249" s="97"/>
      <c r="S249" s="97"/>
      <c r="T249" s="97"/>
      <c r="U249" s="97"/>
      <c r="V249" s="97"/>
      <c r="W249" s="97"/>
      <c r="X249" s="97"/>
      <c r="Y249" s="97"/>
      <c r="Z249" s="97"/>
      <c r="AA249" s="93"/>
      <c r="AB249" s="93"/>
      <c r="AC249" s="93"/>
      <c r="AD249" s="93"/>
      <c r="AE249" s="93"/>
      <c r="AF249" s="93"/>
      <c r="AG249" s="93"/>
      <c r="AH249" s="93"/>
      <c r="AI249" s="93"/>
      <c r="AJ249" s="93"/>
      <c r="AK249" s="93"/>
      <c r="AL249" s="93"/>
    </row>
    <row r="250" spans="1:38" s="98" customFormat="1" x14ac:dyDescent="0.25">
      <c r="A250" s="390">
        <v>45373</v>
      </c>
      <c r="B250" s="50" t="s">
        <v>604</v>
      </c>
      <c r="C250" s="101">
        <v>-143000</v>
      </c>
      <c r="D250" s="157" t="s">
        <v>533</v>
      </c>
      <c r="E250" s="157"/>
      <c r="F250" s="157"/>
      <c r="G250" s="93"/>
      <c r="H250" s="93">
        <f>C250</f>
        <v>-143000</v>
      </c>
      <c r="I250" s="93"/>
      <c r="J250" s="93"/>
      <c r="K250" s="93"/>
      <c r="L250" s="93"/>
      <c r="M250" s="93"/>
      <c r="N250" s="93"/>
      <c r="O250" s="93"/>
      <c r="P250" s="93"/>
      <c r="Q250" s="93"/>
      <c r="R250" s="97"/>
      <c r="S250" s="97"/>
      <c r="T250" s="97"/>
      <c r="U250" s="97"/>
      <c r="V250" s="97"/>
      <c r="W250" s="97"/>
      <c r="X250" s="97"/>
      <c r="Y250" s="97"/>
      <c r="Z250" s="97"/>
      <c r="AA250" s="93"/>
      <c r="AB250" s="93"/>
      <c r="AC250" s="93"/>
      <c r="AD250" s="93"/>
      <c r="AE250" s="93"/>
      <c r="AF250" s="93"/>
      <c r="AG250" s="93"/>
      <c r="AH250" s="93"/>
      <c r="AI250" s="93"/>
      <c r="AJ250" s="93"/>
      <c r="AK250" s="93"/>
      <c r="AL250" s="93"/>
    </row>
    <row r="251" spans="1:38" s="98" customFormat="1" x14ac:dyDescent="0.25">
      <c r="A251" s="390">
        <v>45373</v>
      </c>
      <c r="B251" s="50" t="s">
        <v>821</v>
      </c>
      <c r="C251" s="101">
        <v>-156300</v>
      </c>
      <c r="D251" s="157" t="s">
        <v>533</v>
      </c>
      <c r="E251" s="157">
        <f>C251</f>
        <v>-156300</v>
      </c>
      <c r="F251" s="157"/>
      <c r="G251" s="93"/>
      <c r="H251" s="93"/>
      <c r="I251" s="93"/>
      <c r="J251" s="93"/>
      <c r="K251" s="93"/>
      <c r="L251" s="93"/>
      <c r="M251" s="93"/>
      <c r="N251" s="93"/>
      <c r="O251" s="93"/>
      <c r="P251" s="93"/>
      <c r="Q251" s="93"/>
      <c r="R251" s="97"/>
      <c r="S251" s="97"/>
      <c r="T251" s="97"/>
      <c r="U251" s="97"/>
      <c r="V251" s="97"/>
      <c r="W251" s="97"/>
      <c r="X251" s="97"/>
      <c r="Y251" s="97"/>
      <c r="Z251" s="97"/>
      <c r="AA251" s="93"/>
      <c r="AB251" s="93"/>
      <c r="AC251" s="93"/>
      <c r="AD251" s="93"/>
      <c r="AE251" s="93"/>
      <c r="AF251" s="93"/>
      <c r="AG251" s="93"/>
      <c r="AH251" s="93"/>
      <c r="AI251" s="93"/>
      <c r="AJ251" s="93"/>
      <c r="AK251" s="93"/>
      <c r="AL251" s="93"/>
    </row>
    <row r="252" spans="1:38" s="98" customFormat="1" x14ac:dyDescent="0.25">
      <c r="A252" s="390">
        <v>45373</v>
      </c>
      <c r="B252" s="50" t="s">
        <v>275</v>
      </c>
      <c r="C252" s="101">
        <v>-224000</v>
      </c>
      <c r="D252" s="157" t="s">
        <v>533</v>
      </c>
      <c r="E252" s="157"/>
      <c r="F252" s="157"/>
      <c r="G252" s="93"/>
      <c r="H252" s="93">
        <f>C252</f>
        <v>-224000</v>
      </c>
      <c r="I252" s="93"/>
      <c r="J252" s="93"/>
      <c r="K252" s="93"/>
      <c r="L252" s="93"/>
      <c r="M252" s="93"/>
      <c r="N252" s="93"/>
      <c r="O252" s="93"/>
      <c r="P252" s="93"/>
      <c r="Q252" s="93"/>
      <c r="R252" s="97"/>
      <c r="S252" s="97"/>
      <c r="T252" s="97"/>
      <c r="U252" s="97"/>
      <c r="V252" s="97"/>
      <c r="W252" s="97"/>
      <c r="X252" s="97"/>
      <c r="Y252" s="97"/>
      <c r="Z252" s="97"/>
      <c r="AA252" s="93"/>
      <c r="AB252" s="93"/>
      <c r="AC252" s="93"/>
      <c r="AD252" s="93"/>
      <c r="AE252" s="93"/>
      <c r="AF252" s="93"/>
      <c r="AG252" s="93"/>
      <c r="AH252" s="93"/>
      <c r="AI252" s="93"/>
      <c r="AJ252" s="93"/>
      <c r="AK252" s="93"/>
      <c r="AL252" s="93"/>
    </row>
    <row r="253" spans="1:38" s="98" customFormat="1" x14ac:dyDescent="0.25">
      <c r="A253" s="390">
        <v>45373</v>
      </c>
      <c r="B253" s="50" t="s">
        <v>276</v>
      </c>
      <c r="C253" s="101">
        <v>-53000</v>
      </c>
      <c r="D253" s="157" t="s">
        <v>535</v>
      </c>
      <c r="E253" s="157"/>
      <c r="F253" s="157"/>
      <c r="G253" s="93"/>
      <c r="H253" s="93"/>
      <c r="I253" s="93"/>
      <c r="J253" s="93"/>
      <c r="K253" s="93"/>
      <c r="L253" s="93"/>
      <c r="M253" s="93"/>
      <c r="N253" s="93"/>
      <c r="O253" s="93"/>
      <c r="P253" s="93"/>
      <c r="Q253" s="93"/>
      <c r="R253" s="97"/>
      <c r="S253" s="97"/>
      <c r="T253" s="97"/>
      <c r="U253" s="97"/>
      <c r="V253" s="97"/>
      <c r="W253" s="97"/>
      <c r="X253" s="97"/>
      <c r="Y253" s="97"/>
      <c r="Z253" s="97"/>
      <c r="AA253" s="93"/>
      <c r="AB253" s="93"/>
      <c r="AC253" s="93"/>
      <c r="AD253" s="93"/>
      <c r="AE253" s="93"/>
      <c r="AF253" s="93"/>
      <c r="AG253" s="93">
        <f>C253</f>
        <v>-53000</v>
      </c>
      <c r="AH253" s="93"/>
      <c r="AI253" s="93"/>
      <c r="AJ253" s="93"/>
      <c r="AK253" s="93"/>
      <c r="AL253" s="93"/>
    </row>
    <row r="254" spans="1:38" s="98" customFormat="1" x14ac:dyDescent="0.25">
      <c r="A254" s="390">
        <v>45373</v>
      </c>
      <c r="B254" s="50" t="s">
        <v>822</v>
      </c>
      <c r="C254" s="101">
        <v>-17600</v>
      </c>
      <c r="D254" s="157" t="s">
        <v>533</v>
      </c>
      <c r="E254" s="157"/>
      <c r="F254" s="157"/>
      <c r="G254" s="93"/>
      <c r="H254" s="93">
        <f>C254</f>
        <v>-17600</v>
      </c>
      <c r="I254" s="93"/>
      <c r="J254" s="93"/>
      <c r="K254" s="93"/>
      <c r="L254" s="93"/>
      <c r="M254" s="93"/>
      <c r="N254" s="93"/>
      <c r="O254" s="93"/>
      <c r="P254" s="93"/>
      <c r="Q254" s="93"/>
      <c r="R254" s="97"/>
      <c r="S254" s="97"/>
      <c r="T254" s="97"/>
      <c r="U254" s="97"/>
      <c r="V254" s="97"/>
      <c r="W254" s="97"/>
      <c r="X254" s="97"/>
      <c r="Y254" s="97"/>
      <c r="Z254" s="97"/>
      <c r="AA254" s="93"/>
      <c r="AB254" s="93"/>
      <c r="AC254" s="93"/>
      <c r="AD254" s="93"/>
      <c r="AE254" s="93"/>
      <c r="AF254" s="93"/>
      <c r="AG254" s="93"/>
      <c r="AH254" s="93"/>
      <c r="AI254" s="93"/>
      <c r="AJ254" s="93"/>
      <c r="AK254" s="93"/>
      <c r="AL254" s="93"/>
    </row>
    <row r="255" spans="1:38" s="98" customFormat="1" x14ac:dyDescent="0.25">
      <c r="A255" s="390">
        <v>45373</v>
      </c>
      <c r="B255" s="50" t="s">
        <v>823</v>
      </c>
      <c r="C255" s="101">
        <v>-1450000</v>
      </c>
      <c r="D255" s="157" t="s">
        <v>535</v>
      </c>
      <c r="E255" s="157"/>
      <c r="F255" s="157"/>
      <c r="G255" s="93"/>
      <c r="H255" s="93"/>
      <c r="I255" s="93"/>
      <c r="J255" s="93"/>
      <c r="K255" s="93"/>
      <c r="L255" s="93"/>
      <c r="M255" s="93"/>
      <c r="N255" s="93"/>
      <c r="O255" s="93"/>
      <c r="P255" s="93"/>
      <c r="Q255" s="93"/>
      <c r="R255" s="97"/>
      <c r="S255" s="97"/>
      <c r="T255" s="97"/>
      <c r="U255" s="97"/>
      <c r="V255" s="97"/>
      <c r="W255" s="97"/>
      <c r="X255" s="97"/>
      <c r="Y255" s="97"/>
      <c r="Z255" s="97"/>
      <c r="AA255" s="93"/>
      <c r="AB255" s="93"/>
      <c r="AC255" s="93"/>
      <c r="AD255" s="93"/>
      <c r="AE255" s="93"/>
      <c r="AF255" s="93"/>
      <c r="AG255" s="93">
        <f>C255</f>
        <v>-1450000</v>
      </c>
      <c r="AH255" s="93"/>
      <c r="AI255" s="93"/>
      <c r="AJ255" s="93"/>
      <c r="AK255" s="93"/>
      <c r="AL255" s="93"/>
    </row>
    <row r="256" spans="1:38" s="98" customFormat="1" x14ac:dyDescent="0.25">
      <c r="A256" s="390">
        <v>45373</v>
      </c>
      <c r="B256" s="50" t="s">
        <v>824</v>
      </c>
      <c r="C256" s="101">
        <v>-150000</v>
      </c>
      <c r="D256" s="157" t="s">
        <v>932</v>
      </c>
      <c r="E256" s="157"/>
      <c r="F256" s="157"/>
      <c r="G256" s="93"/>
      <c r="H256" s="93"/>
      <c r="I256" s="93"/>
      <c r="J256" s="93"/>
      <c r="K256" s="93"/>
      <c r="L256" s="93"/>
      <c r="M256" s="93"/>
      <c r="N256" s="93"/>
      <c r="O256" s="93"/>
      <c r="P256" s="93"/>
      <c r="Q256" s="93"/>
      <c r="R256" s="97"/>
      <c r="S256" s="97"/>
      <c r="T256" s="97"/>
      <c r="U256" s="97"/>
      <c r="V256" s="97"/>
      <c r="W256" s="97"/>
      <c r="X256" s="97">
        <f>C256</f>
        <v>-150000</v>
      </c>
      <c r="Y256" s="97"/>
      <c r="Z256" s="97"/>
      <c r="AA256" s="93"/>
      <c r="AB256" s="93"/>
      <c r="AC256" s="93"/>
      <c r="AD256" s="93"/>
      <c r="AE256" s="93"/>
      <c r="AF256" s="93"/>
      <c r="AG256" s="93"/>
      <c r="AH256" s="93"/>
      <c r="AI256" s="93"/>
      <c r="AJ256" s="93"/>
      <c r="AK256" s="93"/>
      <c r="AL256" s="93"/>
    </row>
    <row r="257" spans="1:38" s="98" customFormat="1" x14ac:dyDescent="0.25">
      <c r="A257" s="390">
        <v>45373</v>
      </c>
      <c r="B257" s="50" t="s">
        <v>825</v>
      </c>
      <c r="C257" s="101">
        <v>-100000</v>
      </c>
      <c r="D257" s="157" t="s">
        <v>535</v>
      </c>
      <c r="E257" s="157"/>
      <c r="F257" s="157"/>
      <c r="G257" s="93"/>
      <c r="H257" s="93"/>
      <c r="I257" s="93"/>
      <c r="J257" s="93"/>
      <c r="K257" s="93"/>
      <c r="L257" s="93"/>
      <c r="M257" s="93"/>
      <c r="N257" s="93"/>
      <c r="O257" s="93"/>
      <c r="P257" s="93"/>
      <c r="Q257" s="93"/>
      <c r="R257" s="97"/>
      <c r="S257" s="97"/>
      <c r="T257" s="97"/>
      <c r="U257" s="97"/>
      <c r="V257" s="97"/>
      <c r="W257" s="97"/>
      <c r="X257" s="97"/>
      <c r="Y257" s="97"/>
      <c r="Z257" s="97"/>
      <c r="AA257" s="93"/>
      <c r="AB257" s="93"/>
      <c r="AC257" s="93"/>
      <c r="AD257" s="93"/>
      <c r="AE257" s="93"/>
      <c r="AF257" s="93"/>
      <c r="AG257" s="93">
        <f>C257</f>
        <v>-100000</v>
      </c>
      <c r="AH257" s="93"/>
      <c r="AI257" s="93"/>
      <c r="AJ257" s="93"/>
      <c r="AK257" s="93"/>
      <c r="AL257" s="93"/>
    </row>
    <row r="258" spans="1:38" s="98" customFormat="1" x14ac:dyDescent="0.25">
      <c r="A258" s="390">
        <v>45373</v>
      </c>
      <c r="B258" s="50" t="s">
        <v>826</v>
      </c>
      <c r="C258" s="101">
        <v>-9000</v>
      </c>
      <c r="D258" s="157" t="s">
        <v>533</v>
      </c>
      <c r="E258" s="157"/>
      <c r="F258" s="157"/>
      <c r="G258" s="93"/>
      <c r="H258" s="93">
        <f>C258</f>
        <v>-9000</v>
      </c>
      <c r="I258" s="93"/>
      <c r="J258" s="93"/>
      <c r="K258" s="93"/>
      <c r="L258" s="93"/>
      <c r="M258" s="93"/>
      <c r="N258" s="93"/>
      <c r="O258" s="93"/>
      <c r="P258" s="93"/>
      <c r="Q258" s="93"/>
      <c r="R258" s="97"/>
      <c r="S258" s="97"/>
      <c r="T258" s="97"/>
      <c r="U258" s="97"/>
      <c r="V258" s="97"/>
      <c r="W258" s="97"/>
      <c r="X258" s="97"/>
      <c r="Y258" s="97"/>
      <c r="Z258" s="97"/>
      <c r="AA258" s="93"/>
      <c r="AB258" s="93"/>
      <c r="AC258" s="93"/>
      <c r="AD258" s="93"/>
      <c r="AE258" s="93"/>
      <c r="AF258" s="93"/>
      <c r="AG258" s="93"/>
      <c r="AH258" s="93"/>
      <c r="AI258" s="93"/>
      <c r="AJ258" s="93"/>
      <c r="AK258" s="93"/>
      <c r="AL258" s="93"/>
    </row>
    <row r="259" spans="1:38" s="98" customFormat="1" x14ac:dyDescent="0.25">
      <c r="A259" s="390">
        <v>45373</v>
      </c>
      <c r="B259" s="50" t="s">
        <v>830</v>
      </c>
      <c r="C259" s="101">
        <v>-650000</v>
      </c>
      <c r="D259" s="157" t="s">
        <v>928</v>
      </c>
      <c r="E259" s="157"/>
      <c r="F259" s="157"/>
      <c r="G259" s="93"/>
      <c r="H259" s="93"/>
      <c r="I259" s="93"/>
      <c r="J259" s="93"/>
      <c r="K259" s="93"/>
      <c r="L259" s="93"/>
      <c r="M259" s="93"/>
      <c r="N259" s="93"/>
      <c r="O259" s="93"/>
      <c r="P259" s="93"/>
      <c r="Q259" s="93"/>
      <c r="R259" s="97"/>
      <c r="S259" s="97"/>
      <c r="T259" s="97"/>
      <c r="U259" s="97"/>
      <c r="V259" s="97"/>
      <c r="W259" s="97"/>
      <c r="X259" s="97"/>
      <c r="Y259" s="97"/>
      <c r="Z259" s="97"/>
      <c r="AA259" s="93"/>
      <c r="AB259" s="93"/>
      <c r="AC259" s="93"/>
      <c r="AD259" s="93">
        <f>C259</f>
        <v>-650000</v>
      </c>
      <c r="AE259" s="93"/>
      <c r="AF259" s="93"/>
      <c r="AG259" s="93"/>
      <c r="AH259" s="93"/>
      <c r="AI259" s="93"/>
      <c r="AJ259" s="93"/>
      <c r="AK259" s="93"/>
      <c r="AL259" s="93"/>
    </row>
    <row r="260" spans="1:38" s="98" customFormat="1" x14ac:dyDescent="0.25">
      <c r="A260" s="390">
        <v>45374</v>
      </c>
      <c r="B260" s="316" t="s">
        <v>163</v>
      </c>
      <c r="C260" s="101">
        <v>-11000</v>
      </c>
      <c r="D260" s="157" t="s">
        <v>532</v>
      </c>
      <c r="E260" s="157"/>
      <c r="F260" s="157"/>
      <c r="G260" s="93"/>
      <c r="H260" s="93"/>
      <c r="I260" s="93"/>
      <c r="J260" s="93"/>
      <c r="K260" s="93">
        <f>C260</f>
        <v>-11000</v>
      </c>
      <c r="L260" s="93"/>
      <c r="M260" s="93"/>
      <c r="N260" s="93"/>
      <c r="O260" s="93"/>
      <c r="P260" s="93"/>
      <c r="Q260" s="93"/>
      <c r="R260" s="97"/>
      <c r="S260" s="97"/>
      <c r="T260" s="97"/>
      <c r="U260" s="97"/>
      <c r="V260" s="97"/>
      <c r="W260" s="97"/>
      <c r="X260" s="97"/>
      <c r="Y260" s="97"/>
      <c r="Z260" s="97"/>
      <c r="AA260" s="93"/>
      <c r="AB260" s="93"/>
      <c r="AC260" s="93"/>
      <c r="AD260" s="93"/>
      <c r="AE260" s="93"/>
      <c r="AF260" s="93"/>
      <c r="AG260" s="93"/>
      <c r="AH260" s="93"/>
      <c r="AI260" s="93"/>
      <c r="AJ260" s="93"/>
      <c r="AK260" s="93"/>
      <c r="AL260" s="93"/>
    </row>
    <row r="261" spans="1:38" s="98" customFormat="1" x14ac:dyDescent="0.25">
      <c r="A261" s="390">
        <v>45374</v>
      </c>
      <c r="B261" s="316" t="s">
        <v>832</v>
      </c>
      <c r="C261" s="101">
        <v>-508000</v>
      </c>
      <c r="D261" s="157" t="s">
        <v>927</v>
      </c>
      <c r="E261" s="157"/>
      <c r="F261" s="157"/>
      <c r="G261" s="93"/>
      <c r="H261" s="93"/>
      <c r="I261" s="93"/>
      <c r="J261" s="93"/>
      <c r="K261" s="93"/>
      <c r="L261" s="93">
        <f>C261</f>
        <v>-508000</v>
      </c>
      <c r="M261" s="93"/>
      <c r="N261" s="93"/>
      <c r="O261" s="93"/>
      <c r="P261" s="93"/>
      <c r="Q261" s="93"/>
      <c r="R261" s="97"/>
      <c r="S261" s="97"/>
      <c r="T261" s="97"/>
      <c r="U261" s="97"/>
      <c r="V261" s="97"/>
      <c r="W261" s="97"/>
      <c r="X261" s="97"/>
      <c r="Y261" s="97"/>
      <c r="Z261" s="97"/>
      <c r="AA261" s="93"/>
      <c r="AB261" s="93"/>
      <c r="AC261" s="93"/>
      <c r="AD261" s="93"/>
      <c r="AE261" s="93"/>
      <c r="AF261" s="93"/>
      <c r="AG261" s="93"/>
      <c r="AH261" s="93"/>
      <c r="AI261" s="93"/>
      <c r="AJ261" s="93"/>
      <c r="AK261" s="93"/>
      <c r="AL261" s="93"/>
    </row>
    <row r="262" spans="1:38" s="98" customFormat="1" x14ac:dyDescent="0.25">
      <c r="A262" s="390">
        <v>45374</v>
      </c>
      <c r="B262" s="316" t="s">
        <v>185</v>
      </c>
      <c r="C262" s="101">
        <v>-36000</v>
      </c>
      <c r="D262" s="157" t="s">
        <v>534</v>
      </c>
      <c r="E262" s="157"/>
      <c r="F262" s="157"/>
      <c r="G262" s="93"/>
      <c r="H262" s="93"/>
      <c r="I262" s="93"/>
      <c r="J262" s="93">
        <f>C262</f>
        <v>-36000</v>
      </c>
      <c r="K262" s="93"/>
      <c r="L262" s="93"/>
      <c r="M262" s="93"/>
      <c r="N262" s="93"/>
      <c r="O262" s="93"/>
      <c r="P262" s="93"/>
      <c r="Q262" s="93"/>
      <c r="R262" s="97"/>
      <c r="S262" s="97"/>
      <c r="T262" s="97"/>
      <c r="U262" s="97"/>
      <c r="V262" s="97"/>
      <c r="W262" s="97"/>
      <c r="X262" s="97"/>
      <c r="Y262" s="97"/>
      <c r="Z262" s="97"/>
      <c r="AA262" s="93"/>
      <c r="AB262" s="93"/>
      <c r="AC262" s="93"/>
      <c r="AD262" s="93"/>
      <c r="AE262" s="93"/>
      <c r="AF262" s="93"/>
      <c r="AG262" s="93"/>
      <c r="AH262" s="93"/>
      <c r="AI262" s="93"/>
      <c r="AJ262" s="93"/>
      <c r="AK262" s="93"/>
      <c r="AL262" s="93"/>
    </row>
    <row r="263" spans="1:38" s="98" customFormat="1" x14ac:dyDescent="0.25">
      <c r="A263" s="390">
        <v>45374</v>
      </c>
      <c r="B263" s="316" t="s">
        <v>267</v>
      </c>
      <c r="C263" s="101">
        <v>-2250000</v>
      </c>
      <c r="D263" s="157" t="s">
        <v>535</v>
      </c>
      <c r="E263" s="157"/>
      <c r="F263" s="157"/>
      <c r="G263" s="93"/>
      <c r="H263" s="93"/>
      <c r="I263" s="93"/>
      <c r="J263" s="93"/>
      <c r="K263" s="93"/>
      <c r="L263" s="93"/>
      <c r="M263" s="93"/>
      <c r="N263" s="93"/>
      <c r="O263" s="93"/>
      <c r="P263" s="93"/>
      <c r="Q263" s="93"/>
      <c r="R263" s="97"/>
      <c r="S263" s="97"/>
      <c r="T263" s="97"/>
      <c r="U263" s="97"/>
      <c r="V263" s="97"/>
      <c r="W263" s="97"/>
      <c r="X263" s="97"/>
      <c r="Y263" s="97"/>
      <c r="Z263" s="97"/>
      <c r="AA263" s="93"/>
      <c r="AB263" s="93"/>
      <c r="AC263" s="93"/>
      <c r="AD263" s="93"/>
      <c r="AE263" s="93"/>
      <c r="AF263" s="93"/>
      <c r="AG263" s="93">
        <f>C263</f>
        <v>-2250000</v>
      </c>
      <c r="AH263" s="93"/>
      <c r="AI263" s="93"/>
      <c r="AJ263" s="93"/>
      <c r="AK263" s="93"/>
      <c r="AL263" s="93"/>
    </row>
    <row r="264" spans="1:38" s="98" customFormat="1" x14ac:dyDescent="0.25">
      <c r="A264" s="390">
        <v>45374</v>
      </c>
      <c r="B264" s="316" t="s">
        <v>227</v>
      </c>
      <c r="C264" s="101">
        <v>-910800</v>
      </c>
      <c r="D264" s="157" t="s">
        <v>535</v>
      </c>
      <c r="E264" s="157"/>
      <c r="F264" s="157"/>
      <c r="G264" s="93"/>
      <c r="H264" s="93"/>
      <c r="I264" s="93"/>
      <c r="J264" s="93"/>
      <c r="K264" s="93"/>
      <c r="L264" s="93"/>
      <c r="M264" s="93"/>
      <c r="N264" s="93"/>
      <c r="O264" s="93"/>
      <c r="P264" s="93"/>
      <c r="Q264" s="93"/>
      <c r="R264" s="97"/>
      <c r="S264" s="97"/>
      <c r="T264" s="97"/>
      <c r="U264" s="97"/>
      <c r="V264" s="97"/>
      <c r="W264" s="97"/>
      <c r="X264" s="97"/>
      <c r="Y264" s="97"/>
      <c r="Z264" s="97"/>
      <c r="AA264" s="93"/>
      <c r="AB264" s="93"/>
      <c r="AC264" s="93"/>
      <c r="AD264" s="93"/>
      <c r="AE264" s="93"/>
      <c r="AF264" s="93"/>
      <c r="AG264" s="93">
        <f>C264</f>
        <v>-910800</v>
      </c>
      <c r="AH264" s="93"/>
      <c r="AI264" s="93"/>
      <c r="AJ264" s="93"/>
      <c r="AK264" s="93"/>
      <c r="AL264" s="93"/>
    </row>
    <row r="265" spans="1:38" s="98" customFormat="1" x14ac:dyDescent="0.25">
      <c r="A265" s="390">
        <v>45374</v>
      </c>
      <c r="B265" s="316" t="s">
        <v>837</v>
      </c>
      <c r="C265" s="101">
        <v>-200000</v>
      </c>
      <c r="D265" s="157" t="s">
        <v>206</v>
      </c>
      <c r="E265" s="157"/>
      <c r="F265" s="157"/>
      <c r="G265" s="93"/>
      <c r="H265" s="93"/>
      <c r="I265" s="93"/>
      <c r="J265" s="93"/>
      <c r="K265" s="93"/>
      <c r="L265" s="93"/>
      <c r="M265" s="93"/>
      <c r="N265" s="93"/>
      <c r="O265" s="93"/>
      <c r="P265" s="93"/>
      <c r="Q265" s="93"/>
      <c r="R265" s="97"/>
      <c r="S265" s="97"/>
      <c r="T265" s="97"/>
      <c r="U265" s="97"/>
      <c r="V265" s="97"/>
      <c r="W265" s="97">
        <f>C265</f>
        <v>-200000</v>
      </c>
      <c r="X265" s="97"/>
      <c r="Y265" s="97"/>
      <c r="Z265" s="97"/>
      <c r="AA265" s="93"/>
      <c r="AB265" s="93"/>
      <c r="AC265" s="93"/>
      <c r="AD265" s="93"/>
      <c r="AE265" s="93"/>
      <c r="AF265" s="93"/>
      <c r="AG265" s="93"/>
      <c r="AH265" s="93"/>
      <c r="AI265" s="93"/>
      <c r="AJ265" s="93"/>
      <c r="AK265" s="93"/>
      <c r="AL265" s="93"/>
    </row>
    <row r="266" spans="1:38" s="98" customFormat="1" x14ac:dyDescent="0.25">
      <c r="A266" s="390">
        <v>45374</v>
      </c>
      <c r="B266" s="316" t="s">
        <v>838</v>
      </c>
      <c r="C266" s="101">
        <v>-1800000</v>
      </c>
      <c r="D266" s="157" t="s">
        <v>27</v>
      </c>
      <c r="E266" s="157"/>
      <c r="F266" s="157"/>
      <c r="G266" s="93"/>
      <c r="H266" s="93"/>
      <c r="I266" s="93">
        <f>C266</f>
        <v>-1800000</v>
      </c>
      <c r="J266" s="93"/>
      <c r="K266" s="93"/>
      <c r="L266" s="93"/>
      <c r="M266" s="93"/>
      <c r="N266" s="93"/>
      <c r="O266" s="93"/>
      <c r="P266" s="93"/>
      <c r="Q266" s="93"/>
      <c r="R266" s="97"/>
      <c r="S266" s="97"/>
      <c r="T266" s="97"/>
      <c r="U266" s="97"/>
      <c r="V266" s="97"/>
      <c r="W266" s="97"/>
      <c r="X266" s="97"/>
      <c r="Y266" s="97"/>
      <c r="Z266" s="97"/>
      <c r="AA266" s="93"/>
      <c r="AB266" s="93"/>
      <c r="AC266" s="93"/>
      <c r="AD266" s="93"/>
      <c r="AE266" s="93"/>
      <c r="AF266" s="93"/>
      <c r="AG266" s="93"/>
      <c r="AH266" s="93"/>
      <c r="AI266" s="93"/>
      <c r="AJ266" s="93"/>
      <c r="AK266" s="93"/>
      <c r="AL266" s="93"/>
    </row>
    <row r="267" spans="1:38" s="98" customFormat="1" x14ac:dyDescent="0.25">
      <c r="A267" s="390">
        <v>45374</v>
      </c>
      <c r="B267" s="316" t="s">
        <v>839</v>
      </c>
      <c r="C267" s="101">
        <v>-1500000</v>
      </c>
      <c r="D267" s="157" t="s">
        <v>278</v>
      </c>
      <c r="E267" s="157"/>
      <c r="F267" s="157"/>
      <c r="G267" s="93"/>
      <c r="H267" s="93"/>
      <c r="I267" s="93"/>
      <c r="J267" s="93"/>
      <c r="K267" s="93"/>
      <c r="L267" s="93"/>
      <c r="M267" s="93"/>
      <c r="N267" s="93"/>
      <c r="O267" s="93"/>
      <c r="P267" s="93"/>
      <c r="Q267" s="93"/>
      <c r="R267" s="97"/>
      <c r="S267" s="97"/>
      <c r="T267" s="97"/>
      <c r="U267" s="97"/>
      <c r="V267" s="97"/>
      <c r="W267" s="97"/>
      <c r="X267" s="97"/>
      <c r="Y267" s="97"/>
      <c r="Z267" s="97"/>
      <c r="AA267" s="93"/>
      <c r="AB267" s="93"/>
      <c r="AC267" s="93"/>
      <c r="AD267" s="93"/>
      <c r="AE267" s="93"/>
      <c r="AF267" s="93">
        <f>C267</f>
        <v>-1500000</v>
      </c>
      <c r="AG267" s="93"/>
      <c r="AH267" s="93"/>
      <c r="AI267" s="93"/>
      <c r="AJ267" s="93"/>
      <c r="AK267" s="93"/>
      <c r="AL267" s="93"/>
    </row>
    <row r="268" spans="1:38" s="98" customFormat="1" x14ac:dyDescent="0.25">
      <c r="A268" s="390">
        <v>45374</v>
      </c>
      <c r="B268" s="316" t="s">
        <v>840</v>
      </c>
      <c r="C268" s="101">
        <v>-1000000</v>
      </c>
      <c r="D268" s="157" t="s">
        <v>535</v>
      </c>
      <c r="E268" s="157"/>
      <c r="F268" s="157"/>
      <c r="G268" s="93"/>
      <c r="H268" s="93"/>
      <c r="I268" s="93"/>
      <c r="J268" s="93"/>
      <c r="K268" s="93"/>
      <c r="L268" s="93"/>
      <c r="M268" s="93"/>
      <c r="N268" s="93"/>
      <c r="O268" s="93"/>
      <c r="P268" s="93"/>
      <c r="Q268" s="93"/>
      <c r="R268" s="97"/>
      <c r="S268" s="97"/>
      <c r="T268" s="97"/>
      <c r="U268" s="97"/>
      <c r="V268" s="97"/>
      <c r="W268" s="97"/>
      <c r="X268" s="97"/>
      <c r="Y268" s="97"/>
      <c r="Z268" s="97"/>
      <c r="AA268" s="93"/>
      <c r="AB268" s="93"/>
      <c r="AC268" s="93"/>
      <c r="AD268" s="93"/>
      <c r="AE268" s="93"/>
      <c r="AF268" s="93"/>
      <c r="AG268" s="93">
        <f>C268</f>
        <v>-1000000</v>
      </c>
      <c r="AH268" s="93"/>
      <c r="AI268" s="93"/>
      <c r="AJ268" s="93"/>
      <c r="AK268" s="93"/>
      <c r="AL268" s="93"/>
    </row>
    <row r="269" spans="1:38" s="98" customFormat="1" x14ac:dyDescent="0.25">
      <c r="A269" s="390">
        <v>45374</v>
      </c>
      <c r="B269" s="316" t="s">
        <v>843</v>
      </c>
      <c r="C269" s="101">
        <v>-5000000</v>
      </c>
      <c r="D269" s="157" t="s">
        <v>535</v>
      </c>
      <c r="E269" s="157"/>
      <c r="F269" s="157"/>
      <c r="G269" s="93"/>
      <c r="H269" s="93"/>
      <c r="I269" s="93"/>
      <c r="J269" s="93"/>
      <c r="K269" s="93"/>
      <c r="L269" s="93"/>
      <c r="M269" s="93"/>
      <c r="N269" s="93"/>
      <c r="O269" s="93"/>
      <c r="P269" s="93"/>
      <c r="Q269" s="93"/>
      <c r="R269" s="97"/>
      <c r="S269" s="97"/>
      <c r="T269" s="97"/>
      <c r="U269" s="97"/>
      <c r="V269" s="97"/>
      <c r="W269" s="97"/>
      <c r="X269" s="97"/>
      <c r="Y269" s="97"/>
      <c r="Z269" s="97"/>
      <c r="AA269" s="93"/>
      <c r="AB269" s="93"/>
      <c r="AC269" s="93"/>
      <c r="AD269" s="93"/>
      <c r="AE269" s="93"/>
      <c r="AF269" s="93"/>
      <c r="AG269" s="93">
        <f>C269</f>
        <v>-5000000</v>
      </c>
      <c r="AH269" s="93"/>
      <c r="AI269" s="93"/>
      <c r="AJ269" s="93"/>
      <c r="AK269" s="93"/>
      <c r="AL269" s="93"/>
    </row>
    <row r="270" spans="1:38" s="98" customFormat="1" x14ac:dyDescent="0.25">
      <c r="A270" s="390">
        <v>45375</v>
      </c>
      <c r="B270" s="316" t="s">
        <v>163</v>
      </c>
      <c r="C270" s="101">
        <v>-11000</v>
      </c>
      <c r="D270" s="157" t="s">
        <v>532</v>
      </c>
      <c r="E270" s="157"/>
      <c r="F270" s="157"/>
      <c r="G270" s="93"/>
      <c r="H270" s="93"/>
      <c r="I270" s="93"/>
      <c r="J270" s="93"/>
      <c r="K270" s="93">
        <f>C270</f>
        <v>-11000</v>
      </c>
      <c r="L270" s="93"/>
      <c r="M270" s="93"/>
      <c r="N270" s="93"/>
      <c r="O270" s="93"/>
      <c r="P270" s="93"/>
      <c r="Q270" s="93"/>
      <c r="R270" s="97"/>
      <c r="S270" s="97"/>
      <c r="T270" s="97"/>
      <c r="U270" s="97"/>
      <c r="V270" s="97"/>
      <c r="W270" s="97"/>
      <c r="X270" s="97"/>
      <c r="Y270" s="97"/>
      <c r="Z270" s="97"/>
      <c r="AA270" s="93"/>
      <c r="AB270" s="93"/>
      <c r="AC270" s="93"/>
      <c r="AD270" s="93"/>
      <c r="AE270" s="93"/>
      <c r="AF270" s="93"/>
      <c r="AG270" s="93"/>
      <c r="AH270" s="93"/>
      <c r="AI270" s="93"/>
      <c r="AJ270" s="93"/>
      <c r="AK270" s="93"/>
      <c r="AL270" s="93"/>
    </row>
    <row r="271" spans="1:38" s="98" customFormat="1" x14ac:dyDescent="0.25">
      <c r="A271" s="390">
        <v>45375</v>
      </c>
      <c r="B271" s="316" t="s">
        <v>850</v>
      </c>
      <c r="C271" s="101">
        <v>-1177500</v>
      </c>
      <c r="D271" s="157" t="s">
        <v>533</v>
      </c>
      <c r="E271" s="157"/>
      <c r="F271" s="157"/>
      <c r="G271" s="93"/>
      <c r="H271" s="93">
        <f>C271</f>
        <v>-1177500</v>
      </c>
      <c r="I271" s="93"/>
      <c r="J271" s="93"/>
      <c r="K271" s="93"/>
      <c r="L271" s="93"/>
      <c r="M271" s="93"/>
      <c r="N271" s="93"/>
      <c r="O271" s="93"/>
      <c r="P271" s="93"/>
      <c r="Q271" s="93"/>
      <c r="R271" s="97"/>
      <c r="S271" s="97"/>
      <c r="T271" s="97"/>
      <c r="U271" s="97"/>
      <c r="V271" s="97"/>
      <c r="W271" s="97"/>
      <c r="X271" s="97"/>
      <c r="Y271" s="97"/>
      <c r="Z271" s="97"/>
      <c r="AA271" s="93"/>
      <c r="AB271" s="93"/>
      <c r="AC271" s="93"/>
      <c r="AD271" s="93"/>
      <c r="AE271" s="93"/>
      <c r="AF271" s="93"/>
      <c r="AG271" s="93"/>
      <c r="AH271" s="93"/>
      <c r="AI271" s="93"/>
      <c r="AJ271" s="93"/>
      <c r="AK271" s="93"/>
      <c r="AL271" s="93"/>
    </row>
    <row r="272" spans="1:38" s="98" customFormat="1" x14ac:dyDescent="0.25">
      <c r="A272" s="390">
        <v>45375</v>
      </c>
      <c r="B272" s="316" t="s">
        <v>851</v>
      </c>
      <c r="C272" s="101">
        <v>-1101050</v>
      </c>
      <c r="D272" s="157" t="s">
        <v>533</v>
      </c>
      <c r="E272" s="157"/>
      <c r="F272" s="157"/>
      <c r="G272" s="93"/>
      <c r="H272" s="93">
        <f>C272</f>
        <v>-1101050</v>
      </c>
      <c r="I272" s="93"/>
      <c r="J272" s="93"/>
      <c r="K272" s="93"/>
      <c r="L272" s="93"/>
      <c r="M272" s="93"/>
      <c r="N272" s="93"/>
      <c r="O272" s="93"/>
      <c r="P272" s="93"/>
      <c r="Q272" s="93"/>
      <c r="R272" s="97"/>
      <c r="S272" s="97"/>
      <c r="T272" s="97"/>
      <c r="U272" s="97"/>
      <c r="V272" s="97"/>
      <c r="W272" s="97"/>
      <c r="X272" s="97"/>
      <c r="Y272" s="97"/>
      <c r="Z272" s="97"/>
      <c r="AA272" s="93"/>
      <c r="AB272" s="93"/>
      <c r="AC272" s="93"/>
      <c r="AD272" s="93"/>
      <c r="AE272" s="93"/>
      <c r="AF272" s="93"/>
      <c r="AG272" s="93"/>
      <c r="AH272" s="93"/>
      <c r="AI272" s="93"/>
      <c r="AJ272" s="93"/>
      <c r="AK272" s="93"/>
      <c r="AL272" s="93"/>
    </row>
    <row r="273" spans="1:38" s="98" customFormat="1" x14ac:dyDescent="0.25">
      <c r="A273" s="390">
        <v>45375</v>
      </c>
      <c r="B273" s="316" t="s">
        <v>264</v>
      </c>
      <c r="C273" s="101">
        <v>-8000</v>
      </c>
      <c r="D273" s="157" t="s">
        <v>533</v>
      </c>
      <c r="E273" s="157"/>
      <c r="F273" s="157"/>
      <c r="G273" s="93"/>
      <c r="H273" s="93">
        <f>C273</f>
        <v>-8000</v>
      </c>
      <c r="I273" s="93"/>
      <c r="J273" s="93"/>
      <c r="K273" s="93"/>
      <c r="L273" s="93"/>
      <c r="M273" s="93"/>
      <c r="N273" s="93"/>
      <c r="O273" s="93"/>
      <c r="P273" s="93"/>
      <c r="Q273" s="93"/>
      <c r="R273" s="97"/>
      <c r="S273" s="97"/>
      <c r="T273" s="97"/>
      <c r="U273" s="97"/>
      <c r="V273" s="97"/>
      <c r="W273" s="97"/>
      <c r="X273" s="97"/>
      <c r="Y273" s="97"/>
      <c r="Z273" s="97"/>
      <c r="AA273" s="93"/>
      <c r="AB273" s="93"/>
      <c r="AC273" s="93"/>
      <c r="AD273" s="93"/>
      <c r="AE273" s="93"/>
      <c r="AF273" s="93"/>
      <c r="AG273" s="93"/>
      <c r="AH273" s="93"/>
      <c r="AI273" s="93"/>
      <c r="AJ273" s="93"/>
      <c r="AK273" s="93"/>
      <c r="AL273" s="93"/>
    </row>
    <row r="274" spans="1:38" s="98" customFormat="1" x14ac:dyDescent="0.25">
      <c r="A274" s="390">
        <v>45375</v>
      </c>
      <c r="B274" s="316" t="s">
        <v>854</v>
      </c>
      <c r="C274" s="101">
        <v>-9000</v>
      </c>
      <c r="D274" s="157" t="s">
        <v>533</v>
      </c>
      <c r="E274" s="157"/>
      <c r="F274" s="157"/>
      <c r="G274" s="93"/>
      <c r="H274" s="93">
        <f>C274</f>
        <v>-9000</v>
      </c>
      <c r="I274" s="93"/>
      <c r="J274" s="93"/>
      <c r="K274" s="93"/>
      <c r="L274" s="93"/>
      <c r="M274" s="93"/>
      <c r="N274" s="93"/>
      <c r="O274" s="93"/>
      <c r="P274" s="93"/>
      <c r="Q274" s="93"/>
      <c r="R274" s="97"/>
      <c r="S274" s="97"/>
      <c r="T274" s="97"/>
      <c r="U274" s="97"/>
      <c r="V274" s="97"/>
      <c r="W274" s="97"/>
      <c r="X274" s="97"/>
      <c r="Y274" s="97"/>
      <c r="Z274" s="97"/>
      <c r="AA274" s="93"/>
      <c r="AB274" s="93"/>
      <c r="AC274" s="93"/>
      <c r="AD274" s="93"/>
      <c r="AE274" s="93"/>
      <c r="AF274" s="93"/>
      <c r="AG274" s="93"/>
      <c r="AH274" s="93"/>
      <c r="AI274" s="93"/>
      <c r="AJ274" s="93"/>
      <c r="AK274" s="93"/>
      <c r="AL274" s="93"/>
    </row>
    <row r="275" spans="1:38" s="98" customFormat="1" x14ac:dyDescent="0.25">
      <c r="A275" s="390">
        <v>45375</v>
      </c>
      <c r="B275" s="316" t="s">
        <v>185</v>
      </c>
      <c r="C275" s="101">
        <v>-147800</v>
      </c>
      <c r="D275" s="157" t="s">
        <v>534</v>
      </c>
      <c r="E275" s="157"/>
      <c r="F275" s="157"/>
      <c r="G275" s="93"/>
      <c r="H275" s="93"/>
      <c r="I275" s="93"/>
      <c r="J275" s="93">
        <f>C275</f>
        <v>-147800</v>
      </c>
      <c r="K275" s="93"/>
      <c r="L275" s="93"/>
      <c r="M275" s="93"/>
      <c r="N275" s="93"/>
      <c r="O275" s="93"/>
      <c r="P275" s="93"/>
      <c r="Q275" s="93"/>
      <c r="R275" s="97"/>
      <c r="S275" s="97"/>
      <c r="T275" s="97"/>
      <c r="U275" s="97"/>
      <c r="V275" s="97"/>
      <c r="W275" s="97"/>
      <c r="X275" s="97"/>
      <c r="Y275" s="97"/>
      <c r="Z275" s="97"/>
      <c r="AA275" s="93"/>
      <c r="AB275" s="93"/>
      <c r="AC275" s="93"/>
      <c r="AD275" s="93"/>
      <c r="AE275" s="93"/>
      <c r="AF275" s="93"/>
      <c r="AG275" s="93"/>
      <c r="AH275" s="93"/>
      <c r="AI275" s="93"/>
      <c r="AJ275" s="93"/>
      <c r="AK275" s="93"/>
      <c r="AL275" s="93"/>
    </row>
    <row r="276" spans="1:38" s="98" customFormat="1" x14ac:dyDescent="0.25">
      <c r="A276" s="390">
        <v>45375</v>
      </c>
      <c r="B276" s="316" t="s">
        <v>856</v>
      </c>
      <c r="C276" s="101">
        <v>-34900</v>
      </c>
      <c r="D276" s="157" t="s">
        <v>27</v>
      </c>
      <c r="E276" s="157"/>
      <c r="F276" s="157"/>
      <c r="G276" s="93"/>
      <c r="H276" s="93"/>
      <c r="I276" s="93">
        <f>C276</f>
        <v>-34900</v>
      </c>
      <c r="J276" s="93"/>
      <c r="K276" s="93"/>
      <c r="L276" s="93"/>
      <c r="M276" s="93"/>
      <c r="N276" s="93"/>
      <c r="O276" s="93"/>
      <c r="P276" s="93"/>
      <c r="Q276" s="93"/>
      <c r="R276" s="97"/>
      <c r="S276" s="97"/>
      <c r="T276" s="97"/>
      <c r="U276" s="97"/>
      <c r="V276" s="97"/>
      <c r="W276" s="97"/>
      <c r="X276" s="97"/>
      <c r="Y276" s="97"/>
      <c r="Z276" s="97"/>
      <c r="AA276" s="93"/>
      <c r="AB276" s="93"/>
      <c r="AC276" s="93"/>
      <c r="AD276" s="93"/>
      <c r="AE276" s="93"/>
      <c r="AF276" s="93"/>
      <c r="AG276" s="93"/>
      <c r="AH276" s="93"/>
      <c r="AI276" s="93"/>
      <c r="AJ276" s="93"/>
      <c r="AK276" s="93"/>
      <c r="AL276" s="93"/>
    </row>
    <row r="277" spans="1:38" s="98" customFormat="1" x14ac:dyDescent="0.25">
      <c r="A277" s="390">
        <v>45375</v>
      </c>
      <c r="B277" s="316" t="s">
        <v>859</v>
      </c>
      <c r="C277" s="101">
        <v>-40000</v>
      </c>
      <c r="D277" s="157" t="s">
        <v>532</v>
      </c>
      <c r="E277" s="157"/>
      <c r="F277" s="157"/>
      <c r="G277" s="93"/>
      <c r="H277" s="93"/>
      <c r="I277" s="93"/>
      <c r="J277" s="93"/>
      <c r="K277" s="93">
        <f>C277</f>
        <v>-40000</v>
      </c>
      <c r="L277" s="93"/>
      <c r="M277" s="93"/>
      <c r="N277" s="93"/>
      <c r="O277" s="93"/>
      <c r="P277" s="93"/>
      <c r="Q277" s="93"/>
      <c r="R277" s="97"/>
      <c r="S277" s="97"/>
      <c r="T277" s="97"/>
      <c r="U277" s="97"/>
      <c r="V277" s="97"/>
      <c r="W277" s="97"/>
      <c r="X277" s="97"/>
      <c r="Y277" s="97"/>
      <c r="Z277" s="97"/>
      <c r="AA277" s="93"/>
      <c r="AB277" s="93"/>
      <c r="AC277" s="93"/>
      <c r="AD277" s="93"/>
      <c r="AE277" s="93"/>
      <c r="AF277" s="93"/>
      <c r="AG277" s="93"/>
      <c r="AH277" s="93"/>
      <c r="AI277" s="93"/>
      <c r="AJ277" s="93"/>
      <c r="AK277" s="93"/>
      <c r="AL277" s="93"/>
    </row>
    <row r="278" spans="1:38" s="98" customFormat="1" x14ac:dyDescent="0.25">
      <c r="A278" s="390">
        <v>45376</v>
      </c>
      <c r="B278" s="316" t="s">
        <v>861</v>
      </c>
      <c r="C278" s="101">
        <v>-11000</v>
      </c>
      <c r="D278" s="157" t="s">
        <v>532</v>
      </c>
      <c r="E278" s="157"/>
      <c r="F278" s="157"/>
      <c r="G278" s="93"/>
      <c r="H278" s="93"/>
      <c r="I278" s="93"/>
      <c r="J278" s="93"/>
      <c r="K278" s="93">
        <f>C278</f>
        <v>-11000</v>
      </c>
      <c r="L278" s="93"/>
      <c r="M278" s="93"/>
      <c r="N278" s="93"/>
      <c r="O278" s="93"/>
      <c r="P278" s="93"/>
      <c r="Q278" s="93"/>
      <c r="R278" s="97"/>
      <c r="S278" s="97"/>
      <c r="T278" s="97"/>
      <c r="U278" s="97"/>
      <c r="V278" s="97"/>
      <c r="W278" s="97"/>
      <c r="X278" s="97"/>
      <c r="Y278" s="97"/>
      <c r="Z278" s="97"/>
      <c r="AA278" s="93"/>
      <c r="AB278" s="93"/>
      <c r="AC278" s="93"/>
      <c r="AD278" s="93"/>
      <c r="AE278" s="93"/>
      <c r="AF278" s="93"/>
      <c r="AG278" s="93"/>
      <c r="AH278" s="93"/>
      <c r="AI278" s="93"/>
      <c r="AJ278" s="93"/>
      <c r="AK278" s="93"/>
      <c r="AL278" s="93"/>
    </row>
    <row r="279" spans="1:38" s="98" customFormat="1" x14ac:dyDescent="0.25">
      <c r="A279" s="390">
        <v>45376</v>
      </c>
      <c r="B279" s="316" t="s">
        <v>782</v>
      </c>
      <c r="C279" s="101">
        <v>-2493000</v>
      </c>
      <c r="D279" s="157" t="s">
        <v>278</v>
      </c>
      <c r="E279" s="157"/>
      <c r="F279" s="157"/>
      <c r="G279" s="93"/>
      <c r="H279" s="93"/>
      <c r="I279" s="93"/>
      <c r="J279" s="93"/>
      <c r="K279" s="93"/>
      <c r="L279" s="93"/>
      <c r="M279" s="93"/>
      <c r="N279" s="93"/>
      <c r="O279" s="93"/>
      <c r="P279" s="93"/>
      <c r="Q279" s="93"/>
      <c r="R279" s="97"/>
      <c r="S279" s="97"/>
      <c r="T279" s="97"/>
      <c r="U279" s="97"/>
      <c r="V279" s="97"/>
      <c r="W279" s="97"/>
      <c r="X279" s="97"/>
      <c r="Y279" s="97"/>
      <c r="Z279" s="97"/>
      <c r="AA279" s="93"/>
      <c r="AB279" s="93"/>
      <c r="AC279" s="93"/>
      <c r="AD279" s="93"/>
      <c r="AE279" s="93"/>
      <c r="AF279" s="93">
        <f>C279</f>
        <v>-2493000</v>
      </c>
      <c r="AG279" s="93"/>
      <c r="AH279" s="93"/>
      <c r="AI279" s="93"/>
      <c r="AJ279" s="93"/>
      <c r="AK279" s="93"/>
      <c r="AL279" s="93"/>
    </row>
    <row r="280" spans="1:38" s="98" customFormat="1" x14ac:dyDescent="0.25">
      <c r="A280" s="390">
        <v>45376</v>
      </c>
      <c r="B280" s="316" t="s">
        <v>863</v>
      </c>
      <c r="C280" s="101">
        <v>-70000</v>
      </c>
      <c r="D280" s="157" t="s">
        <v>532</v>
      </c>
      <c r="E280" s="157"/>
      <c r="F280" s="157"/>
      <c r="G280" s="93"/>
      <c r="H280" s="93"/>
      <c r="I280" s="93"/>
      <c r="J280" s="93"/>
      <c r="K280" s="93">
        <f>C280</f>
        <v>-70000</v>
      </c>
      <c r="L280" s="93"/>
      <c r="M280" s="93"/>
      <c r="N280" s="93"/>
      <c r="O280" s="93"/>
      <c r="P280" s="93"/>
      <c r="Q280" s="93"/>
      <c r="R280" s="97"/>
      <c r="S280" s="97"/>
      <c r="T280" s="97"/>
      <c r="U280" s="97"/>
      <c r="V280" s="97"/>
      <c r="W280" s="97"/>
      <c r="X280" s="97"/>
      <c r="Y280" s="97"/>
      <c r="Z280" s="97"/>
      <c r="AA280" s="93"/>
      <c r="AB280" s="93"/>
      <c r="AC280" s="93"/>
      <c r="AD280" s="93"/>
      <c r="AE280" s="93"/>
      <c r="AF280" s="93"/>
      <c r="AG280" s="93"/>
      <c r="AH280" s="93"/>
      <c r="AI280" s="93"/>
      <c r="AJ280" s="93"/>
      <c r="AK280" s="93"/>
      <c r="AL280" s="93"/>
    </row>
    <row r="281" spans="1:38" s="98" customFormat="1" x14ac:dyDescent="0.25">
      <c r="A281" s="390">
        <v>45376</v>
      </c>
      <c r="B281" s="316" t="s">
        <v>864</v>
      </c>
      <c r="C281" s="101">
        <v>-100000</v>
      </c>
      <c r="D281" s="157" t="s">
        <v>206</v>
      </c>
      <c r="E281" s="157"/>
      <c r="F281" s="157"/>
      <c r="G281" s="93"/>
      <c r="H281" s="93"/>
      <c r="I281" s="93"/>
      <c r="J281" s="93"/>
      <c r="K281" s="93"/>
      <c r="L281" s="93"/>
      <c r="M281" s="93"/>
      <c r="N281" s="93"/>
      <c r="O281" s="93"/>
      <c r="P281" s="93"/>
      <c r="Q281" s="93"/>
      <c r="R281" s="97"/>
      <c r="S281" s="97"/>
      <c r="T281" s="97"/>
      <c r="U281" s="97"/>
      <c r="V281" s="97"/>
      <c r="W281" s="97">
        <f>C281</f>
        <v>-100000</v>
      </c>
      <c r="X281" s="97"/>
      <c r="Y281" s="97"/>
      <c r="Z281" s="97"/>
      <c r="AA281" s="93"/>
      <c r="AB281" s="93"/>
      <c r="AC281" s="93"/>
      <c r="AD281" s="93"/>
      <c r="AE281" s="93"/>
      <c r="AF281" s="93"/>
      <c r="AG281" s="93"/>
      <c r="AH281" s="93"/>
      <c r="AI281" s="93"/>
      <c r="AJ281" s="93"/>
      <c r="AK281" s="93"/>
      <c r="AL281" s="93"/>
    </row>
    <row r="282" spans="1:38" s="98" customFormat="1" x14ac:dyDescent="0.25">
      <c r="A282" s="390">
        <v>45376</v>
      </c>
      <c r="B282" s="316" t="s">
        <v>865</v>
      </c>
      <c r="C282" s="101">
        <v>-800000</v>
      </c>
      <c r="D282" s="157" t="s">
        <v>928</v>
      </c>
      <c r="E282" s="157"/>
      <c r="F282" s="157"/>
      <c r="G282" s="93"/>
      <c r="H282" s="93"/>
      <c r="I282" s="93"/>
      <c r="J282" s="93"/>
      <c r="K282" s="93"/>
      <c r="L282" s="93"/>
      <c r="M282" s="93"/>
      <c r="N282" s="93"/>
      <c r="O282" s="93"/>
      <c r="P282" s="93"/>
      <c r="Q282" s="93"/>
      <c r="R282" s="97"/>
      <c r="S282" s="97"/>
      <c r="T282" s="97"/>
      <c r="U282" s="97"/>
      <c r="V282" s="97"/>
      <c r="W282" s="97"/>
      <c r="X282" s="97"/>
      <c r="Y282" s="97"/>
      <c r="Z282" s="97"/>
      <c r="AA282" s="93"/>
      <c r="AB282" s="93"/>
      <c r="AC282" s="93"/>
      <c r="AD282" s="93">
        <f>C282</f>
        <v>-800000</v>
      </c>
      <c r="AE282" s="93"/>
      <c r="AF282" s="93"/>
      <c r="AG282" s="93"/>
      <c r="AH282" s="93"/>
      <c r="AI282" s="93"/>
      <c r="AJ282" s="93"/>
      <c r="AK282" s="93"/>
      <c r="AL282" s="93"/>
    </row>
    <row r="283" spans="1:38" s="98" customFormat="1" x14ac:dyDescent="0.25">
      <c r="A283" s="390">
        <v>45376</v>
      </c>
      <c r="B283" s="316" t="s">
        <v>866</v>
      </c>
      <c r="C283" s="101">
        <v>-905000</v>
      </c>
      <c r="D283" s="157" t="s">
        <v>535</v>
      </c>
      <c r="E283" s="157"/>
      <c r="F283" s="157"/>
      <c r="G283" s="93"/>
      <c r="H283" s="93"/>
      <c r="I283" s="93"/>
      <c r="J283" s="93"/>
      <c r="K283" s="93"/>
      <c r="L283" s="93"/>
      <c r="M283" s="93"/>
      <c r="N283" s="93"/>
      <c r="O283" s="93"/>
      <c r="P283" s="93"/>
      <c r="Q283" s="93"/>
      <c r="R283" s="97"/>
      <c r="S283" s="97"/>
      <c r="T283" s="97"/>
      <c r="U283" s="97"/>
      <c r="V283" s="97"/>
      <c r="W283" s="97"/>
      <c r="X283" s="97"/>
      <c r="Y283" s="97"/>
      <c r="Z283" s="97"/>
      <c r="AA283" s="93"/>
      <c r="AB283" s="93"/>
      <c r="AC283" s="93"/>
      <c r="AD283" s="93"/>
      <c r="AE283" s="93"/>
      <c r="AF283" s="93"/>
      <c r="AG283" s="93">
        <f>C283</f>
        <v>-905000</v>
      </c>
      <c r="AH283" s="93"/>
      <c r="AI283" s="93"/>
      <c r="AJ283" s="93"/>
      <c r="AK283" s="93"/>
      <c r="AL283" s="93"/>
    </row>
    <row r="284" spans="1:38" s="98" customFormat="1" x14ac:dyDescent="0.25">
      <c r="A284" s="390">
        <v>45376</v>
      </c>
      <c r="B284" s="316" t="s">
        <v>220</v>
      </c>
      <c r="C284" s="101">
        <v>-431500</v>
      </c>
      <c r="D284" s="157" t="s">
        <v>928</v>
      </c>
      <c r="E284" s="157"/>
      <c r="F284" s="157"/>
      <c r="G284" s="93"/>
      <c r="H284" s="93"/>
      <c r="I284" s="93"/>
      <c r="J284" s="93"/>
      <c r="K284" s="93"/>
      <c r="L284" s="93"/>
      <c r="M284" s="93"/>
      <c r="N284" s="93"/>
      <c r="O284" s="93"/>
      <c r="P284" s="93"/>
      <c r="Q284" s="93"/>
      <c r="R284" s="97"/>
      <c r="S284" s="97"/>
      <c r="T284" s="97"/>
      <c r="U284" s="97"/>
      <c r="V284" s="97"/>
      <c r="W284" s="97"/>
      <c r="X284" s="97"/>
      <c r="Y284" s="97"/>
      <c r="Z284" s="97"/>
      <c r="AA284" s="93"/>
      <c r="AB284" s="93"/>
      <c r="AC284" s="93"/>
      <c r="AD284" s="93">
        <f>C284</f>
        <v>-431500</v>
      </c>
      <c r="AE284" s="93"/>
      <c r="AF284" s="93"/>
      <c r="AG284" s="93"/>
      <c r="AH284" s="93"/>
      <c r="AI284" s="93"/>
      <c r="AJ284" s="93"/>
      <c r="AK284" s="93"/>
      <c r="AL284" s="93"/>
    </row>
    <row r="285" spans="1:38" s="98" customFormat="1" x14ac:dyDescent="0.25">
      <c r="A285" s="390">
        <v>45376</v>
      </c>
      <c r="B285" s="316" t="s">
        <v>797</v>
      </c>
      <c r="C285" s="101">
        <v>-168500</v>
      </c>
      <c r="D285" s="157" t="s">
        <v>278</v>
      </c>
      <c r="E285" s="157"/>
      <c r="F285" s="157"/>
      <c r="G285" s="93"/>
      <c r="H285" s="93"/>
      <c r="I285" s="93"/>
      <c r="J285" s="93"/>
      <c r="K285" s="93"/>
      <c r="L285" s="93"/>
      <c r="M285" s="93"/>
      <c r="N285" s="93"/>
      <c r="O285" s="93"/>
      <c r="P285" s="93"/>
      <c r="Q285" s="93"/>
      <c r="R285" s="97"/>
      <c r="S285" s="97"/>
      <c r="T285" s="97"/>
      <c r="U285" s="97"/>
      <c r="V285" s="97"/>
      <c r="W285" s="97"/>
      <c r="X285" s="97"/>
      <c r="Y285" s="97"/>
      <c r="Z285" s="97"/>
      <c r="AA285" s="93"/>
      <c r="AB285" s="93"/>
      <c r="AC285" s="93"/>
      <c r="AD285" s="93"/>
      <c r="AE285" s="93"/>
      <c r="AF285" s="93">
        <f>C285</f>
        <v>-168500</v>
      </c>
      <c r="AG285" s="93"/>
      <c r="AH285" s="93"/>
      <c r="AI285" s="93"/>
      <c r="AJ285" s="93"/>
      <c r="AK285" s="93"/>
      <c r="AL285" s="93"/>
    </row>
    <row r="286" spans="1:38" s="98" customFormat="1" x14ac:dyDescent="0.25">
      <c r="A286" s="99">
        <v>45377</v>
      </c>
      <c r="B286" s="316" t="s">
        <v>868</v>
      </c>
      <c r="C286" s="101">
        <v>-11000</v>
      </c>
      <c r="D286" s="157" t="s">
        <v>532</v>
      </c>
      <c r="E286" s="93"/>
      <c r="F286" s="93"/>
      <c r="G286" s="93"/>
      <c r="H286" s="93"/>
      <c r="I286" s="93"/>
      <c r="J286" s="93"/>
      <c r="K286" s="93">
        <f>C286</f>
        <v>-11000</v>
      </c>
      <c r="L286" s="93"/>
      <c r="M286" s="93"/>
      <c r="N286" s="93"/>
      <c r="O286" s="93"/>
      <c r="P286" s="93"/>
      <c r="Q286" s="93"/>
      <c r="R286" s="97"/>
      <c r="S286" s="97"/>
      <c r="T286" s="97"/>
      <c r="U286" s="97"/>
      <c r="V286" s="97"/>
      <c r="W286" s="97"/>
      <c r="X286" s="97"/>
      <c r="Y286" s="97"/>
      <c r="Z286" s="97"/>
      <c r="AA286" s="93"/>
      <c r="AB286" s="93"/>
      <c r="AC286" s="93"/>
      <c r="AD286" s="97"/>
      <c r="AE286" s="93"/>
      <c r="AF286" s="97"/>
      <c r="AG286" s="97"/>
      <c r="AH286" s="97"/>
      <c r="AI286" s="93"/>
      <c r="AJ286" s="93"/>
      <c r="AK286" s="93"/>
      <c r="AL286" s="93"/>
    </row>
    <row r="287" spans="1:38" s="98" customFormat="1" x14ac:dyDescent="0.25">
      <c r="A287" s="99">
        <v>45377</v>
      </c>
      <c r="B287" s="316" t="s">
        <v>737</v>
      </c>
      <c r="C287" s="101">
        <v>-150000</v>
      </c>
      <c r="D287" s="157" t="s">
        <v>278</v>
      </c>
      <c r="E287" s="93"/>
      <c r="F287" s="93"/>
      <c r="G287" s="93"/>
      <c r="H287" s="93"/>
      <c r="I287" s="93"/>
      <c r="J287" s="93"/>
      <c r="K287" s="93"/>
      <c r="L287" s="93"/>
      <c r="M287" s="93"/>
      <c r="N287" s="93"/>
      <c r="O287" s="93"/>
      <c r="P287" s="93"/>
      <c r="Q287" s="93"/>
      <c r="R287" s="97"/>
      <c r="S287" s="97"/>
      <c r="T287" s="97"/>
      <c r="U287" s="97"/>
      <c r="V287" s="97"/>
      <c r="W287" s="97"/>
      <c r="X287" s="97"/>
      <c r="Y287" s="97"/>
      <c r="Z287" s="97"/>
      <c r="AA287" s="93"/>
      <c r="AB287" s="93"/>
      <c r="AC287" s="93"/>
      <c r="AD287" s="97"/>
      <c r="AE287" s="93"/>
      <c r="AF287" s="97">
        <f>C287</f>
        <v>-150000</v>
      </c>
      <c r="AG287" s="97"/>
      <c r="AH287" s="97"/>
      <c r="AI287" s="93"/>
      <c r="AJ287" s="93"/>
      <c r="AK287" s="93"/>
      <c r="AL287" s="93"/>
    </row>
    <row r="288" spans="1:38" s="98" customFormat="1" x14ac:dyDescent="0.25">
      <c r="A288" s="99">
        <v>45377</v>
      </c>
      <c r="B288" s="316" t="s">
        <v>869</v>
      </c>
      <c r="C288" s="101">
        <v>-100000</v>
      </c>
      <c r="D288" s="157" t="s">
        <v>942</v>
      </c>
      <c r="E288" s="157"/>
      <c r="F288" s="157"/>
      <c r="G288" s="93"/>
      <c r="H288" s="93"/>
      <c r="I288" s="93"/>
      <c r="J288" s="93"/>
      <c r="K288" s="93"/>
      <c r="L288" s="93"/>
      <c r="M288" s="93">
        <f>C288</f>
        <v>-100000</v>
      </c>
      <c r="N288" s="93"/>
      <c r="O288" s="93"/>
      <c r="P288" s="93"/>
      <c r="Q288" s="93"/>
      <c r="R288" s="97"/>
      <c r="S288" s="97"/>
      <c r="T288" s="97"/>
      <c r="U288" s="97"/>
      <c r="V288" s="97"/>
      <c r="W288" s="97"/>
      <c r="X288" s="97"/>
      <c r="Y288" s="97"/>
      <c r="Z288" s="97"/>
      <c r="AA288" s="93"/>
      <c r="AB288" s="93"/>
      <c r="AC288" s="93"/>
      <c r="AD288" s="97"/>
      <c r="AE288" s="93"/>
      <c r="AF288" s="97"/>
      <c r="AG288" s="97"/>
      <c r="AH288" s="97"/>
      <c r="AI288" s="93"/>
      <c r="AJ288" s="93"/>
      <c r="AK288" s="93"/>
      <c r="AL288" s="93"/>
    </row>
    <row r="289" spans="1:38" s="98" customFormat="1" x14ac:dyDescent="0.25">
      <c r="A289" s="99">
        <v>45377</v>
      </c>
      <c r="B289" s="316" t="s">
        <v>870</v>
      </c>
      <c r="C289" s="101">
        <v>-100000</v>
      </c>
      <c r="D289" s="157" t="s">
        <v>532</v>
      </c>
      <c r="E289" s="157"/>
      <c r="F289" s="157"/>
      <c r="G289" s="93"/>
      <c r="H289" s="93"/>
      <c r="I289" s="93"/>
      <c r="J289" s="93"/>
      <c r="K289" s="93">
        <f>C289</f>
        <v>-100000</v>
      </c>
      <c r="L289" s="93"/>
      <c r="M289" s="93"/>
      <c r="N289" s="93"/>
      <c r="O289" s="93"/>
      <c r="P289" s="93"/>
      <c r="Q289" s="93"/>
      <c r="R289" s="97"/>
      <c r="S289" s="97"/>
      <c r="T289" s="97"/>
      <c r="U289" s="97"/>
      <c r="V289" s="97"/>
      <c r="W289" s="97"/>
      <c r="X289" s="97"/>
      <c r="Y289" s="97"/>
      <c r="Z289" s="97"/>
      <c r="AA289" s="93"/>
      <c r="AB289" s="93"/>
      <c r="AC289" s="93"/>
      <c r="AD289" s="97"/>
      <c r="AE289" s="93"/>
      <c r="AF289" s="97"/>
      <c r="AG289" s="97"/>
      <c r="AH289" s="97"/>
      <c r="AI289" s="93"/>
      <c r="AJ289" s="93"/>
      <c r="AK289" s="93"/>
      <c r="AL289" s="93"/>
    </row>
    <row r="290" spans="1:38" s="98" customFormat="1" x14ac:dyDescent="0.25">
      <c r="A290" s="99">
        <v>45377</v>
      </c>
      <c r="B290" s="316" t="s">
        <v>267</v>
      </c>
      <c r="C290" s="101">
        <v>-74500</v>
      </c>
      <c r="D290" s="157" t="s">
        <v>535</v>
      </c>
      <c r="E290" s="93"/>
      <c r="F290" s="93"/>
      <c r="G290" s="93"/>
      <c r="H290" s="93"/>
      <c r="I290" s="93"/>
      <c r="J290" s="93"/>
      <c r="K290" s="93"/>
      <c r="L290" s="93"/>
      <c r="M290" s="93"/>
      <c r="N290" s="93"/>
      <c r="O290" s="93"/>
      <c r="P290" s="93"/>
      <c r="Q290" s="93"/>
      <c r="R290" s="97"/>
      <c r="S290" s="97"/>
      <c r="T290" s="97"/>
      <c r="U290" s="97"/>
      <c r="V290" s="97"/>
      <c r="W290" s="97"/>
      <c r="X290" s="97"/>
      <c r="Y290" s="97"/>
      <c r="Z290" s="97"/>
      <c r="AA290" s="93"/>
      <c r="AB290" s="93"/>
      <c r="AC290" s="93"/>
      <c r="AD290" s="97"/>
      <c r="AE290" s="93"/>
      <c r="AF290" s="97"/>
      <c r="AG290" s="97">
        <f>C290</f>
        <v>-74500</v>
      </c>
      <c r="AH290" s="97"/>
      <c r="AI290" s="93"/>
      <c r="AJ290" s="93"/>
      <c r="AK290" s="93"/>
      <c r="AL290" s="93"/>
    </row>
    <row r="291" spans="1:38" s="98" customFormat="1" x14ac:dyDescent="0.25">
      <c r="A291" s="99">
        <v>45377</v>
      </c>
      <c r="B291" s="316" t="s">
        <v>872</v>
      </c>
      <c r="C291" s="101">
        <v>-603000</v>
      </c>
      <c r="D291" s="157" t="s">
        <v>27</v>
      </c>
      <c r="E291" s="93"/>
      <c r="F291" s="93"/>
      <c r="G291" s="93"/>
      <c r="H291" s="93"/>
      <c r="I291" s="93">
        <f>C291</f>
        <v>-603000</v>
      </c>
      <c r="J291" s="93"/>
      <c r="K291" s="93"/>
      <c r="L291" s="93"/>
      <c r="M291" s="93"/>
      <c r="N291" s="93"/>
      <c r="O291" s="93"/>
      <c r="P291" s="93"/>
      <c r="Q291" s="93"/>
      <c r="R291" s="97"/>
      <c r="S291" s="97"/>
      <c r="T291" s="97"/>
      <c r="U291" s="97"/>
      <c r="V291" s="97"/>
      <c r="W291" s="97"/>
      <c r="X291" s="97"/>
      <c r="Y291" s="97"/>
      <c r="Z291" s="97"/>
      <c r="AA291" s="93"/>
      <c r="AB291" s="93"/>
      <c r="AC291" s="93"/>
      <c r="AD291" s="97"/>
      <c r="AE291" s="93"/>
      <c r="AF291" s="97"/>
      <c r="AG291" s="97"/>
      <c r="AH291" s="97"/>
      <c r="AI291" s="93"/>
      <c r="AJ291" s="93"/>
      <c r="AK291" s="93"/>
      <c r="AL291" s="93"/>
    </row>
    <row r="292" spans="1:38" s="98" customFormat="1" x14ac:dyDescent="0.25">
      <c r="A292" s="99">
        <v>45377</v>
      </c>
      <c r="B292" s="316" t="s">
        <v>737</v>
      </c>
      <c r="C292" s="101">
        <v>-111500</v>
      </c>
      <c r="D292" s="157" t="s">
        <v>278</v>
      </c>
      <c r="E292" s="157"/>
      <c r="F292" s="157"/>
      <c r="G292" s="93"/>
      <c r="H292" s="93"/>
      <c r="I292" s="93"/>
      <c r="J292" s="93"/>
      <c r="K292" s="93"/>
      <c r="L292" s="93"/>
      <c r="M292" s="93"/>
      <c r="N292" s="93"/>
      <c r="O292" s="93"/>
      <c r="P292" s="93"/>
      <c r="Q292" s="93"/>
      <c r="R292" s="97"/>
      <c r="S292" s="97"/>
      <c r="T292" s="97"/>
      <c r="U292" s="97"/>
      <c r="V292" s="97"/>
      <c r="W292" s="97"/>
      <c r="X292" s="97"/>
      <c r="Y292" s="97"/>
      <c r="Z292" s="97"/>
      <c r="AA292" s="93"/>
      <c r="AB292" s="93"/>
      <c r="AC292" s="93"/>
      <c r="AD292" s="97"/>
      <c r="AE292" s="93"/>
      <c r="AF292" s="97">
        <f>C292</f>
        <v>-111500</v>
      </c>
      <c r="AG292" s="97"/>
      <c r="AH292" s="97"/>
      <c r="AI292" s="93"/>
      <c r="AJ292" s="93"/>
      <c r="AK292" s="93"/>
      <c r="AL292" s="93"/>
    </row>
    <row r="293" spans="1:38" s="98" customFormat="1" x14ac:dyDescent="0.25">
      <c r="A293" s="99">
        <v>45377</v>
      </c>
      <c r="B293" s="316" t="s">
        <v>528</v>
      </c>
      <c r="C293" s="101">
        <v>-1215000</v>
      </c>
      <c r="D293" s="157" t="s">
        <v>534</v>
      </c>
      <c r="E293" s="157"/>
      <c r="F293" s="157"/>
      <c r="G293" s="93"/>
      <c r="H293" s="93"/>
      <c r="I293" s="93"/>
      <c r="J293" s="93">
        <f>C293</f>
        <v>-1215000</v>
      </c>
      <c r="K293" s="93"/>
      <c r="L293" s="93"/>
      <c r="M293" s="93"/>
      <c r="N293" s="93"/>
      <c r="O293" s="93"/>
      <c r="P293" s="93"/>
      <c r="Q293" s="93"/>
      <c r="R293" s="97"/>
      <c r="S293" s="97"/>
      <c r="T293" s="97"/>
      <c r="U293" s="97"/>
      <c r="V293" s="97"/>
      <c r="W293" s="97"/>
      <c r="X293" s="97"/>
      <c r="Y293" s="97"/>
      <c r="Z293" s="97"/>
      <c r="AA293" s="93"/>
      <c r="AB293" s="93"/>
      <c r="AC293" s="93"/>
      <c r="AD293" s="97"/>
      <c r="AE293" s="93"/>
      <c r="AF293" s="97"/>
      <c r="AG293" s="97"/>
      <c r="AH293" s="97"/>
      <c r="AI293" s="93"/>
      <c r="AJ293" s="93"/>
      <c r="AK293" s="93"/>
      <c r="AL293" s="93"/>
    </row>
    <row r="294" spans="1:38" s="98" customFormat="1" x14ac:dyDescent="0.25">
      <c r="A294" s="99">
        <v>45378</v>
      </c>
      <c r="B294" s="316" t="s">
        <v>875</v>
      </c>
      <c r="C294" s="101">
        <v>-11000</v>
      </c>
      <c r="D294" s="157" t="s">
        <v>532</v>
      </c>
      <c r="E294" s="157"/>
      <c r="F294" s="157"/>
      <c r="G294" s="93"/>
      <c r="H294" s="93"/>
      <c r="I294" s="93"/>
      <c r="J294" s="93"/>
      <c r="K294" s="93">
        <f>C294</f>
        <v>-11000</v>
      </c>
      <c r="L294" s="93"/>
      <c r="M294" s="93"/>
      <c r="N294" s="93"/>
      <c r="O294" s="93"/>
      <c r="P294" s="93"/>
      <c r="Q294" s="93"/>
      <c r="R294" s="97"/>
      <c r="S294" s="97"/>
      <c r="T294" s="97"/>
      <c r="U294" s="97"/>
      <c r="V294" s="97"/>
      <c r="W294" s="97"/>
      <c r="X294" s="97"/>
      <c r="Y294" s="97"/>
      <c r="Z294" s="97"/>
      <c r="AA294" s="93"/>
      <c r="AB294" s="93"/>
      <c r="AC294" s="93"/>
      <c r="AD294" s="97"/>
      <c r="AE294" s="93"/>
      <c r="AF294" s="97"/>
      <c r="AG294" s="97"/>
      <c r="AH294" s="97"/>
      <c r="AI294" s="93"/>
      <c r="AJ294" s="93"/>
      <c r="AK294" s="93"/>
      <c r="AL294" s="93"/>
    </row>
    <row r="295" spans="1:38" s="98" customFormat="1" x14ac:dyDescent="0.25">
      <c r="A295" s="99">
        <v>45378</v>
      </c>
      <c r="B295" s="316" t="s">
        <v>878</v>
      </c>
      <c r="C295" s="101">
        <v>-1150000</v>
      </c>
      <c r="D295" s="157" t="s">
        <v>535</v>
      </c>
      <c r="E295" s="157"/>
      <c r="F295" s="157"/>
      <c r="G295" s="93"/>
      <c r="H295" s="93"/>
      <c r="I295" s="93"/>
      <c r="J295" s="93"/>
      <c r="K295" s="93"/>
      <c r="L295" s="93"/>
      <c r="M295" s="93"/>
      <c r="N295" s="93"/>
      <c r="O295" s="93"/>
      <c r="P295" s="93"/>
      <c r="Q295" s="93"/>
      <c r="R295" s="97"/>
      <c r="S295" s="97"/>
      <c r="T295" s="97"/>
      <c r="U295" s="97"/>
      <c r="V295" s="97"/>
      <c r="W295" s="97"/>
      <c r="X295" s="97"/>
      <c r="Y295" s="97"/>
      <c r="Z295" s="97"/>
      <c r="AA295" s="93"/>
      <c r="AB295" s="93"/>
      <c r="AC295" s="93"/>
      <c r="AD295" s="97"/>
      <c r="AE295" s="93"/>
      <c r="AF295" s="97"/>
      <c r="AG295" s="97">
        <f>C295</f>
        <v>-1150000</v>
      </c>
      <c r="AH295" s="97"/>
      <c r="AI295" s="93"/>
      <c r="AJ295" s="93"/>
      <c r="AK295" s="93"/>
      <c r="AL295" s="93"/>
    </row>
    <row r="296" spans="1:38" s="98" customFormat="1" x14ac:dyDescent="0.25">
      <c r="A296" s="99">
        <v>45378</v>
      </c>
      <c r="B296" s="316" t="s">
        <v>879</v>
      </c>
      <c r="C296" s="101">
        <v>-58000</v>
      </c>
      <c r="D296" s="157" t="s">
        <v>27</v>
      </c>
      <c r="E296" s="93"/>
      <c r="F296" s="93"/>
      <c r="G296" s="93"/>
      <c r="H296" s="93"/>
      <c r="I296" s="93">
        <f>C296</f>
        <v>-58000</v>
      </c>
      <c r="J296" s="93"/>
      <c r="K296" s="93"/>
      <c r="L296" s="93"/>
      <c r="M296" s="93"/>
      <c r="N296" s="93"/>
      <c r="O296" s="93"/>
      <c r="P296" s="93"/>
      <c r="Q296" s="93"/>
      <c r="R296" s="97"/>
      <c r="S296" s="97"/>
      <c r="T296" s="97"/>
      <c r="U296" s="97"/>
      <c r="V296" s="97"/>
      <c r="W296" s="97"/>
      <c r="X296" s="97"/>
      <c r="Y296" s="97"/>
      <c r="Z296" s="97"/>
      <c r="AA296" s="93"/>
      <c r="AB296" s="93"/>
      <c r="AC296" s="93"/>
      <c r="AD296" s="97"/>
      <c r="AE296" s="93"/>
      <c r="AF296" s="97"/>
      <c r="AG296" s="97"/>
      <c r="AH296" s="97"/>
      <c r="AI296" s="93"/>
      <c r="AJ296" s="93"/>
      <c r="AK296" s="93"/>
      <c r="AL296" s="93"/>
    </row>
    <row r="297" spans="1:38" s="98" customFormat="1" x14ac:dyDescent="0.25">
      <c r="A297" s="99">
        <v>45378</v>
      </c>
      <c r="B297" s="316" t="s">
        <v>880</v>
      </c>
      <c r="C297" s="101">
        <v>-500000</v>
      </c>
      <c r="D297" s="157" t="s">
        <v>943</v>
      </c>
      <c r="E297" s="157"/>
      <c r="F297" s="157"/>
      <c r="G297" s="93"/>
      <c r="H297" s="93"/>
      <c r="I297" s="93"/>
      <c r="J297" s="93"/>
      <c r="K297" s="93"/>
      <c r="L297" s="93"/>
      <c r="M297" s="93"/>
      <c r="N297" s="93"/>
      <c r="O297" s="93"/>
      <c r="P297" s="93"/>
      <c r="Q297" s="93"/>
      <c r="R297" s="97"/>
      <c r="S297" s="97"/>
      <c r="T297" s="97"/>
      <c r="U297" s="97"/>
      <c r="V297" s="97"/>
      <c r="W297" s="97"/>
      <c r="X297" s="97">
        <f>C297</f>
        <v>-500000</v>
      </c>
      <c r="Y297" s="97"/>
      <c r="Z297" s="97"/>
      <c r="AA297" s="93"/>
      <c r="AB297" s="93"/>
      <c r="AC297" s="93"/>
      <c r="AD297" s="97"/>
      <c r="AE297" s="93"/>
      <c r="AF297" s="97"/>
      <c r="AG297" s="97"/>
      <c r="AH297" s="97"/>
      <c r="AI297" s="93"/>
      <c r="AJ297" s="93"/>
      <c r="AK297" s="93"/>
      <c r="AL297" s="93"/>
    </row>
    <row r="298" spans="1:38" s="98" customFormat="1" x14ac:dyDescent="0.25">
      <c r="A298" s="99">
        <v>45378</v>
      </c>
      <c r="B298" s="316" t="s">
        <v>881</v>
      </c>
      <c r="C298" s="101">
        <v>-8512600</v>
      </c>
      <c r="D298" s="157" t="s">
        <v>944</v>
      </c>
      <c r="E298" s="157">
        <f>C298</f>
        <v>-8512600</v>
      </c>
      <c r="F298" s="157"/>
      <c r="G298" s="93"/>
      <c r="H298" s="93"/>
      <c r="I298" s="93"/>
      <c r="J298" s="93"/>
      <c r="K298" s="93"/>
      <c r="L298" s="93"/>
      <c r="M298" s="93"/>
      <c r="N298" s="93"/>
      <c r="O298" s="93"/>
      <c r="P298" s="93"/>
      <c r="Q298" s="93"/>
      <c r="R298" s="97"/>
      <c r="S298" s="97"/>
      <c r="T298" s="97"/>
      <c r="U298" s="97"/>
      <c r="V298" s="97"/>
      <c r="W298" s="97"/>
      <c r="X298" s="97"/>
      <c r="Y298" s="97"/>
      <c r="Z298" s="97"/>
      <c r="AA298" s="93"/>
      <c r="AB298" s="93"/>
      <c r="AC298" s="93"/>
      <c r="AD298" s="97"/>
      <c r="AE298" s="93"/>
      <c r="AF298" s="97"/>
      <c r="AG298" s="97"/>
      <c r="AH298" s="97"/>
      <c r="AI298" s="93"/>
      <c r="AJ298" s="93"/>
      <c r="AK298" s="93"/>
      <c r="AL298" s="93"/>
    </row>
    <row r="299" spans="1:38" s="98" customFormat="1" x14ac:dyDescent="0.25">
      <c r="A299" s="99">
        <v>45378</v>
      </c>
      <c r="B299" s="316" t="s">
        <v>881</v>
      </c>
      <c r="C299" s="101">
        <v>-1750000</v>
      </c>
      <c r="D299" s="157" t="s">
        <v>944</v>
      </c>
      <c r="E299" s="157">
        <f>C299</f>
        <v>-1750000</v>
      </c>
      <c r="F299" s="157"/>
      <c r="G299" s="93"/>
      <c r="H299" s="93"/>
      <c r="I299" s="93"/>
      <c r="J299" s="93"/>
      <c r="K299" s="93"/>
      <c r="L299" s="93"/>
      <c r="M299" s="93"/>
      <c r="N299" s="93"/>
      <c r="O299" s="93"/>
      <c r="P299" s="93"/>
      <c r="Q299" s="93"/>
      <c r="R299" s="97"/>
      <c r="S299" s="97"/>
      <c r="T299" s="97"/>
      <c r="U299" s="97"/>
      <c r="V299" s="97"/>
      <c r="W299" s="97"/>
      <c r="X299" s="97"/>
      <c r="Y299" s="97"/>
      <c r="Z299" s="97"/>
      <c r="AA299" s="93"/>
      <c r="AB299" s="93"/>
      <c r="AC299" s="93"/>
      <c r="AD299" s="97"/>
      <c r="AE299" s="93"/>
      <c r="AF299" s="97"/>
      <c r="AG299" s="97"/>
      <c r="AH299" s="97"/>
      <c r="AI299" s="93"/>
      <c r="AJ299" s="93"/>
      <c r="AK299" s="93"/>
      <c r="AL299" s="93"/>
    </row>
    <row r="300" spans="1:38" s="98" customFormat="1" x14ac:dyDescent="0.25">
      <c r="A300" s="99">
        <v>45378</v>
      </c>
      <c r="B300" s="316" t="s">
        <v>883</v>
      </c>
      <c r="C300" s="101">
        <v>-23950</v>
      </c>
      <c r="D300" s="157" t="s">
        <v>32</v>
      </c>
      <c r="E300" s="157"/>
      <c r="F300" s="157"/>
      <c r="G300" s="93"/>
      <c r="H300" s="93"/>
      <c r="I300" s="93"/>
      <c r="J300" s="93"/>
      <c r="K300" s="93"/>
      <c r="L300" s="93"/>
      <c r="M300" s="93"/>
      <c r="N300" s="93"/>
      <c r="O300" s="93"/>
      <c r="P300" s="93"/>
      <c r="Q300" s="93"/>
      <c r="R300" s="97"/>
      <c r="S300" s="97"/>
      <c r="T300" s="97"/>
      <c r="U300" s="97"/>
      <c r="V300" s="97"/>
      <c r="W300" s="97"/>
      <c r="X300" s="97"/>
      <c r="Y300" s="97"/>
      <c r="Z300" s="97"/>
      <c r="AA300" s="93"/>
      <c r="AB300" s="93">
        <f>C300</f>
        <v>-23950</v>
      </c>
      <c r="AC300" s="93"/>
      <c r="AD300" s="97"/>
      <c r="AE300" s="93"/>
      <c r="AF300" s="97"/>
      <c r="AG300" s="97"/>
      <c r="AH300" s="97"/>
      <c r="AI300" s="93"/>
      <c r="AJ300" s="93"/>
      <c r="AK300" s="93"/>
      <c r="AL300" s="93"/>
    </row>
    <row r="301" spans="1:38" s="98" customFormat="1" x14ac:dyDescent="0.25">
      <c r="A301" s="99">
        <v>45379</v>
      </c>
      <c r="B301" s="316" t="s">
        <v>163</v>
      </c>
      <c r="C301" s="101">
        <v>-11000</v>
      </c>
      <c r="D301" s="157" t="s">
        <v>532</v>
      </c>
      <c r="E301" s="157"/>
      <c r="F301" s="157"/>
      <c r="G301" s="93"/>
      <c r="H301" s="93"/>
      <c r="I301" s="93"/>
      <c r="J301" s="93"/>
      <c r="K301" s="93">
        <f>C301</f>
        <v>-11000</v>
      </c>
      <c r="L301" s="93"/>
      <c r="M301" s="93"/>
      <c r="N301" s="93"/>
      <c r="O301" s="93"/>
      <c r="P301" s="93"/>
      <c r="Q301" s="93"/>
      <c r="R301" s="97"/>
      <c r="S301" s="97"/>
      <c r="T301" s="97"/>
      <c r="U301" s="97"/>
      <c r="V301" s="97"/>
      <c r="W301" s="97"/>
      <c r="X301" s="97"/>
      <c r="Y301" s="97"/>
      <c r="Z301" s="97"/>
      <c r="AA301" s="93"/>
      <c r="AB301" s="93"/>
      <c r="AC301" s="93"/>
      <c r="AD301" s="97"/>
      <c r="AE301" s="93"/>
      <c r="AF301" s="97"/>
      <c r="AG301" s="97"/>
      <c r="AH301" s="97"/>
      <c r="AI301" s="93"/>
      <c r="AJ301" s="93"/>
      <c r="AK301" s="93"/>
      <c r="AL301" s="93"/>
    </row>
    <row r="302" spans="1:38" s="98" customFormat="1" x14ac:dyDescent="0.25">
      <c r="A302" s="99">
        <v>45379</v>
      </c>
      <c r="B302" s="316" t="s">
        <v>881</v>
      </c>
      <c r="C302" s="101">
        <v>-148000</v>
      </c>
      <c r="D302" s="157" t="s">
        <v>944</v>
      </c>
      <c r="E302" s="157">
        <f>C302</f>
        <v>-148000</v>
      </c>
      <c r="F302" s="157"/>
      <c r="G302" s="93"/>
      <c r="H302" s="93"/>
      <c r="I302" s="93"/>
      <c r="J302" s="93"/>
      <c r="K302" s="93"/>
      <c r="L302" s="93"/>
      <c r="M302" s="93"/>
      <c r="N302" s="93"/>
      <c r="O302" s="93"/>
      <c r="P302" s="93"/>
      <c r="Q302" s="93"/>
      <c r="R302" s="97"/>
      <c r="S302" s="97"/>
      <c r="T302" s="97"/>
      <c r="U302" s="97"/>
      <c r="V302" s="97"/>
      <c r="W302" s="97"/>
      <c r="X302" s="97"/>
      <c r="Y302" s="97"/>
      <c r="Z302" s="97"/>
      <c r="AA302" s="93"/>
      <c r="AB302" s="93"/>
      <c r="AC302" s="93"/>
      <c r="AD302" s="97"/>
      <c r="AE302" s="93"/>
      <c r="AF302" s="97"/>
      <c r="AG302" s="97"/>
      <c r="AH302" s="97"/>
      <c r="AI302" s="93"/>
      <c r="AJ302" s="93"/>
      <c r="AK302" s="93"/>
      <c r="AL302" s="93"/>
    </row>
    <row r="303" spans="1:38" s="98" customFormat="1" x14ac:dyDescent="0.25">
      <c r="A303" s="99">
        <v>45379</v>
      </c>
      <c r="B303" s="316" t="s">
        <v>886</v>
      </c>
      <c r="C303" s="101">
        <v>-15000</v>
      </c>
      <c r="D303" s="157" t="s">
        <v>32</v>
      </c>
      <c r="E303" s="157"/>
      <c r="F303" s="157"/>
      <c r="G303" s="93"/>
      <c r="H303" s="93"/>
      <c r="I303" s="93"/>
      <c r="J303" s="93"/>
      <c r="K303" s="93"/>
      <c r="L303" s="93"/>
      <c r="M303" s="93"/>
      <c r="N303" s="93"/>
      <c r="O303" s="93"/>
      <c r="P303" s="93"/>
      <c r="Q303" s="93"/>
      <c r="R303" s="97"/>
      <c r="S303" s="97"/>
      <c r="T303" s="97"/>
      <c r="U303" s="97"/>
      <c r="V303" s="97"/>
      <c r="W303" s="97"/>
      <c r="X303" s="97"/>
      <c r="Y303" s="97"/>
      <c r="Z303" s="97"/>
      <c r="AA303" s="93"/>
      <c r="AB303" s="93">
        <f>C303</f>
        <v>-15000</v>
      </c>
      <c r="AC303" s="93"/>
      <c r="AD303" s="97"/>
      <c r="AE303" s="93"/>
      <c r="AF303" s="97"/>
      <c r="AG303" s="97"/>
      <c r="AH303" s="97"/>
      <c r="AI303" s="93"/>
      <c r="AJ303" s="93"/>
      <c r="AK303" s="93"/>
      <c r="AL303" s="93"/>
    </row>
    <row r="304" spans="1:38" s="98" customFormat="1" x14ac:dyDescent="0.25">
      <c r="A304" s="99">
        <v>45379</v>
      </c>
      <c r="B304" s="316" t="s">
        <v>887</v>
      </c>
      <c r="C304" s="101">
        <v>-54500</v>
      </c>
      <c r="D304" s="157" t="s">
        <v>32</v>
      </c>
      <c r="E304" s="157"/>
      <c r="F304" s="157"/>
      <c r="G304" s="93"/>
      <c r="H304" s="93"/>
      <c r="I304" s="93"/>
      <c r="J304" s="93"/>
      <c r="K304" s="93"/>
      <c r="L304" s="93"/>
      <c r="M304" s="93"/>
      <c r="N304" s="93"/>
      <c r="O304" s="93"/>
      <c r="P304" s="93"/>
      <c r="Q304" s="93"/>
      <c r="R304" s="97"/>
      <c r="S304" s="97"/>
      <c r="T304" s="97"/>
      <c r="U304" s="97"/>
      <c r="V304" s="97"/>
      <c r="W304" s="97"/>
      <c r="X304" s="97"/>
      <c r="Y304" s="97"/>
      <c r="Z304" s="97"/>
      <c r="AA304" s="93"/>
      <c r="AB304" s="93">
        <f>C304</f>
        <v>-54500</v>
      </c>
      <c r="AC304" s="93"/>
      <c r="AD304" s="97"/>
      <c r="AE304" s="93"/>
      <c r="AF304" s="97"/>
      <c r="AG304" s="97"/>
      <c r="AH304" s="97"/>
      <c r="AI304" s="93"/>
      <c r="AJ304" s="93"/>
      <c r="AK304" s="93"/>
      <c r="AL304" s="93"/>
    </row>
    <row r="305" spans="1:38" s="98" customFormat="1" x14ac:dyDescent="0.25">
      <c r="A305" s="99">
        <v>45379</v>
      </c>
      <c r="B305" s="316" t="s">
        <v>888</v>
      </c>
      <c r="C305" s="101">
        <v>-348000</v>
      </c>
      <c r="D305" s="157" t="s">
        <v>535</v>
      </c>
      <c r="E305" s="157"/>
      <c r="F305" s="157"/>
      <c r="G305" s="93"/>
      <c r="H305" s="93"/>
      <c r="I305" s="93"/>
      <c r="J305" s="93"/>
      <c r="K305" s="93"/>
      <c r="L305" s="93"/>
      <c r="M305" s="93"/>
      <c r="N305" s="93"/>
      <c r="O305" s="93"/>
      <c r="P305" s="93"/>
      <c r="Q305" s="93"/>
      <c r="R305" s="97"/>
      <c r="S305" s="97"/>
      <c r="T305" s="97"/>
      <c r="U305" s="97"/>
      <c r="V305" s="97"/>
      <c r="W305" s="97"/>
      <c r="X305" s="97"/>
      <c r="Y305" s="97"/>
      <c r="Z305" s="97"/>
      <c r="AA305" s="93"/>
      <c r="AB305" s="93"/>
      <c r="AC305" s="93"/>
      <c r="AD305" s="97"/>
      <c r="AE305" s="93"/>
      <c r="AF305" s="97"/>
      <c r="AG305" s="97">
        <f>C305</f>
        <v>-348000</v>
      </c>
      <c r="AH305" s="97"/>
      <c r="AI305" s="93"/>
      <c r="AJ305" s="93"/>
      <c r="AK305" s="93"/>
      <c r="AL305" s="93"/>
    </row>
    <row r="306" spans="1:38" s="98" customFormat="1" x14ac:dyDescent="0.25">
      <c r="A306" s="99">
        <v>45379</v>
      </c>
      <c r="B306" s="316" t="s">
        <v>889</v>
      </c>
      <c r="C306" s="101">
        <v>-352000</v>
      </c>
      <c r="D306" s="157" t="s">
        <v>32</v>
      </c>
      <c r="E306" s="157"/>
      <c r="F306" s="157"/>
      <c r="G306" s="93"/>
      <c r="H306" s="93"/>
      <c r="I306" s="93"/>
      <c r="J306" s="93"/>
      <c r="K306" s="93"/>
      <c r="L306" s="93"/>
      <c r="M306" s="93"/>
      <c r="N306" s="93"/>
      <c r="O306" s="93"/>
      <c r="P306" s="93"/>
      <c r="Q306" s="93"/>
      <c r="R306" s="97"/>
      <c r="S306" s="97"/>
      <c r="T306" s="97"/>
      <c r="U306" s="97"/>
      <c r="V306" s="97"/>
      <c r="W306" s="97"/>
      <c r="X306" s="97"/>
      <c r="Y306" s="97"/>
      <c r="Z306" s="97"/>
      <c r="AA306" s="93"/>
      <c r="AB306" s="93">
        <f>C306</f>
        <v>-352000</v>
      </c>
      <c r="AC306" s="93"/>
      <c r="AD306" s="97"/>
      <c r="AE306" s="93"/>
      <c r="AF306" s="97"/>
      <c r="AG306" s="97"/>
      <c r="AH306" s="97"/>
      <c r="AI306" s="93"/>
      <c r="AJ306" s="93"/>
      <c r="AK306" s="93"/>
      <c r="AL306" s="93"/>
    </row>
    <row r="307" spans="1:38" s="98" customFormat="1" x14ac:dyDescent="0.25">
      <c r="A307" s="99">
        <v>45379</v>
      </c>
      <c r="B307" s="316" t="s">
        <v>890</v>
      </c>
      <c r="C307" s="101">
        <v>-1000000</v>
      </c>
      <c r="D307" s="157" t="s">
        <v>278</v>
      </c>
      <c r="E307" s="157"/>
      <c r="F307" s="157"/>
      <c r="G307" s="93"/>
      <c r="H307" s="93"/>
      <c r="I307" s="93"/>
      <c r="J307" s="93"/>
      <c r="K307" s="93"/>
      <c r="L307" s="93"/>
      <c r="M307" s="93"/>
      <c r="N307" s="93"/>
      <c r="O307" s="93"/>
      <c r="P307" s="93"/>
      <c r="Q307" s="93"/>
      <c r="R307" s="97"/>
      <c r="S307" s="97"/>
      <c r="T307" s="97"/>
      <c r="U307" s="97"/>
      <c r="V307" s="97"/>
      <c r="W307" s="97"/>
      <c r="X307" s="97"/>
      <c r="Y307" s="97"/>
      <c r="Z307" s="97"/>
      <c r="AA307" s="93"/>
      <c r="AB307" s="93"/>
      <c r="AC307" s="93"/>
      <c r="AD307" s="97"/>
      <c r="AE307" s="93"/>
      <c r="AF307" s="97">
        <f>C307</f>
        <v>-1000000</v>
      </c>
      <c r="AG307" s="97"/>
      <c r="AH307" s="97"/>
      <c r="AI307" s="93"/>
      <c r="AJ307" s="93"/>
      <c r="AK307" s="93"/>
      <c r="AL307" s="93"/>
    </row>
    <row r="308" spans="1:38" s="98" customFormat="1" x14ac:dyDescent="0.25">
      <c r="A308" s="99">
        <v>45379</v>
      </c>
      <c r="B308" s="316" t="s">
        <v>525</v>
      </c>
      <c r="C308" s="101">
        <v>-288000</v>
      </c>
      <c r="D308" s="157" t="s">
        <v>27</v>
      </c>
      <c r="E308" s="157"/>
      <c r="F308" s="157"/>
      <c r="G308" s="93"/>
      <c r="H308" s="93"/>
      <c r="I308" s="93">
        <f>C308</f>
        <v>-288000</v>
      </c>
      <c r="J308" s="93"/>
      <c r="K308" s="93"/>
      <c r="L308" s="93"/>
      <c r="M308" s="93"/>
      <c r="N308" s="93"/>
      <c r="O308" s="93"/>
      <c r="P308" s="93"/>
      <c r="Q308" s="93"/>
      <c r="R308" s="97"/>
      <c r="S308" s="97"/>
      <c r="T308" s="97"/>
      <c r="U308" s="97"/>
      <c r="V308" s="97"/>
      <c r="W308" s="97"/>
      <c r="X308" s="97"/>
      <c r="Y308" s="97"/>
      <c r="Z308" s="97"/>
      <c r="AA308" s="93"/>
      <c r="AB308" s="93"/>
      <c r="AC308" s="93"/>
      <c r="AD308" s="97"/>
      <c r="AE308" s="93"/>
      <c r="AF308" s="97"/>
      <c r="AG308" s="97"/>
      <c r="AH308" s="97"/>
      <c r="AI308" s="93"/>
      <c r="AJ308" s="93"/>
      <c r="AK308" s="93"/>
      <c r="AL308" s="93"/>
    </row>
    <row r="309" spans="1:38" s="98" customFormat="1" x14ac:dyDescent="0.25">
      <c r="A309" s="99">
        <v>45379</v>
      </c>
      <c r="B309" s="316" t="s">
        <v>893</v>
      </c>
      <c r="C309" s="101">
        <v>-24000</v>
      </c>
      <c r="D309" s="157" t="s">
        <v>533</v>
      </c>
      <c r="E309" s="157"/>
      <c r="F309" s="157"/>
      <c r="G309" s="93"/>
      <c r="H309" s="93">
        <f>C309</f>
        <v>-24000</v>
      </c>
      <c r="I309" s="93"/>
      <c r="J309" s="93"/>
      <c r="K309" s="93"/>
      <c r="L309" s="93"/>
      <c r="M309" s="93"/>
      <c r="N309" s="93"/>
      <c r="O309" s="93"/>
      <c r="P309" s="93"/>
      <c r="Q309" s="93"/>
      <c r="R309" s="97"/>
      <c r="S309" s="97"/>
      <c r="T309" s="97"/>
      <c r="U309" s="97"/>
      <c r="V309" s="97"/>
      <c r="W309" s="97"/>
      <c r="X309" s="97"/>
      <c r="Y309" s="97"/>
      <c r="Z309" s="97"/>
      <c r="AA309" s="93"/>
      <c r="AB309" s="93"/>
      <c r="AC309" s="93"/>
      <c r="AD309" s="93"/>
      <c r="AE309" s="93"/>
      <c r="AF309" s="93"/>
      <c r="AG309" s="93"/>
      <c r="AH309" s="93"/>
      <c r="AI309" s="93"/>
      <c r="AJ309" s="93"/>
      <c r="AK309" s="93"/>
      <c r="AL309" s="93"/>
    </row>
    <row r="310" spans="1:38" s="98" customFormat="1" x14ac:dyDescent="0.25">
      <c r="A310" s="99">
        <v>45379</v>
      </c>
      <c r="B310" s="316" t="s">
        <v>524</v>
      </c>
      <c r="C310" s="101">
        <v>-34000</v>
      </c>
      <c r="D310" s="157" t="s">
        <v>533</v>
      </c>
      <c r="E310" s="157"/>
      <c r="F310" s="157"/>
      <c r="G310" s="93"/>
      <c r="H310" s="93">
        <f>C310</f>
        <v>-34000</v>
      </c>
      <c r="I310" s="93"/>
      <c r="J310" s="93"/>
      <c r="K310" s="93"/>
      <c r="L310" s="93"/>
      <c r="M310" s="93"/>
      <c r="N310" s="93"/>
      <c r="O310" s="93"/>
      <c r="P310" s="93"/>
      <c r="Q310" s="93"/>
      <c r="R310" s="97"/>
      <c r="S310" s="97"/>
      <c r="T310" s="97"/>
      <c r="U310" s="97"/>
      <c r="V310" s="97"/>
      <c r="W310" s="97"/>
      <c r="X310" s="97"/>
      <c r="Y310" s="97"/>
      <c r="Z310" s="97"/>
      <c r="AA310" s="93"/>
      <c r="AB310" s="93"/>
      <c r="AC310" s="93"/>
      <c r="AD310" s="93"/>
      <c r="AE310" s="93"/>
      <c r="AF310" s="93"/>
      <c r="AG310" s="93"/>
      <c r="AH310" s="93"/>
      <c r="AI310" s="93"/>
      <c r="AJ310" s="93"/>
      <c r="AK310" s="93"/>
      <c r="AL310" s="93"/>
    </row>
    <row r="311" spans="1:38" s="98" customFormat="1" x14ac:dyDescent="0.2">
      <c r="A311" s="99">
        <v>45379</v>
      </c>
      <c r="B311" s="392" t="s">
        <v>895</v>
      </c>
      <c r="C311" s="101">
        <v>-525000</v>
      </c>
      <c r="D311" s="157" t="s">
        <v>928</v>
      </c>
      <c r="E311" s="157"/>
      <c r="F311" s="157"/>
      <c r="G311" s="93"/>
      <c r="H311" s="93"/>
      <c r="I311" s="93"/>
      <c r="J311" s="93"/>
      <c r="K311" s="93"/>
      <c r="L311" s="93"/>
      <c r="M311" s="93"/>
      <c r="N311" s="93"/>
      <c r="O311" s="93"/>
      <c r="P311" s="93"/>
      <c r="Q311" s="93"/>
      <c r="R311" s="97"/>
      <c r="S311" s="97"/>
      <c r="T311" s="97"/>
      <c r="U311" s="97"/>
      <c r="V311" s="97"/>
      <c r="W311" s="97"/>
      <c r="X311" s="97"/>
      <c r="Y311" s="97"/>
      <c r="Z311" s="97"/>
      <c r="AA311" s="93"/>
      <c r="AB311" s="93"/>
      <c r="AC311" s="93"/>
      <c r="AD311" s="93">
        <f>C311</f>
        <v>-525000</v>
      </c>
      <c r="AE311" s="93"/>
      <c r="AF311" s="93"/>
      <c r="AG311" s="93"/>
      <c r="AH311" s="93"/>
      <c r="AI311" s="93"/>
      <c r="AJ311" s="93"/>
      <c r="AK311" s="93"/>
      <c r="AL311" s="93"/>
    </row>
    <row r="312" spans="1:38" s="98" customFormat="1" x14ac:dyDescent="0.2">
      <c r="A312" s="99">
        <v>45379</v>
      </c>
      <c r="B312" s="392" t="s">
        <v>896</v>
      </c>
      <c r="C312" s="101">
        <v>-500000</v>
      </c>
      <c r="D312" s="157" t="s">
        <v>206</v>
      </c>
      <c r="E312" s="157"/>
      <c r="F312" s="157"/>
      <c r="G312" s="93"/>
      <c r="H312" s="93"/>
      <c r="I312" s="93"/>
      <c r="J312" s="93"/>
      <c r="K312" s="93"/>
      <c r="L312" s="93"/>
      <c r="M312" s="93"/>
      <c r="N312" s="93"/>
      <c r="O312" s="93"/>
      <c r="P312" s="93"/>
      <c r="Q312" s="93"/>
      <c r="R312" s="97"/>
      <c r="S312" s="97"/>
      <c r="T312" s="97"/>
      <c r="U312" s="97"/>
      <c r="V312" s="97"/>
      <c r="W312" s="97">
        <f>C312</f>
        <v>-500000</v>
      </c>
      <c r="X312" s="97"/>
      <c r="Y312" s="97"/>
      <c r="Z312" s="97"/>
      <c r="AA312" s="93"/>
      <c r="AB312" s="93"/>
      <c r="AC312" s="93"/>
      <c r="AD312" s="93"/>
      <c r="AE312" s="93"/>
      <c r="AF312" s="93"/>
      <c r="AG312" s="93"/>
      <c r="AH312" s="93"/>
      <c r="AI312" s="93"/>
      <c r="AJ312" s="93"/>
      <c r="AK312" s="93"/>
      <c r="AL312" s="93"/>
    </row>
    <row r="313" spans="1:38" s="98" customFormat="1" x14ac:dyDescent="0.2">
      <c r="A313" s="99">
        <v>45379</v>
      </c>
      <c r="B313" s="392" t="s">
        <v>897</v>
      </c>
      <c r="C313" s="101">
        <v>-600000</v>
      </c>
      <c r="D313" s="157" t="s">
        <v>532</v>
      </c>
      <c r="E313" s="157"/>
      <c r="F313" s="157"/>
      <c r="G313" s="93"/>
      <c r="H313" s="93"/>
      <c r="I313" s="93"/>
      <c r="J313" s="93"/>
      <c r="K313" s="93">
        <f>C313</f>
        <v>-600000</v>
      </c>
      <c r="L313" s="93"/>
      <c r="M313" s="93"/>
      <c r="N313" s="93"/>
      <c r="O313" s="93"/>
      <c r="P313" s="93"/>
      <c r="Q313" s="93"/>
      <c r="R313" s="97"/>
      <c r="S313" s="97"/>
      <c r="T313" s="97"/>
      <c r="U313" s="97"/>
      <c r="V313" s="97"/>
      <c r="W313" s="97"/>
      <c r="X313" s="97"/>
      <c r="Y313" s="97"/>
      <c r="Z313" s="97"/>
      <c r="AA313" s="93"/>
      <c r="AB313" s="93"/>
      <c r="AC313" s="93"/>
      <c r="AD313" s="93"/>
      <c r="AE313" s="93"/>
      <c r="AF313" s="93"/>
      <c r="AG313" s="93"/>
      <c r="AH313" s="93"/>
      <c r="AI313" s="93"/>
      <c r="AJ313" s="93"/>
      <c r="AK313" s="93"/>
      <c r="AL313" s="93"/>
    </row>
    <row r="314" spans="1:38" s="98" customFormat="1" x14ac:dyDescent="0.2">
      <c r="A314" s="99">
        <v>45379</v>
      </c>
      <c r="B314" s="392" t="s">
        <v>898</v>
      </c>
      <c r="C314" s="101">
        <v>-65000</v>
      </c>
      <c r="D314" s="157" t="s">
        <v>25</v>
      </c>
      <c r="E314" s="157"/>
      <c r="F314" s="157"/>
      <c r="G314" s="93">
        <f>C314</f>
        <v>-65000</v>
      </c>
      <c r="H314" s="93"/>
      <c r="I314" s="93"/>
      <c r="J314" s="93"/>
      <c r="K314" s="93"/>
      <c r="L314" s="93"/>
      <c r="M314" s="93"/>
      <c r="N314" s="93"/>
      <c r="O314" s="93"/>
      <c r="P314" s="93"/>
      <c r="Q314" s="93"/>
      <c r="R314" s="97"/>
      <c r="S314" s="97"/>
      <c r="T314" s="97"/>
      <c r="U314" s="97"/>
      <c r="V314" s="97"/>
      <c r="W314" s="97"/>
      <c r="X314" s="97"/>
      <c r="Y314" s="97"/>
      <c r="Z314" s="97"/>
      <c r="AA314" s="93"/>
      <c r="AB314" s="93"/>
      <c r="AC314" s="93"/>
      <c r="AD314" s="93"/>
      <c r="AE314" s="93"/>
      <c r="AF314" s="93"/>
      <c r="AG314" s="93"/>
      <c r="AH314" s="93"/>
      <c r="AI314" s="93"/>
      <c r="AJ314" s="93"/>
      <c r="AK314" s="93"/>
      <c r="AL314" s="93"/>
    </row>
    <row r="315" spans="1:38" s="98" customFormat="1" x14ac:dyDescent="0.25">
      <c r="A315" s="99">
        <v>45380</v>
      </c>
      <c r="B315" s="316" t="s">
        <v>163</v>
      </c>
      <c r="C315" s="101">
        <v>-11000</v>
      </c>
      <c r="D315" s="157" t="s">
        <v>532</v>
      </c>
      <c r="E315" s="157"/>
      <c r="F315" s="157"/>
      <c r="G315" s="93"/>
      <c r="H315" s="93"/>
      <c r="I315" s="93"/>
      <c r="J315" s="93"/>
      <c r="K315" s="93">
        <f>C315</f>
        <v>-11000</v>
      </c>
      <c r="L315" s="93"/>
      <c r="M315" s="93"/>
      <c r="N315" s="93"/>
      <c r="O315" s="93"/>
      <c r="P315" s="93"/>
      <c r="Q315" s="93"/>
      <c r="R315" s="97"/>
      <c r="S315" s="97"/>
      <c r="T315" s="97"/>
      <c r="U315" s="97"/>
      <c r="V315" s="97"/>
      <c r="W315" s="97"/>
      <c r="X315" s="97"/>
      <c r="Y315" s="97"/>
      <c r="Z315" s="97"/>
      <c r="AA315" s="93"/>
      <c r="AB315" s="93"/>
      <c r="AC315" s="93"/>
      <c r="AD315" s="93"/>
      <c r="AE315" s="93"/>
      <c r="AF315" s="93"/>
      <c r="AG315" s="93"/>
      <c r="AH315" s="93"/>
      <c r="AI315" s="93"/>
      <c r="AJ315" s="93"/>
      <c r="AK315" s="93"/>
      <c r="AL315" s="93"/>
    </row>
    <row r="316" spans="1:38" s="98" customFormat="1" x14ac:dyDescent="0.25">
      <c r="A316" s="99">
        <v>45380</v>
      </c>
      <c r="B316" s="316" t="s">
        <v>737</v>
      </c>
      <c r="C316" s="101">
        <v>-12000</v>
      </c>
      <c r="D316" s="157" t="s">
        <v>278</v>
      </c>
      <c r="E316" s="157"/>
      <c r="F316" s="157"/>
      <c r="G316" s="93"/>
      <c r="H316" s="93"/>
      <c r="I316" s="93"/>
      <c r="J316" s="93"/>
      <c r="K316" s="93"/>
      <c r="L316" s="93"/>
      <c r="M316" s="93"/>
      <c r="N316" s="93"/>
      <c r="O316" s="93"/>
      <c r="P316" s="93"/>
      <c r="Q316" s="93"/>
      <c r="R316" s="97"/>
      <c r="S316" s="97"/>
      <c r="T316" s="97"/>
      <c r="U316" s="97"/>
      <c r="V316" s="97"/>
      <c r="W316" s="97"/>
      <c r="X316" s="97"/>
      <c r="Y316" s="97"/>
      <c r="Z316" s="97"/>
      <c r="AA316" s="93"/>
      <c r="AB316" s="93"/>
      <c r="AC316" s="93"/>
      <c r="AD316" s="93"/>
      <c r="AE316" s="284"/>
      <c r="AF316" s="93">
        <f>C316</f>
        <v>-12000</v>
      </c>
      <c r="AG316" s="93"/>
      <c r="AH316" s="93"/>
      <c r="AI316" s="93"/>
      <c r="AJ316" s="93"/>
      <c r="AK316" s="93"/>
      <c r="AL316" s="93"/>
    </row>
    <row r="317" spans="1:38" s="98" customFormat="1" x14ac:dyDescent="0.25">
      <c r="A317" s="99">
        <v>45380</v>
      </c>
      <c r="B317" s="316" t="s">
        <v>901</v>
      </c>
      <c r="C317" s="101">
        <v>-829000</v>
      </c>
      <c r="D317" s="157" t="s">
        <v>533</v>
      </c>
      <c r="E317" s="157"/>
      <c r="F317" s="157"/>
      <c r="G317" s="93"/>
      <c r="H317" s="93">
        <f>C317</f>
        <v>-829000</v>
      </c>
      <c r="I317" s="93"/>
      <c r="J317" s="93"/>
      <c r="K317" s="93"/>
      <c r="L317" s="93"/>
      <c r="M317" s="93"/>
      <c r="N317" s="93"/>
      <c r="O317" s="93"/>
      <c r="P317" s="93"/>
      <c r="Q317" s="93"/>
      <c r="R317" s="97"/>
      <c r="S317" s="97"/>
      <c r="T317" s="97"/>
      <c r="U317" s="97"/>
      <c r="V317" s="97"/>
      <c r="W317" s="97"/>
      <c r="X317" s="97"/>
      <c r="Y317" s="97"/>
      <c r="Z317" s="97"/>
      <c r="AA317" s="93"/>
      <c r="AB317" s="93"/>
      <c r="AC317" s="93"/>
      <c r="AD317" s="93"/>
      <c r="AE317" s="93"/>
      <c r="AF317" s="93"/>
      <c r="AG317" s="93"/>
      <c r="AH317" s="93"/>
      <c r="AI317" s="93"/>
      <c r="AJ317" s="93"/>
      <c r="AK317" s="93"/>
      <c r="AL317" s="93"/>
    </row>
    <row r="318" spans="1:38" s="98" customFormat="1" x14ac:dyDescent="0.25">
      <c r="A318" s="99">
        <v>45380</v>
      </c>
      <c r="B318" s="316" t="s">
        <v>753</v>
      </c>
      <c r="C318" s="101">
        <v>-10000</v>
      </c>
      <c r="D318" s="157" t="s">
        <v>533</v>
      </c>
      <c r="E318" s="157"/>
      <c r="F318" s="157"/>
      <c r="G318" s="93"/>
      <c r="H318" s="93">
        <f>C318</f>
        <v>-10000</v>
      </c>
      <c r="I318" s="93"/>
      <c r="J318" s="93"/>
      <c r="K318" s="93"/>
      <c r="L318" s="93"/>
      <c r="M318" s="93"/>
      <c r="N318" s="93"/>
      <c r="O318" s="93"/>
      <c r="P318" s="93"/>
      <c r="Q318" s="93"/>
      <c r="R318" s="97"/>
      <c r="S318" s="97"/>
      <c r="T318" s="97"/>
      <c r="U318" s="97"/>
      <c r="V318" s="97"/>
      <c r="W318" s="97"/>
      <c r="X318" s="97"/>
      <c r="Y318" s="97"/>
      <c r="Z318" s="97"/>
      <c r="AA318" s="93"/>
      <c r="AB318" s="93"/>
      <c r="AC318" s="93"/>
      <c r="AD318" s="93"/>
      <c r="AE318" s="93"/>
      <c r="AF318" s="93"/>
      <c r="AG318" s="93"/>
      <c r="AH318" s="93"/>
      <c r="AI318" s="93"/>
      <c r="AJ318" s="93"/>
      <c r="AK318" s="93"/>
      <c r="AL318" s="93"/>
    </row>
    <row r="319" spans="1:38" s="98" customFormat="1" x14ac:dyDescent="0.25">
      <c r="A319" s="99">
        <v>45380</v>
      </c>
      <c r="B319" s="316" t="s">
        <v>903</v>
      </c>
      <c r="C319" s="101">
        <v>-12000</v>
      </c>
      <c r="D319" s="157" t="s">
        <v>533</v>
      </c>
      <c r="E319" s="157"/>
      <c r="F319" s="157"/>
      <c r="G319" s="93"/>
      <c r="H319" s="93">
        <f>C319</f>
        <v>-12000</v>
      </c>
      <c r="I319" s="93"/>
      <c r="J319" s="93"/>
      <c r="K319" s="93"/>
      <c r="L319" s="93"/>
      <c r="M319" s="93"/>
      <c r="N319" s="93"/>
      <c r="O319" s="93"/>
      <c r="P319" s="93"/>
      <c r="Q319" s="93"/>
      <c r="R319" s="97"/>
      <c r="S319" s="97"/>
      <c r="T319" s="97"/>
      <c r="U319" s="97"/>
      <c r="V319" s="97"/>
      <c r="W319" s="97"/>
      <c r="X319" s="97"/>
      <c r="Y319" s="97"/>
      <c r="Z319" s="97"/>
      <c r="AA319" s="93"/>
      <c r="AB319" s="93"/>
      <c r="AC319" s="93"/>
      <c r="AD319" s="93"/>
      <c r="AE319" s="93"/>
      <c r="AF319" s="93"/>
      <c r="AG319" s="93"/>
      <c r="AH319" s="93"/>
      <c r="AI319" s="93"/>
      <c r="AJ319" s="93"/>
      <c r="AK319" s="93"/>
      <c r="AL319" s="93"/>
    </row>
    <row r="320" spans="1:38" s="98" customFormat="1" x14ac:dyDescent="0.25">
      <c r="A320" s="99">
        <v>45380</v>
      </c>
      <c r="B320" s="316" t="s">
        <v>904</v>
      </c>
      <c r="C320" s="101">
        <v>-240000</v>
      </c>
      <c r="D320" s="157" t="s">
        <v>533</v>
      </c>
      <c r="E320" s="157"/>
      <c r="F320" s="157"/>
      <c r="G320" s="93"/>
      <c r="H320" s="93">
        <f>C320</f>
        <v>-240000</v>
      </c>
      <c r="I320" s="93"/>
      <c r="J320" s="93"/>
      <c r="K320" s="93"/>
      <c r="L320" s="93"/>
      <c r="M320" s="93"/>
      <c r="N320" s="93"/>
      <c r="O320" s="93"/>
      <c r="P320" s="93"/>
      <c r="Q320" s="93"/>
      <c r="R320" s="97"/>
      <c r="S320" s="97"/>
      <c r="T320" s="97"/>
      <c r="U320" s="97"/>
      <c r="V320" s="97"/>
      <c r="W320" s="97"/>
      <c r="X320" s="97"/>
      <c r="Y320" s="97"/>
      <c r="Z320" s="97"/>
      <c r="AA320" s="93"/>
      <c r="AB320" s="93"/>
      <c r="AC320" s="93"/>
      <c r="AD320" s="93"/>
      <c r="AE320" s="93"/>
      <c r="AF320" s="93"/>
      <c r="AG320" s="93"/>
      <c r="AH320" s="93"/>
      <c r="AI320" s="93"/>
      <c r="AJ320" s="93"/>
      <c r="AK320" s="93"/>
      <c r="AL320" s="93"/>
    </row>
    <row r="321" spans="1:38" s="98" customFormat="1" x14ac:dyDescent="0.25">
      <c r="A321" s="99">
        <v>45380</v>
      </c>
      <c r="B321" s="316" t="s">
        <v>905</v>
      </c>
      <c r="C321" s="101">
        <v>-9000</v>
      </c>
      <c r="D321" s="157" t="s">
        <v>533</v>
      </c>
      <c r="E321" s="157"/>
      <c r="F321" s="157"/>
      <c r="G321" s="93"/>
      <c r="H321" s="93">
        <f>C321</f>
        <v>-9000</v>
      </c>
      <c r="I321" s="93"/>
      <c r="J321" s="93"/>
      <c r="K321" s="93"/>
      <c r="L321" s="93"/>
      <c r="M321" s="93"/>
      <c r="N321" s="93"/>
      <c r="O321" s="93"/>
      <c r="P321" s="93"/>
      <c r="Q321" s="93"/>
      <c r="R321" s="97"/>
      <c r="S321" s="97"/>
      <c r="T321" s="97"/>
      <c r="U321" s="97"/>
      <c r="V321" s="97"/>
      <c r="W321" s="97"/>
      <c r="X321" s="97"/>
      <c r="Y321" s="97"/>
      <c r="Z321" s="97"/>
      <c r="AA321" s="93"/>
      <c r="AB321" s="93"/>
      <c r="AC321" s="93"/>
      <c r="AD321" s="93"/>
      <c r="AE321" s="93"/>
      <c r="AF321" s="93"/>
      <c r="AG321" s="93"/>
      <c r="AH321" s="93"/>
      <c r="AI321" s="93"/>
      <c r="AJ321" s="93"/>
      <c r="AK321" s="93"/>
      <c r="AL321" s="93"/>
    </row>
    <row r="322" spans="1:38" s="98" customFormat="1" x14ac:dyDescent="0.25">
      <c r="A322" s="99">
        <v>45380</v>
      </c>
      <c r="B322" s="316" t="s">
        <v>185</v>
      </c>
      <c r="C322" s="101">
        <v>-62000</v>
      </c>
      <c r="D322" s="157" t="s">
        <v>534</v>
      </c>
      <c r="E322" s="157"/>
      <c r="F322" s="157"/>
      <c r="G322" s="93"/>
      <c r="H322" s="93"/>
      <c r="I322" s="93"/>
      <c r="J322" s="93">
        <f>C322</f>
        <v>-62000</v>
      </c>
      <c r="K322" s="93"/>
      <c r="L322" s="93"/>
      <c r="M322" s="93"/>
      <c r="N322" s="93"/>
      <c r="O322" s="93"/>
      <c r="P322" s="93"/>
      <c r="Q322" s="93"/>
      <c r="R322" s="97"/>
      <c r="S322" s="97"/>
      <c r="T322" s="97"/>
      <c r="U322" s="97"/>
      <c r="V322" s="97"/>
      <c r="W322" s="97"/>
      <c r="X322" s="97"/>
      <c r="Y322" s="97"/>
      <c r="Z322" s="97"/>
      <c r="AA322" s="93"/>
      <c r="AB322" s="93"/>
      <c r="AC322" s="93"/>
      <c r="AD322" s="93"/>
      <c r="AE322" s="93"/>
      <c r="AF322" s="93"/>
      <c r="AG322" s="93"/>
      <c r="AH322" s="93"/>
      <c r="AI322" s="93"/>
      <c r="AJ322" s="93"/>
      <c r="AK322" s="93"/>
      <c r="AL322" s="93"/>
    </row>
    <row r="323" spans="1:38" s="98" customFormat="1" x14ac:dyDescent="0.25">
      <c r="A323" s="99">
        <v>45380</v>
      </c>
      <c r="B323" s="316" t="s">
        <v>737</v>
      </c>
      <c r="C323" s="101">
        <v>-2493000</v>
      </c>
      <c r="D323" s="157" t="s">
        <v>278</v>
      </c>
      <c r="E323" s="157"/>
      <c r="F323" s="157"/>
      <c r="G323" s="93"/>
      <c r="H323" s="93"/>
      <c r="I323" s="93"/>
      <c r="J323" s="93"/>
      <c r="K323" s="93"/>
      <c r="L323" s="93"/>
      <c r="M323" s="93"/>
      <c r="N323" s="93"/>
      <c r="O323" s="93"/>
      <c r="P323" s="93"/>
      <c r="Q323" s="93"/>
      <c r="R323" s="97"/>
      <c r="S323" s="97"/>
      <c r="T323" s="97"/>
      <c r="U323" s="97"/>
      <c r="V323" s="97"/>
      <c r="W323" s="97"/>
      <c r="X323" s="97"/>
      <c r="Y323" s="97"/>
      <c r="Z323" s="97"/>
      <c r="AA323" s="93"/>
      <c r="AB323" s="93"/>
      <c r="AC323" s="93"/>
      <c r="AD323" s="93"/>
      <c r="AE323" s="93"/>
      <c r="AF323" s="93">
        <f>C323</f>
        <v>-2493000</v>
      </c>
      <c r="AG323" s="93"/>
      <c r="AH323" s="93"/>
      <c r="AI323" s="93"/>
      <c r="AJ323" s="93"/>
      <c r="AK323" s="93"/>
      <c r="AL323" s="93"/>
    </row>
    <row r="324" spans="1:38" s="98" customFormat="1" x14ac:dyDescent="0.25">
      <c r="A324" s="99">
        <v>45380</v>
      </c>
      <c r="B324" s="316" t="s">
        <v>240</v>
      </c>
      <c r="C324" s="101">
        <v>-9500</v>
      </c>
      <c r="D324" s="157" t="s">
        <v>535</v>
      </c>
      <c r="E324" s="157"/>
      <c r="F324" s="157"/>
      <c r="G324" s="93"/>
      <c r="H324" s="93"/>
      <c r="I324" s="93"/>
      <c r="J324" s="93"/>
      <c r="K324" s="93"/>
      <c r="L324" s="93"/>
      <c r="M324" s="93"/>
      <c r="N324" s="93"/>
      <c r="O324" s="93"/>
      <c r="P324" s="93"/>
      <c r="Q324" s="93"/>
      <c r="R324" s="97"/>
      <c r="S324" s="97"/>
      <c r="T324" s="97"/>
      <c r="U324" s="97"/>
      <c r="V324" s="97"/>
      <c r="W324" s="97"/>
      <c r="X324" s="97"/>
      <c r="Y324" s="97"/>
      <c r="Z324" s="97"/>
      <c r="AA324" s="93"/>
      <c r="AB324" s="93"/>
      <c r="AC324" s="93"/>
      <c r="AD324" s="93"/>
      <c r="AE324" s="93"/>
      <c r="AF324" s="93"/>
      <c r="AG324" s="93">
        <f>C324</f>
        <v>-9500</v>
      </c>
      <c r="AH324" s="93"/>
      <c r="AI324" s="93"/>
      <c r="AJ324" s="93"/>
      <c r="AK324" s="93"/>
      <c r="AL324" s="93"/>
    </row>
    <row r="325" spans="1:38" s="98" customFormat="1" x14ac:dyDescent="0.25">
      <c r="A325" s="390">
        <v>45381</v>
      </c>
      <c r="B325" s="316" t="s">
        <v>163</v>
      </c>
      <c r="C325" s="64">
        <v>-11000</v>
      </c>
      <c r="D325" s="157" t="s">
        <v>532</v>
      </c>
      <c r="E325" s="157"/>
      <c r="F325" s="157"/>
      <c r="G325" s="93"/>
      <c r="H325" s="93"/>
      <c r="I325" s="93"/>
      <c r="J325" s="93"/>
      <c r="K325" s="93">
        <f>C325</f>
        <v>-11000</v>
      </c>
      <c r="L325" s="93"/>
      <c r="M325" s="93"/>
      <c r="N325" s="93"/>
      <c r="O325" s="93"/>
      <c r="P325" s="93"/>
      <c r="Q325" s="93"/>
      <c r="R325" s="97"/>
      <c r="S325" s="97"/>
      <c r="T325" s="97"/>
      <c r="U325" s="97"/>
      <c r="V325" s="97"/>
      <c r="W325" s="97"/>
      <c r="X325" s="97"/>
      <c r="Y325" s="97"/>
      <c r="Z325" s="97"/>
      <c r="AA325" s="93"/>
      <c r="AB325" s="93"/>
      <c r="AC325" s="93"/>
      <c r="AD325" s="93"/>
      <c r="AE325" s="93"/>
      <c r="AF325" s="93"/>
      <c r="AG325" s="93"/>
      <c r="AH325" s="93"/>
      <c r="AI325" s="93"/>
      <c r="AJ325" s="93"/>
      <c r="AK325" s="93"/>
      <c r="AL325" s="93"/>
    </row>
    <row r="326" spans="1:38" s="98" customFormat="1" x14ac:dyDescent="0.25">
      <c r="A326" s="390">
        <v>45381</v>
      </c>
      <c r="B326" s="316" t="s">
        <v>901</v>
      </c>
      <c r="C326" s="64">
        <v>-1251500</v>
      </c>
      <c r="D326" s="157" t="s">
        <v>533</v>
      </c>
      <c r="E326" s="157"/>
      <c r="F326" s="157"/>
      <c r="G326" s="93"/>
      <c r="H326" s="93">
        <f>C326</f>
        <v>-1251500</v>
      </c>
      <c r="I326" s="93"/>
      <c r="J326" s="93"/>
      <c r="K326" s="93"/>
      <c r="L326" s="93"/>
      <c r="M326" s="93"/>
      <c r="N326" s="93"/>
      <c r="O326" s="93"/>
      <c r="P326" s="93"/>
      <c r="Q326" s="93"/>
      <c r="R326" s="97"/>
      <c r="S326" s="97"/>
      <c r="T326" s="97"/>
      <c r="U326" s="97"/>
      <c r="V326" s="97"/>
      <c r="W326" s="97"/>
      <c r="X326" s="97"/>
      <c r="Y326" s="97"/>
      <c r="Z326" s="97"/>
      <c r="AA326" s="93"/>
      <c r="AB326" s="93"/>
      <c r="AC326" s="93"/>
      <c r="AD326" s="93"/>
      <c r="AE326" s="93"/>
      <c r="AF326" s="93"/>
      <c r="AG326" s="93"/>
      <c r="AH326" s="93"/>
      <c r="AI326" s="93"/>
      <c r="AJ326" s="93"/>
      <c r="AK326" s="93"/>
      <c r="AL326" s="93"/>
    </row>
    <row r="327" spans="1:38" s="98" customFormat="1" x14ac:dyDescent="0.25">
      <c r="A327" s="390">
        <v>45381</v>
      </c>
      <c r="B327" s="316" t="s">
        <v>901</v>
      </c>
      <c r="C327" s="64">
        <v>-25000</v>
      </c>
      <c r="D327" s="157" t="s">
        <v>533</v>
      </c>
      <c r="E327" s="157"/>
      <c r="F327" s="157"/>
      <c r="G327" s="93"/>
      <c r="H327" s="93">
        <f>C327</f>
        <v>-25000</v>
      </c>
      <c r="I327" s="93"/>
      <c r="J327" s="93"/>
      <c r="K327" s="93"/>
      <c r="L327" s="93"/>
      <c r="M327" s="93"/>
      <c r="N327" s="93"/>
      <c r="O327" s="93"/>
      <c r="P327" s="93"/>
      <c r="Q327" s="93"/>
      <c r="R327" s="97"/>
      <c r="S327" s="97"/>
      <c r="T327" s="97"/>
      <c r="U327" s="97"/>
      <c r="V327" s="97"/>
      <c r="W327" s="97"/>
      <c r="X327" s="97"/>
      <c r="Y327" s="97"/>
      <c r="Z327" s="97"/>
      <c r="AA327" s="93"/>
      <c r="AB327" s="93"/>
      <c r="AC327" s="93"/>
      <c r="AD327" s="93"/>
      <c r="AE327" s="93"/>
      <c r="AF327" s="93"/>
      <c r="AG327" s="93"/>
      <c r="AH327" s="93"/>
      <c r="AI327" s="93"/>
      <c r="AJ327" s="93"/>
      <c r="AK327" s="93"/>
      <c r="AL327" s="93"/>
    </row>
    <row r="328" spans="1:38" s="98" customFormat="1" x14ac:dyDescent="0.25">
      <c r="A328" s="390">
        <v>45381</v>
      </c>
      <c r="B328" s="316" t="s">
        <v>910</v>
      </c>
      <c r="C328" s="64">
        <v>-241000</v>
      </c>
      <c r="D328" s="157" t="s">
        <v>27</v>
      </c>
      <c r="E328" s="157"/>
      <c r="F328" s="157"/>
      <c r="G328" s="93"/>
      <c r="H328" s="93"/>
      <c r="I328" s="93">
        <f>C328</f>
        <v>-241000</v>
      </c>
      <c r="J328" s="93"/>
      <c r="K328" s="93"/>
      <c r="L328" s="93"/>
      <c r="M328" s="93"/>
      <c r="N328" s="93"/>
      <c r="O328" s="93"/>
      <c r="P328" s="93"/>
      <c r="Q328" s="93"/>
      <c r="R328" s="97"/>
      <c r="S328" s="97"/>
      <c r="T328" s="97"/>
      <c r="U328" s="97"/>
      <c r="V328" s="97"/>
      <c r="W328" s="97"/>
      <c r="X328" s="97"/>
      <c r="Y328" s="97"/>
      <c r="Z328" s="97"/>
      <c r="AA328" s="93"/>
      <c r="AB328" s="93"/>
      <c r="AC328" s="93"/>
      <c r="AD328" s="93"/>
      <c r="AE328" s="93"/>
      <c r="AF328" s="93"/>
      <c r="AG328" s="93"/>
      <c r="AH328" s="93"/>
      <c r="AI328" s="93"/>
      <c r="AJ328" s="93"/>
      <c r="AK328" s="93"/>
      <c r="AL328" s="93"/>
    </row>
    <row r="329" spans="1:38" s="98" customFormat="1" x14ac:dyDescent="0.25">
      <c r="A329" s="390">
        <v>45381</v>
      </c>
      <c r="B329" s="316" t="s">
        <v>737</v>
      </c>
      <c r="C329" s="64">
        <v>-107500</v>
      </c>
      <c r="D329" s="157" t="s">
        <v>278</v>
      </c>
      <c r="E329" s="157"/>
      <c r="F329" s="157"/>
      <c r="G329" s="93"/>
      <c r="H329" s="93"/>
      <c r="I329" s="93"/>
      <c r="J329" s="93"/>
      <c r="K329" s="93"/>
      <c r="L329" s="93"/>
      <c r="M329" s="93"/>
      <c r="N329" s="93"/>
      <c r="O329" s="93"/>
      <c r="P329" s="93"/>
      <c r="Q329" s="93"/>
      <c r="R329" s="97"/>
      <c r="S329" s="97"/>
      <c r="T329" s="97"/>
      <c r="U329" s="97"/>
      <c r="V329" s="97"/>
      <c r="W329" s="97"/>
      <c r="X329" s="97"/>
      <c r="Y329" s="97"/>
      <c r="Z329" s="97"/>
      <c r="AA329" s="93"/>
      <c r="AB329" s="93"/>
      <c r="AC329" s="93"/>
      <c r="AD329" s="93"/>
      <c r="AE329" s="93"/>
      <c r="AF329" s="93">
        <f>C329</f>
        <v>-107500</v>
      </c>
      <c r="AG329" s="93"/>
      <c r="AH329" s="93"/>
      <c r="AI329" s="93"/>
      <c r="AJ329" s="93"/>
      <c r="AK329" s="93"/>
      <c r="AL329" s="93"/>
    </row>
    <row r="330" spans="1:38" s="98" customFormat="1" x14ac:dyDescent="0.25">
      <c r="A330" s="390">
        <v>45381</v>
      </c>
      <c r="B330" s="316" t="s">
        <v>912</v>
      </c>
      <c r="C330" s="64">
        <v>-1274700</v>
      </c>
      <c r="D330" s="157" t="s">
        <v>944</v>
      </c>
      <c r="E330" s="157">
        <f>C330</f>
        <v>-1274700</v>
      </c>
      <c r="F330" s="157"/>
      <c r="G330" s="93"/>
      <c r="H330" s="93"/>
      <c r="I330" s="93"/>
      <c r="J330" s="93"/>
      <c r="K330" s="93"/>
      <c r="L330" s="93"/>
      <c r="M330" s="93"/>
      <c r="N330" s="93"/>
      <c r="O330" s="93"/>
      <c r="P330" s="93"/>
      <c r="Q330" s="93"/>
      <c r="R330" s="97"/>
      <c r="S330" s="97"/>
      <c r="T330" s="97"/>
      <c r="U330" s="97"/>
      <c r="V330" s="97"/>
      <c r="W330" s="97"/>
      <c r="X330" s="97"/>
      <c r="Y330" s="97"/>
      <c r="Z330" s="97"/>
      <c r="AA330" s="93"/>
      <c r="AB330" s="93"/>
      <c r="AC330" s="93"/>
      <c r="AD330" s="93"/>
      <c r="AE330" s="93"/>
      <c r="AF330" s="93"/>
      <c r="AG330" s="93"/>
      <c r="AH330" s="93"/>
      <c r="AI330" s="93"/>
      <c r="AJ330" s="93"/>
      <c r="AK330" s="93"/>
      <c r="AL330" s="93"/>
    </row>
    <row r="331" spans="1:38" s="98" customFormat="1" x14ac:dyDescent="0.25">
      <c r="A331" s="390">
        <v>45381</v>
      </c>
      <c r="B331" s="316" t="s">
        <v>788</v>
      </c>
      <c r="C331" s="64">
        <v>-100000</v>
      </c>
      <c r="D331" s="157" t="s">
        <v>131</v>
      </c>
      <c r="E331" s="157"/>
      <c r="F331" s="157"/>
      <c r="G331" s="93"/>
      <c r="H331" s="93"/>
      <c r="I331" s="93"/>
      <c r="J331" s="93"/>
      <c r="K331" s="93"/>
      <c r="L331" s="93"/>
      <c r="M331" s="93"/>
      <c r="N331" s="93"/>
      <c r="O331" s="93"/>
      <c r="P331" s="93"/>
      <c r="Q331" s="93"/>
      <c r="R331" s="97"/>
      <c r="S331" s="97"/>
      <c r="T331" s="97"/>
      <c r="U331" s="97"/>
      <c r="V331" s="97"/>
      <c r="W331" s="97"/>
      <c r="X331" s="97"/>
      <c r="Y331" s="97"/>
      <c r="Z331" s="97"/>
      <c r="AA331" s="93"/>
      <c r="AB331" s="93"/>
      <c r="AC331" s="93"/>
      <c r="AD331" s="93"/>
      <c r="AE331" s="93"/>
      <c r="AF331" s="93"/>
      <c r="AG331" s="93"/>
      <c r="AH331" s="93"/>
      <c r="AI331" s="93">
        <f>C331</f>
        <v>-100000</v>
      </c>
      <c r="AJ331" s="93"/>
      <c r="AK331" s="93"/>
      <c r="AL331" s="93"/>
    </row>
    <row r="332" spans="1:38" s="98" customFormat="1" x14ac:dyDescent="0.25">
      <c r="A332" s="390">
        <v>45381</v>
      </c>
      <c r="B332" s="316" t="s">
        <v>267</v>
      </c>
      <c r="C332" s="64">
        <v>-2670000</v>
      </c>
      <c r="D332" s="157" t="s">
        <v>535</v>
      </c>
      <c r="E332" s="157"/>
      <c r="F332" s="157"/>
      <c r="G332" s="93"/>
      <c r="H332" s="93"/>
      <c r="I332" s="93"/>
      <c r="J332" s="93"/>
      <c r="K332" s="93"/>
      <c r="L332" s="93"/>
      <c r="M332" s="93"/>
      <c r="N332" s="93"/>
      <c r="O332" s="93"/>
      <c r="P332" s="93"/>
      <c r="Q332" s="93"/>
      <c r="R332" s="97"/>
      <c r="S332" s="97"/>
      <c r="T332" s="97"/>
      <c r="U332" s="97"/>
      <c r="V332" s="97"/>
      <c r="W332" s="97"/>
      <c r="X332" s="97"/>
      <c r="Y332" s="97"/>
      <c r="Z332" s="97"/>
      <c r="AA332" s="93"/>
      <c r="AB332" s="93"/>
      <c r="AC332" s="93"/>
      <c r="AD332" s="93"/>
      <c r="AE332" s="93"/>
      <c r="AF332" s="93"/>
      <c r="AG332" s="93">
        <f>C332</f>
        <v>-2670000</v>
      </c>
      <c r="AH332" s="93"/>
      <c r="AI332" s="93"/>
      <c r="AJ332" s="93"/>
      <c r="AK332" s="93"/>
      <c r="AL332" s="93"/>
    </row>
    <row r="333" spans="1:38" s="98" customFormat="1" x14ac:dyDescent="0.25">
      <c r="A333" s="390">
        <v>45381</v>
      </c>
      <c r="B333" s="316" t="s">
        <v>854</v>
      </c>
      <c r="C333" s="64">
        <v>-9000</v>
      </c>
      <c r="D333" s="157" t="s">
        <v>533</v>
      </c>
      <c r="E333" s="157"/>
      <c r="F333" s="157"/>
      <c r="G333" s="93"/>
      <c r="H333" s="93">
        <f>C333</f>
        <v>-9000</v>
      </c>
      <c r="I333" s="93"/>
      <c r="J333" s="93"/>
      <c r="K333" s="93"/>
      <c r="L333" s="93"/>
      <c r="M333" s="93"/>
      <c r="N333" s="93"/>
      <c r="O333" s="93"/>
      <c r="P333" s="93"/>
      <c r="Q333" s="93"/>
      <c r="R333" s="97"/>
      <c r="S333" s="97"/>
      <c r="T333" s="97"/>
      <c r="U333" s="97"/>
      <c r="V333" s="97"/>
      <c r="W333" s="97"/>
      <c r="X333" s="97"/>
      <c r="Y333" s="97"/>
      <c r="Z333" s="97"/>
      <c r="AA333" s="93"/>
      <c r="AB333" s="93"/>
      <c r="AC333" s="93"/>
      <c r="AD333" s="93"/>
      <c r="AE333" s="93"/>
      <c r="AF333" s="93"/>
      <c r="AG333" s="93"/>
      <c r="AH333" s="93"/>
      <c r="AI333" s="93"/>
      <c r="AJ333" s="93"/>
      <c r="AK333" s="93"/>
      <c r="AL333" s="93"/>
    </row>
    <row r="334" spans="1:38" s="98" customFormat="1" x14ac:dyDescent="0.25">
      <c r="A334" s="390">
        <v>45381</v>
      </c>
      <c r="B334" s="316" t="s">
        <v>916</v>
      </c>
      <c r="C334" s="64">
        <v>-65000</v>
      </c>
      <c r="D334" s="157" t="s">
        <v>25</v>
      </c>
      <c r="E334" s="157"/>
      <c r="F334" s="157"/>
      <c r="G334" s="93">
        <f>C334</f>
        <v>-65000</v>
      </c>
      <c r="H334" s="93"/>
      <c r="I334" s="93"/>
      <c r="J334" s="93"/>
      <c r="K334" s="93"/>
      <c r="L334" s="93"/>
      <c r="M334" s="93"/>
      <c r="N334" s="93"/>
      <c r="O334" s="93"/>
      <c r="P334" s="93"/>
      <c r="Q334" s="93"/>
      <c r="R334" s="97"/>
      <c r="S334" s="97"/>
      <c r="T334" s="97"/>
      <c r="U334" s="97"/>
      <c r="V334" s="97"/>
      <c r="W334" s="97"/>
      <c r="X334" s="97"/>
      <c r="Y334" s="97"/>
      <c r="Z334" s="97"/>
      <c r="AA334" s="93"/>
      <c r="AB334" s="93"/>
      <c r="AC334" s="93"/>
      <c r="AD334" s="93"/>
      <c r="AE334" s="93"/>
      <c r="AF334" s="93"/>
      <c r="AG334" s="93"/>
      <c r="AH334" s="93"/>
      <c r="AI334" s="93"/>
      <c r="AJ334" s="93"/>
      <c r="AK334" s="93"/>
      <c r="AL334" s="93"/>
    </row>
    <row r="335" spans="1:38" s="98" customFormat="1" x14ac:dyDescent="0.25">
      <c r="A335" s="390">
        <v>45382</v>
      </c>
      <c r="B335" s="316" t="s">
        <v>163</v>
      </c>
      <c r="C335" s="101">
        <v>-11000</v>
      </c>
      <c r="D335" s="157" t="s">
        <v>532</v>
      </c>
      <c r="E335" s="157"/>
      <c r="F335" s="157"/>
      <c r="G335" s="93"/>
      <c r="H335" s="93"/>
      <c r="I335" s="93"/>
      <c r="J335" s="93"/>
      <c r="K335" s="93">
        <f>C335</f>
        <v>-11000</v>
      </c>
      <c r="L335" s="93"/>
      <c r="M335" s="93"/>
      <c r="N335" s="93"/>
      <c r="O335" s="93"/>
      <c r="P335" s="93"/>
      <c r="Q335" s="93"/>
      <c r="R335" s="97"/>
      <c r="S335" s="97"/>
      <c r="T335" s="97"/>
      <c r="U335" s="97"/>
      <c r="V335" s="97"/>
      <c r="W335" s="97"/>
      <c r="X335" s="97"/>
      <c r="Y335" s="97"/>
      <c r="Z335" s="97"/>
      <c r="AA335" s="93"/>
      <c r="AB335" s="93"/>
      <c r="AC335" s="93"/>
      <c r="AD335" s="93"/>
      <c r="AE335" s="93"/>
      <c r="AF335" s="93"/>
      <c r="AG335" s="93"/>
      <c r="AH335" s="93"/>
      <c r="AI335" s="93"/>
      <c r="AJ335" s="93"/>
      <c r="AK335" s="93"/>
      <c r="AL335" s="93"/>
    </row>
    <row r="336" spans="1:38" s="98" customFormat="1" x14ac:dyDescent="0.25">
      <c r="A336" s="390">
        <v>45382</v>
      </c>
      <c r="B336" s="316" t="s">
        <v>917</v>
      </c>
      <c r="C336" s="101">
        <v>-645000</v>
      </c>
      <c r="D336" s="157" t="s">
        <v>533</v>
      </c>
      <c r="E336" s="157"/>
      <c r="F336" s="157"/>
      <c r="G336" s="93"/>
      <c r="H336" s="93">
        <f>C336</f>
        <v>-645000</v>
      </c>
      <c r="I336" s="93"/>
      <c r="J336" s="93"/>
      <c r="K336" s="93"/>
      <c r="L336" s="93"/>
      <c r="M336" s="93"/>
      <c r="N336" s="93"/>
      <c r="O336" s="93"/>
      <c r="P336" s="93"/>
      <c r="Q336" s="93"/>
      <c r="R336" s="97"/>
      <c r="S336" s="97"/>
      <c r="T336" s="97"/>
      <c r="U336" s="97"/>
      <c r="V336" s="97"/>
      <c r="W336" s="97"/>
      <c r="X336" s="97"/>
      <c r="Y336" s="97"/>
      <c r="Z336" s="97"/>
      <c r="AA336" s="93"/>
      <c r="AB336" s="93"/>
      <c r="AC336" s="93"/>
      <c r="AD336" s="93"/>
      <c r="AE336" s="93"/>
      <c r="AF336" s="93"/>
      <c r="AG336" s="93"/>
      <c r="AH336" s="93"/>
      <c r="AI336" s="93"/>
      <c r="AJ336" s="93"/>
      <c r="AK336" s="93"/>
      <c r="AL336" s="93"/>
    </row>
    <row r="337" spans="1:38" s="98" customFormat="1" x14ac:dyDescent="0.25">
      <c r="A337" s="390">
        <v>45382</v>
      </c>
      <c r="B337" s="316" t="s">
        <v>919</v>
      </c>
      <c r="C337" s="101">
        <v>-200000</v>
      </c>
      <c r="D337" s="157" t="s">
        <v>532</v>
      </c>
      <c r="E337" s="157"/>
      <c r="F337" s="157"/>
      <c r="G337" s="93"/>
      <c r="H337" s="93"/>
      <c r="I337" s="93"/>
      <c r="J337" s="93"/>
      <c r="K337" s="93">
        <f>C337</f>
        <v>-200000</v>
      </c>
      <c r="L337" s="93"/>
      <c r="M337" s="93"/>
      <c r="N337" s="93"/>
      <c r="O337" s="93"/>
      <c r="P337" s="93"/>
      <c r="Q337" s="93"/>
      <c r="R337" s="97"/>
      <c r="S337" s="97"/>
      <c r="T337" s="97"/>
      <c r="U337" s="97"/>
      <c r="V337" s="97"/>
      <c r="W337" s="97"/>
      <c r="X337" s="97"/>
      <c r="Y337" s="97"/>
      <c r="Z337" s="97"/>
      <c r="AA337" s="93"/>
      <c r="AB337" s="93"/>
      <c r="AC337" s="93"/>
      <c r="AD337" s="93"/>
      <c r="AE337" s="93"/>
      <c r="AF337" s="93"/>
      <c r="AG337" s="93"/>
      <c r="AH337" s="93"/>
      <c r="AI337" s="93"/>
      <c r="AJ337" s="93"/>
      <c r="AK337" s="93"/>
      <c r="AL337" s="93"/>
    </row>
    <row r="338" spans="1:38" x14ac:dyDescent="0.25">
      <c r="A338" s="15" t="s">
        <v>96</v>
      </c>
      <c r="B338" s="15"/>
      <c r="C338" s="104">
        <f>SUM(C2:C337)</f>
        <v>-211555346</v>
      </c>
      <c r="D338" s="42"/>
      <c r="E338" s="102">
        <f t="shared" ref="E338:AL338" si="0">SUM(E2:E337)</f>
        <v>-11841600</v>
      </c>
      <c r="F338" s="102">
        <f t="shared" si="0"/>
        <v>0</v>
      </c>
      <c r="G338" s="102">
        <f t="shared" si="0"/>
        <v>-2107368</v>
      </c>
      <c r="H338" s="102">
        <f t="shared" si="0"/>
        <v>-40399450</v>
      </c>
      <c r="I338" s="102">
        <f t="shared" si="0"/>
        <v>-5154400</v>
      </c>
      <c r="J338" s="102">
        <f t="shared" si="0"/>
        <v>-7520300</v>
      </c>
      <c r="K338" s="102">
        <f t="shared" si="0"/>
        <v>-3010000</v>
      </c>
      <c r="L338" s="102">
        <f t="shared" si="0"/>
        <v>-1407800</v>
      </c>
      <c r="M338" s="102">
        <f t="shared" si="0"/>
        <v>-100000</v>
      </c>
      <c r="N338" s="102">
        <f t="shared" si="0"/>
        <v>-432000</v>
      </c>
      <c r="O338" s="102">
        <f t="shared" si="0"/>
        <v>-8789670</v>
      </c>
      <c r="P338" s="102">
        <f t="shared" si="0"/>
        <v>-938090</v>
      </c>
      <c r="Q338" s="102">
        <f t="shared" si="0"/>
        <v>-2500000</v>
      </c>
      <c r="R338" s="102">
        <f t="shared" si="0"/>
        <v>-1014267</v>
      </c>
      <c r="S338" s="102">
        <f t="shared" si="0"/>
        <v>-24025822</v>
      </c>
      <c r="T338" s="102">
        <f t="shared" si="0"/>
        <v>-568600</v>
      </c>
      <c r="U338" s="102">
        <f t="shared" si="0"/>
        <v>0</v>
      </c>
      <c r="V338" s="102">
        <f t="shared" si="0"/>
        <v>-63386</v>
      </c>
      <c r="W338" s="102">
        <f t="shared" si="0"/>
        <v>-800000</v>
      </c>
      <c r="X338" s="102">
        <f t="shared" si="0"/>
        <v>-4550000</v>
      </c>
      <c r="Y338" s="102">
        <f t="shared" si="0"/>
        <v>-900000</v>
      </c>
      <c r="Z338" s="102">
        <f t="shared" si="0"/>
        <v>-1121850</v>
      </c>
      <c r="AA338" s="102">
        <f t="shared" si="0"/>
        <v>-2282588</v>
      </c>
      <c r="AB338" s="102">
        <f t="shared" si="0"/>
        <v>-833150</v>
      </c>
      <c r="AC338" s="102">
        <f t="shared" si="0"/>
        <v>-1750000</v>
      </c>
      <c r="AD338" s="102">
        <f t="shared" si="0"/>
        <v>-4241550</v>
      </c>
      <c r="AE338" s="102">
        <f t="shared" si="0"/>
        <v>-6002417</v>
      </c>
      <c r="AF338" s="102">
        <f t="shared" si="0"/>
        <v>-22067258</v>
      </c>
      <c r="AG338" s="102">
        <f t="shared" si="0"/>
        <v>-55028800</v>
      </c>
      <c r="AH338" s="102">
        <f t="shared" si="0"/>
        <v>0</v>
      </c>
      <c r="AI338" s="102">
        <f t="shared" si="0"/>
        <v>-300000</v>
      </c>
      <c r="AJ338" s="102">
        <f t="shared" si="0"/>
        <v>-590470</v>
      </c>
      <c r="AK338" s="102">
        <f t="shared" si="0"/>
        <v>-1214510</v>
      </c>
      <c r="AL338" s="102">
        <f t="shared" si="0"/>
        <v>0</v>
      </c>
    </row>
    <row r="339" spans="1:38" x14ac:dyDescent="0.25">
      <c r="S339" s="19"/>
    </row>
    <row r="340" spans="1:38" x14ac:dyDescent="0.25">
      <c r="C340" s="105">
        <f>SUM(E338:AL338)</f>
        <v>-211555346</v>
      </c>
    </row>
    <row r="342" spans="1:38" x14ac:dyDescent="0.25">
      <c r="C342" s="42" t="s">
        <v>248</v>
      </c>
      <c r="D342" s="49">
        <f>G12+G13</f>
        <v>0</v>
      </c>
      <c r="E342" s="296"/>
      <c r="F342" s="296"/>
      <c r="H342" s="448" t="s">
        <v>164</v>
      </c>
      <c r="I342" s="448"/>
    </row>
    <row r="343" spans="1:38" x14ac:dyDescent="0.25">
      <c r="C343" s="68" t="s">
        <v>522</v>
      </c>
      <c r="D343" s="81">
        <f>G338-D342-D344-D345</f>
        <v>-2107368</v>
      </c>
      <c r="E343" s="297"/>
      <c r="F343" s="297"/>
      <c r="H343" s="42"/>
      <c r="I343" s="49"/>
    </row>
    <row r="344" spans="1:38" x14ac:dyDescent="0.25">
      <c r="C344" s="42" t="s">
        <v>247</v>
      </c>
      <c r="D344" s="49">
        <f>G264</f>
        <v>0</v>
      </c>
      <c r="E344" s="296"/>
      <c r="F344" s="296"/>
      <c r="H344" s="42"/>
      <c r="I344" s="49"/>
    </row>
    <row r="345" spans="1:38" x14ac:dyDescent="0.25">
      <c r="C345" s="68" t="s">
        <v>523</v>
      </c>
      <c r="D345" s="81"/>
      <c r="E345" s="297"/>
      <c r="F345" s="297"/>
      <c r="H345" s="42"/>
      <c r="I345" s="15"/>
    </row>
    <row r="346" spans="1:38" x14ac:dyDescent="0.25">
      <c r="C346" s="42"/>
      <c r="D346" s="49"/>
      <c r="E346" s="296"/>
      <c r="F346" s="296"/>
      <c r="H346" s="42"/>
      <c r="I346" s="15"/>
    </row>
    <row r="347" spans="1:38" x14ac:dyDescent="0.25">
      <c r="C347" s="102" t="s">
        <v>96</v>
      </c>
      <c r="D347" s="103">
        <f>SUM(D342+D343+D344+D345+D346)</f>
        <v>-2107368</v>
      </c>
      <c r="E347" s="298"/>
      <c r="F347" s="298"/>
      <c r="H347" s="42"/>
      <c r="I347" s="15"/>
    </row>
    <row r="348" spans="1:38" x14ac:dyDescent="0.25">
      <c r="D348" s="38"/>
      <c r="E348" s="38"/>
      <c r="F348" s="38"/>
      <c r="H348" s="42"/>
      <c r="I348" s="15"/>
    </row>
    <row r="349" spans="1:38" x14ac:dyDescent="0.25">
      <c r="D349" s="38"/>
      <c r="E349" s="38"/>
      <c r="F349" s="38"/>
      <c r="H349" s="138" t="s">
        <v>96</v>
      </c>
      <c r="I349" s="139">
        <f>SUM(I343:I348)</f>
        <v>0</v>
      </c>
    </row>
    <row r="350" spans="1:38" x14ac:dyDescent="0.25">
      <c r="B350" t="s">
        <v>1257</v>
      </c>
      <c r="C350" s="19">
        <f>E338</f>
        <v>-11841600</v>
      </c>
    </row>
    <row r="351" spans="1:38" x14ac:dyDescent="0.25">
      <c r="B351" s="19" t="s">
        <v>25</v>
      </c>
      <c r="C351" s="19">
        <f>G338</f>
        <v>-2107368</v>
      </c>
    </row>
    <row r="352" spans="1:38" x14ac:dyDescent="0.25">
      <c r="B352" t="s">
        <v>533</v>
      </c>
      <c r="C352" s="31">
        <f>H338</f>
        <v>-40399450</v>
      </c>
    </row>
    <row r="353" spans="2:3" x14ac:dyDescent="0.25">
      <c r="B353" t="s">
        <v>27</v>
      </c>
      <c r="C353" s="31">
        <f>I338</f>
        <v>-5154400</v>
      </c>
    </row>
    <row r="354" spans="2:3" x14ac:dyDescent="0.25">
      <c r="B354" t="s">
        <v>1259</v>
      </c>
      <c r="C354" s="31">
        <f>J338</f>
        <v>-7520300</v>
      </c>
    </row>
    <row r="355" spans="2:3" x14ac:dyDescent="0.25">
      <c r="B355" t="s">
        <v>532</v>
      </c>
      <c r="C355" s="31">
        <f>K338</f>
        <v>-3010000</v>
      </c>
    </row>
    <row r="356" spans="2:3" x14ac:dyDescent="0.25">
      <c r="B356" t="s">
        <v>277</v>
      </c>
      <c r="C356" s="31">
        <f>AC338</f>
        <v>-1750000</v>
      </c>
    </row>
    <row r="357" spans="2:3" x14ac:dyDescent="0.25">
      <c r="B357" t="s">
        <v>942</v>
      </c>
      <c r="C357" s="31">
        <f>M338</f>
        <v>-100000</v>
      </c>
    </row>
    <row r="358" spans="2:3" x14ac:dyDescent="0.25">
      <c r="B358" t="s">
        <v>939</v>
      </c>
      <c r="C358" s="31">
        <f>N338</f>
        <v>-432000</v>
      </c>
    </row>
    <row r="359" spans="2:3" x14ac:dyDescent="0.25">
      <c r="B359" t="s">
        <v>929</v>
      </c>
      <c r="C359" s="31">
        <f>O338</f>
        <v>-8789670</v>
      </c>
    </row>
    <row r="360" spans="2:3" x14ac:dyDescent="0.25">
      <c r="B360" t="s">
        <v>1260</v>
      </c>
      <c r="C360" s="31">
        <f>P338</f>
        <v>-938090</v>
      </c>
    </row>
    <row r="361" spans="2:3" x14ac:dyDescent="0.25">
      <c r="B361" t="s">
        <v>935</v>
      </c>
      <c r="C361" s="31">
        <f>Q338</f>
        <v>-2500000</v>
      </c>
    </row>
    <row r="362" spans="2:3" x14ac:dyDescent="0.25">
      <c r="B362" t="s">
        <v>934</v>
      </c>
      <c r="C362" s="31">
        <f>R338</f>
        <v>-1014267</v>
      </c>
    </row>
    <row r="363" spans="2:3" x14ac:dyDescent="0.25">
      <c r="B363" t="s">
        <v>206</v>
      </c>
      <c r="C363" s="31">
        <f>W338</f>
        <v>-800000</v>
      </c>
    </row>
    <row r="364" spans="2:3" x14ac:dyDescent="0.25">
      <c r="B364" t="s">
        <v>1261</v>
      </c>
      <c r="C364" s="31">
        <f>Y338</f>
        <v>-900000</v>
      </c>
    </row>
    <row r="365" spans="2:3" x14ac:dyDescent="0.25">
      <c r="B365" t="s">
        <v>127</v>
      </c>
      <c r="C365" s="31">
        <f>S338</f>
        <v>-24025822</v>
      </c>
    </row>
    <row r="366" spans="2:3" x14ac:dyDescent="0.25">
      <c r="B366" t="s">
        <v>128</v>
      </c>
      <c r="C366" s="31">
        <f>T338</f>
        <v>-568600</v>
      </c>
    </row>
    <row r="367" spans="2:3" x14ac:dyDescent="0.25">
      <c r="B367" t="s">
        <v>1262</v>
      </c>
      <c r="C367" s="31">
        <f>V338</f>
        <v>-63386</v>
      </c>
    </row>
    <row r="368" spans="2:3" x14ac:dyDescent="0.25">
      <c r="B368" t="s">
        <v>937</v>
      </c>
      <c r="C368" s="31">
        <f>Z338</f>
        <v>-1121850</v>
      </c>
    </row>
    <row r="369" spans="2:3" x14ac:dyDescent="0.25">
      <c r="B369" t="s">
        <v>938</v>
      </c>
      <c r="C369" s="31">
        <f>AA338</f>
        <v>-2282588</v>
      </c>
    </row>
    <row r="370" spans="2:3" x14ac:dyDescent="0.25">
      <c r="B370" t="s">
        <v>32</v>
      </c>
      <c r="C370" s="31">
        <f>AB338</f>
        <v>-833150</v>
      </c>
    </row>
    <row r="371" spans="2:3" x14ac:dyDescent="0.25">
      <c r="B371" t="s">
        <v>131</v>
      </c>
      <c r="C371" s="31">
        <f>AI338</f>
        <v>-300000</v>
      </c>
    </row>
    <row r="372" spans="2:3" x14ac:dyDescent="0.25">
      <c r="B372" t="s">
        <v>932</v>
      </c>
      <c r="C372" s="31">
        <f>X338</f>
        <v>-4550000</v>
      </c>
    </row>
    <row r="373" spans="2:3" x14ac:dyDescent="0.25">
      <c r="B373" t="s">
        <v>536</v>
      </c>
      <c r="C373" s="31">
        <f>AE338</f>
        <v>-6002417</v>
      </c>
    </row>
    <row r="374" spans="2:3" x14ac:dyDescent="0.25">
      <c r="B374" t="s">
        <v>535</v>
      </c>
      <c r="C374" s="31">
        <f>AG338</f>
        <v>-55028800</v>
      </c>
    </row>
    <row r="375" spans="2:3" x14ac:dyDescent="0.25">
      <c r="B375" t="s">
        <v>278</v>
      </c>
      <c r="C375" s="31">
        <f>AF338</f>
        <v>-22067258</v>
      </c>
    </row>
    <row r="376" spans="2:3" x14ac:dyDescent="0.25">
      <c r="B376" t="s">
        <v>928</v>
      </c>
      <c r="C376" s="31">
        <f>AD338</f>
        <v>-4241550</v>
      </c>
    </row>
    <row r="377" spans="2:3" x14ac:dyDescent="0.25">
      <c r="B377" t="s">
        <v>927</v>
      </c>
      <c r="C377" s="31">
        <f>L338</f>
        <v>-1407800</v>
      </c>
    </row>
    <row r="378" spans="2:3" x14ac:dyDescent="0.25">
      <c r="B378" t="s">
        <v>141</v>
      </c>
      <c r="C378" s="31">
        <f>AJ338</f>
        <v>-590470</v>
      </c>
    </row>
    <row r="379" spans="2:3" x14ac:dyDescent="0.25">
      <c r="B379" t="s">
        <v>142</v>
      </c>
      <c r="C379" s="31">
        <f>AK338</f>
        <v>-1214510</v>
      </c>
    </row>
    <row r="380" spans="2:3" x14ac:dyDescent="0.25">
      <c r="B380" t="s">
        <v>96</v>
      </c>
      <c r="C380" s="4">
        <f>SUM(C350:C379)</f>
        <v>-211555346</v>
      </c>
    </row>
  </sheetData>
  <mergeCells count="1">
    <mergeCell ref="H342:I34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tabSelected="1" zoomScale="80" zoomScaleNormal="80" workbookViewId="0">
      <selection activeCell="D12" sqref="D12"/>
    </sheetView>
  </sheetViews>
  <sheetFormatPr defaultRowHeight="15" x14ac:dyDescent="0.25"/>
  <cols>
    <col min="2" max="2" width="33" bestFit="1" customWidth="1"/>
    <col min="3" max="3" width="19.140625" customWidth="1"/>
    <col min="4" max="4" width="14.28515625" style="21" bestFit="1" customWidth="1"/>
    <col min="5" max="5" width="14.28515625" bestFit="1" customWidth="1"/>
    <col min="6" max="6" width="16" style="60" bestFit="1" customWidth="1"/>
  </cols>
  <sheetData>
    <row r="1" spans="1:6" ht="18.75" customHeight="1" x14ac:dyDescent="0.25">
      <c r="A1" s="449" t="s">
        <v>1256</v>
      </c>
      <c r="B1" s="449"/>
      <c r="C1" s="449"/>
      <c r="D1" s="449"/>
    </row>
    <row r="2" spans="1:6" ht="15" customHeight="1" x14ac:dyDescent="0.25">
      <c r="A2" s="176" t="s">
        <v>4</v>
      </c>
      <c r="B2" s="176" t="s">
        <v>5</v>
      </c>
      <c r="C2" s="176" t="s">
        <v>6</v>
      </c>
      <c r="D2" s="176" t="s">
        <v>7</v>
      </c>
    </row>
    <row r="3" spans="1:6" x14ac:dyDescent="0.25">
      <c r="A3" s="7" t="s">
        <v>8</v>
      </c>
      <c r="B3" s="8" t="s">
        <v>1338</v>
      </c>
      <c r="C3" s="83">
        <f>Cashflow!D1</f>
        <v>31461729</v>
      </c>
      <c r="D3" s="55"/>
    </row>
    <row r="4" spans="1:6" x14ac:dyDescent="0.25">
      <c r="A4" s="7" t="s">
        <v>9</v>
      </c>
      <c r="B4" s="8" t="s">
        <v>10</v>
      </c>
      <c r="C4" s="84"/>
      <c r="D4" s="267">
        <f>Cashflow!C504</f>
        <v>35000000</v>
      </c>
    </row>
    <row r="5" spans="1:6" x14ac:dyDescent="0.25">
      <c r="A5" s="121"/>
      <c r="B5" s="9" t="s">
        <v>11</v>
      </c>
      <c r="C5" s="85">
        <f>Cashflow!D502</f>
        <v>-15000000</v>
      </c>
      <c r="D5" s="268"/>
    </row>
    <row r="6" spans="1:6" x14ac:dyDescent="0.25">
      <c r="A6" s="122"/>
      <c r="B6" s="9" t="s">
        <v>268</v>
      </c>
      <c r="C6" s="85">
        <f>Cashflow!G502</f>
        <v>-500000000</v>
      </c>
      <c r="D6" s="268"/>
    </row>
    <row r="7" spans="1:6" x14ac:dyDescent="0.25">
      <c r="A7" s="122"/>
      <c r="B7" s="9" t="s">
        <v>196</v>
      </c>
      <c r="C7" s="85">
        <f>Cashflow!E502</f>
        <v>690000000</v>
      </c>
      <c r="D7" s="268"/>
    </row>
    <row r="8" spans="1:6" x14ac:dyDescent="0.25">
      <c r="A8" s="122"/>
      <c r="B8" s="9" t="s">
        <v>471</v>
      </c>
      <c r="C8" s="85">
        <f>Cashflow!H502</f>
        <v>-190000000</v>
      </c>
      <c r="D8" s="268"/>
    </row>
    <row r="9" spans="1:6" x14ac:dyDescent="0.25">
      <c r="A9" s="122"/>
      <c r="B9" s="9" t="s">
        <v>118</v>
      </c>
      <c r="C9" s="85">
        <f>Cashflow!F502</f>
        <v>380000000</v>
      </c>
      <c r="D9" s="268"/>
    </row>
    <row r="10" spans="1:6" x14ac:dyDescent="0.25">
      <c r="A10" s="181"/>
      <c r="B10" s="9" t="s">
        <v>12</v>
      </c>
      <c r="C10" s="85"/>
      <c r="D10" s="269"/>
    </row>
    <row r="11" spans="1:6" x14ac:dyDescent="0.25">
      <c r="A11" s="10"/>
      <c r="B11" s="11"/>
      <c r="C11" s="86"/>
      <c r="D11" s="11"/>
    </row>
    <row r="12" spans="1:6" x14ac:dyDescent="0.25">
      <c r="A12" s="18" t="s">
        <v>14</v>
      </c>
      <c r="B12" s="12" t="s">
        <v>15</v>
      </c>
      <c r="C12" s="87"/>
      <c r="D12" s="13"/>
    </row>
    <row r="13" spans="1:6" x14ac:dyDescent="0.25">
      <c r="A13" s="14"/>
      <c r="B13" s="15" t="s">
        <v>16</v>
      </c>
      <c r="C13" s="85">
        <f>Invoices!G27</f>
        <v>115986000</v>
      </c>
      <c r="D13" s="450">
        <f>SUM(C13:C23)</f>
        <v>165536375</v>
      </c>
    </row>
    <row r="14" spans="1:6" x14ac:dyDescent="0.25">
      <c r="A14" s="14"/>
      <c r="B14" s="15" t="s">
        <v>17</v>
      </c>
      <c r="C14" s="88">
        <f>Bills!J53</f>
        <v>7610375</v>
      </c>
      <c r="D14" s="451"/>
      <c r="F14" s="60">
        <f>35000000+282626500-303143031+C3</f>
        <v>45945198</v>
      </c>
    </row>
    <row r="15" spans="1:6" x14ac:dyDescent="0.25">
      <c r="A15" s="14"/>
      <c r="B15" s="15" t="s">
        <v>162</v>
      </c>
      <c r="C15" s="88">
        <f>Kuitansi!E115</f>
        <v>840000</v>
      </c>
      <c r="D15" s="451"/>
    </row>
    <row r="16" spans="1:6" x14ac:dyDescent="0.25">
      <c r="A16" s="14"/>
      <c r="B16" s="15" t="s">
        <v>161</v>
      </c>
      <c r="C16" s="88">
        <f>Kuitansi!E117</f>
        <v>6310000</v>
      </c>
      <c r="D16" s="451"/>
    </row>
    <row r="17" spans="1:5" x14ac:dyDescent="0.25">
      <c r="A17" s="14"/>
      <c r="B17" s="283" t="s">
        <v>560</v>
      </c>
      <c r="C17" s="88">
        <f>Kuitansi!F112</f>
        <v>0</v>
      </c>
      <c r="D17" s="451"/>
    </row>
    <row r="18" spans="1:5" x14ac:dyDescent="0.25">
      <c r="A18" s="14"/>
      <c r="B18" s="15" t="s">
        <v>160</v>
      </c>
      <c r="C18" s="88">
        <f>Kuitansi!E120</f>
        <v>28300000</v>
      </c>
      <c r="D18" s="451"/>
    </row>
    <row r="19" spans="1:5" x14ac:dyDescent="0.25">
      <c r="A19" s="14"/>
      <c r="B19" s="9" t="s">
        <v>18</v>
      </c>
      <c r="C19" s="88">
        <f>OOD!C33</f>
        <v>2390000</v>
      </c>
      <c r="D19" s="451"/>
    </row>
    <row r="20" spans="1:5" x14ac:dyDescent="0.25">
      <c r="A20" s="14"/>
      <c r="B20" s="9" t="s">
        <v>19</v>
      </c>
      <c r="C20" s="88">
        <f>OOD!M11</f>
        <v>0</v>
      </c>
      <c r="D20" s="451"/>
    </row>
    <row r="21" spans="1:5" x14ac:dyDescent="0.25">
      <c r="A21" s="14"/>
      <c r="B21" s="9" t="s">
        <v>20</v>
      </c>
      <c r="C21" s="88">
        <f>OOD!H29</f>
        <v>0</v>
      </c>
      <c r="D21" s="451"/>
    </row>
    <row r="22" spans="1:5" x14ac:dyDescent="0.25">
      <c r="A22" s="17"/>
      <c r="B22" s="9" t="s">
        <v>21</v>
      </c>
      <c r="C22" s="88">
        <f>OOD!H26</f>
        <v>0</v>
      </c>
      <c r="D22" s="451"/>
    </row>
    <row r="23" spans="1:5" x14ac:dyDescent="0.25">
      <c r="A23" s="180"/>
      <c r="B23" s="9" t="s">
        <v>22</v>
      </c>
      <c r="C23" s="89">
        <f>OOD!H27</f>
        <v>4100000</v>
      </c>
      <c r="D23" s="452"/>
    </row>
    <row r="24" spans="1:5" x14ac:dyDescent="0.25">
      <c r="A24" s="17"/>
      <c r="C24" s="70"/>
      <c r="D24" s="179"/>
    </row>
    <row r="25" spans="1:5" x14ac:dyDescent="0.25">
      <c r="A25" s="18" t="s">
        <v>23</v>
      </c>
      <c r="B25" s="12" t="s">
        <v>24</v>
      </c>
      <c r="C25" s="90"/>
      <c r="D25" s="13"/>
    </row>
    <row r="26" spans="1:5" x14ac:dyDescent="0.25">
      <c r="A26" s="17"/>
      <c r="B26" s="15" t="s">
        <v>25</v>
      </c>
      <c r="C26" s="320">
        <f>KK!G338</f>
        <v>-2107368</v>
      </c>
      <c r="D26" s="453">
        <f>SUM(C26:C57)</f>
        <v>-211555346</v>
      </c>
    </row>
    <row r="27" spans="1:5" x14ac:dyDescent="0.25">
      <c r="A27" s="17"/>
      <c r="B27" s="15" t="s">
        <v>26</v>
      </c>
      <c r="C27" s="320">
        <f>KK!H338</f>
        <v>-40399450</v>
      </c>
      <c r="D27" s="454"/>
    </row>
    <row r="28" spans="1:5" x14ac:dyDescent="0.25">
      <c r="A28" s="17"/>
      <c r="B28" s="15" t="s">
        <v>27</v>
      </c>
      <c r="C28" s="320">
        <f>KK!I338</f>
        <v>-5154400</v>
      </c>
      <c r="D28" s="454"/>
    </row>
    <row r="29" spans="1:5" x14ac:dyDescent="0.25">
      <c r="A29" s="17"/>
      <c r="B29" s="15" t="s">
        <v>28</v>
      </c>
      <c r="C29" s="320">
        <f>KK!J338</f>
        <v>-7520300</v>
      </c>
      <c r="D29" s="454"/>
      <c r="E29" s="22"/>
    </row>
    <row r="30" spans="1:5" x14ac:dyDescent="0.25">
      <c r="A30" s="17"/>
      <c r="B30" s="15" t="s">
        <v>29</v>
      </c>
      <c r="C30" s="320">
        <f>KK!K338</f>
        <v>-3010000</v>
      </c>
      <c r="D30" s="454"/>
    </row>
    <row r="31" spans="1:5" x14ac:dyDescent="0.25">
      <c r="A31" s="17"/>
      <c r="B31" s="15" t="s">
        <v>30</v>
      </c>
      <c r="C31" s="320">
        <f>KK!AC338</f>
        <v>-1750000</v>
      </c>
      <c r="D31" s="454"/>
    </row>
    <row r="32" spans="1:5" x14ac:dyDescent="0.25">
      <c r="A32" s="17"/>
      <c r="B32" s="15" t="s">
        <v>254</v>
      </c>
      <c r="C32" s="320">
        <f>KK!M338</f>
        <v>-100000</v>
      </c>
      <c r="D32" s="454"/>
    </row>
    <row r="33" spans="1:5" x14ac:dyDescent="0.25">
      <c r="A33" s="17"/>
      <c r="B33" s="15" t="s">
        <v>255</v>
      </c>
      <c r="C33" s="320">
        <f>KK!N338</f>
        <v>-432000</v>
      </c>
      <c r="D33" s="454"/>
      <c r="E33" s="22">
        <f>C27+C28+C29+C40+C41+C42+C43+C44+C53</f>
        <v>-82544196</v>
      </c>
    </row>
    <row r="34" spans="1:5" x14ac:dyDescent="0.25">
      <c r="A34" s="17"/>
      <c r="B34" s="15" t="s">
        <v>256</v>
      </c>
      <c r="C34" s="320">
        <f>KK!O338</f>
        <v>-8789670</v>
      </c>
      <c r="D34" s="454"/>
    </row>
    <row r="35" spans="1:5" x14ac:dyDescent="0.25">
      <c r="A35" s="17"/>
      <c r="B35" s="15" t="s">
        <v>257</v>
      </c>
      <c r="C35" s="320">
        <f>KK!P338</f>
        <v>-938090</v>
      </c>
      <c r="D35" s="454"/>
    </row>
    <row r="36" spans="1:5" x14ac:dyDescent="0.25">
      <c r="A36" s="17"/>
      <c r="B36" s="15" t="s">
        <v>258</v>
      </c>
      <c r="C36" s="320">
        <f>KK!Q338</f>
        <v>-2500000</v>
      </c>
      <c r="D36" s="454"/>
    </row>
    <row r="37" spans="1:5" x14ac:dyDescent="0.25">
      <c r="A37" s="17"/>
      <c r="B37" s="15" t="s">
        <v>259</v>
      </c>
      <c r="C37" s="320">
        <f>KK!R338</f>
        <v>-1014267</v>
      </c>
      <c r="D37" s="454"/>
    </row>
    <row r="38" spans="1:5" x14ac:dyDescent="0.25">
      <c r="A38" s="17"/>
      <c r="B38" s="15" t="s">
        <v>206</v>
      </c>
      <c r="C38" s="320">
        <f>KK!W338</f>
        <v>-800000</v>
      </c>
      <c r="D38" s="454"/>
    </row>
    <row r="39" spans="1:5" x14ac:dyDescent="0.25">
      <c r="A39" s="17"/>
      <c r="B39" s="15" t="s">
        <v>31</v>
      </c>
      <c r="C39" s="320">
        <f>KK!Y338</f>
        <v>-900000</v>
      </c>
      <c r="D39" s="454"/>
    </row>
    <row r="40" spans="1:5" x14ac:dyDescent="0.25">
      <c r="A40" s="17"/>
      <c r="B40" s="15" t="s">
        <v>121</v>
      </c>
      <c r="C40" s="320">
        <f>KK!S338</f>
        <v>-24025822</v>
      </c>
      <c r="D40" s="454"/>
    </row>
    <row r="41" spans="1:5" x14ac:dyDescent="0.25">
      <c r="A41" s="17"/>
      <c r="B41" s="15" t="s">
        <v>122</v>
      </c>
      <c r="C41" s="320">
        <f>KK!T338</f>
        <v>-568600</v>
      </c>
      <c r="D41" s="454"/>
    </row>
    <row r="42" spans="1:5" x14ac:dyDescent="0.25">
      <c r="A42" s="17"/>
      <c r="B42" s="15" t="s">
        <v>132</v>
      </c>
      <c r="C42" s="320">
        <f>KK!V338</f>
        <v>-63386</v>
      </c>
      <c r="D42" s="454"/>
    </row>
    <row r="43" spans="1:5" x14ac:dyDescent="0.25">
      <c r="A43" s="17"/>
      <c r="B43" s="15" t="s">
        <v>252</v>
      </c>
      <c r="C43" s="320">
        <f>KK!Z338</f>
        <v>-1121850</v>
      </c>
      <c r="D43" s="454"/>
    </row>
    <row r="44" spans="1:5" x14ac:dyDescent="0.25">
      <c r="A44" s="17"/>
      <c r="B44" s="15" t="s">
        <v>253</v>
      </c>
      <c r="C44" s="320">
        <f>KK!AA338</f>
        <v>-2282588</v>
      </c>
      <c r="D44" s="454"/>
    </row>
    <row r="45" spans="1:5" x14ac:dyDescent="0.25">
      <c r="A45" s="17"/>
      <c r="B45" s="15" t="s">
        <v>32</v>
      </c>
      <c r="C45" s="320">
        <f>KK!AB338</f>
        <v>-833150</v>
      </c>
      <c r="D45" s="454"/>
    </row>
    <row r="46" spans="1:5" x14ac:dyDescent="0.25">
      <c r="A46" s="17"/>
      <c r="B46" s="15" t="s">
        <v>33</v>
      </c>
      <c r="C46" s="320">
        <f>KK!AI338</f>
        <v>-300000</v>
      </c>
      <c r="D46" s="454"/>
    </row>
    <row r="47" spans="1:5" x14ac:dyDescent="0.25">
      <c r="A47" s="17"/>
      <c r="B47" s="15" t="s">
        <v>230</v>
      </c>
      <c r="C47" s="320">
        <f>KK!AH338</f>
        <v>0</v>
      </c>
      <c r="D47" s="454"/>
    </row>
    <row r="48" spans="1:5" x14ac:dyDescent="0.25">
      <c r="A48" s="17"/>
      <c r="B48" s="15" t="s">
        <v>150</v>
      </c>
      <c r="C48" s="320">
        <f>KK!X338</f>
        <v>-4550000</v>
      </c>
      <c r="D48" s="454"/>
    </row>
    <row r="49" spans="1:4" x14ac:dyDescent="0.25">
      <c r="A49" s="17"/>
      <c r="B49" s="15" t="s">
        <v>152</v>
      </c>
      <c r="C49" s="320">
        <f>KK!AE338</f>
        <v>-6002417</v>
      </c>
      <c r="D49" s="454"/>
    </row>
    <row r="50" spans="1:4" x14ac:dyDescent="0.25">
      <c r="A50" s="17"/>
      <c r="B50" s="15" t="s">
        <v>231</v>
      </c>
      <c r="C50" s="320">
        <f>KK!AG338</f>
        <v>-55028800</v>
      </c>
      <c r="D50" s="454"/>
    </row>
    <row r="51" spans="1:4" x14ac:dyDescent="0.25">
      <c r="A51" s="17"/>
      <c r="B51" s="15" t="s">
        <v>151</v>
      </c>
      <c r="C51" s="320">
        <f>KK!AF338</f>
        <v>-22067258</v>
      </c>
      <c r="D51" s="454"/>
    </row>
    <row r="52" spans="1:4" x14ac:dyDescent="0.25">
      <c r="A52" s="17"/>
      <c r="B52" s="15" t="s">
        <v>153</v>
      </c>
      <c r="C52" s="320">
        <f>KK!AD338</f>
        <v>-4241550</v>
      </c>
      <c r="D52" s="454"/>
    </row>
    <row r="53" spans="1:4" x14ac:dyDescent="0.25">
      <c r="A53" s="17"/>
      <c r="B53" s="15" t="s">
        <v>34</v>
      </c>
      <c r="C53" s="320">
        <f>KK!L338</f>
        <v>-1407800</v>
      </c>
      <c r="D53" s="454"/>
    </row>
    <row r="54" spans="1:4" x14ac:dyDescent="0.25">
      <c r="A54" s="17"/>
      <c r="B54" s="15" t="s">
        <v>35</v>
      </c>
      <c r="C54" s="320">
        <f>KK!AJ338</f>
        <v>-590470</v>
      </c>
      <c r="D54" s="454"/>
    </row>
    <row r="55" spans="1:4" x14ac:dyDescent="0.25">
      <c r="A55" s="17"/>
      <c r="B55" s="283" t="s">
        <v>561</v>
      </c>
      <c r="C55" s="320">
        <f>KK!E338</f>
        <v>-11841600</v>
      </c>
      <c r="D55" s="454"/>
    </row>
    <row r="56" spans="1:4" x14ac:dyDescent="0.25">
      <c r="A56" s="17"/>
      <c r="B56" s="283" t="s">
        <v>562</v>
      </c>
      <c r="C56" s="320">
        <f>KK!F338</f>
        <v>0</v>
      </c>
      <c r="D56" s="454"/>
    </row>
    <row r="57" spans="1:4" x14ac:dyDescent="0.25">
      <c r="A57" s="180"/>
      <c r="B57" s="15" t="s">
        <v>36</v>
      </c>
      <c r="C57" s="88">
        <f>KK!AK338</f>
        <v>-1214510</v>
      </c>
      <c r="D57" s="455"/>
    </row>
    <row r="58" spans="1:4" ht="16.5" thickBot="1" x14ac:dyDescent="0.3">
      <c r="B58" s="177" t="s">
        <v>37</v>
      </c>
      <c r="C58" s="178">
        <f>SUM(C3+D4+D13)+D26</f>
        <v>20442758</v>
      </c>
      <c r="D58" s="20"/>
    </row>
    <row r="59" spans="1:4" ht="15.75" thickTop="1" x14ac:dyDescent="0.25">
      <c r="C59" s="19"/>
    </row>
    <row r="60" spans="1:4" x14ac:dyDescent="0.25">
      <c r="C60" s="22"/>
    </row>
    <row r="61" spans="1:4" x14ac:dyDescent="0.25">
      <c r="C61" s="22"/>
    </row>
    <row r="62" spans="1:4" x14ac:dyDescent="0.25">
      <c r="C62" s="22">
        <f>Cashflow!D489-Rekap!C58</f>
        <v>0</v>
      </c>
    </row>
    <row r="63" spans="1:4" x14ac:dyDescent="0.25">
      <c r="C63" s="22"/>
    </row>
    <row r="64" spans="1:4" x14ac:dyDescent="0.25">
      <c r="C64" s="22"/>
    </row>
  </sheetData>
  <mergeCells count="3">
    <mergeCell ref="A1:D1"/>
    <mergeCell ref="D13:D23"/>
    <mergeCell ref="D26:D57"/>
  </mergeCells>
  <pageMargins left="0.70866141732283472" right="0.70866141732283472" top="0.55118110236220474" bottom="0.55118110236220474" header="0.31496062992125984" footer="0.31496062992125984"/>
  <pageSetup paperSize="9" scale="8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19" workbookViewId="0">
      <selection activeCell="G5" sqref="G5"/>
    </sheetView>
  </sheetViews>
  <sheetFormatPr defaultRowHeight="15" x14ac:dyDescent="0.25"/>
  <cols>
    <col min="1" max="1" width="3" bestFit="1" customWidth="1"/>
    <col min="2" max="2" width="10.140625" bestFit="1" customWidth="1"/>
    <col min="3" max="3" width="11.140625" style="32" bestFit="1" customWidth="1"/>
    <col min="4" max="4" width="4" customWidth="1"/>
    <col min="5" max="5" width="3" bestFit="1" customWidth="1"/>
    <col min="6" max="6" width="9.7109375" bestFit="1" customWidth="1"/>
    <col min="7" max="7" width="55.85546875" customWidth="1"/>
    <col min="8" max="8" width="12.85546875" style="32" bestFit="1" customWidth="1"/>
    <col min="9" max="9" width="4.85546875" customWidth="1"/>
    <col min="10" max="10" width="3.28515625" customWidth="1"/>
    <col min="11" max="11" width="9.85546875" bestFit="1" customWidth="1"/>
    <col min="12" max="12" width="38.5703125" bestFit="1" customWidth="1"/>
    <col min="13" max="13" width="13.7109375" customWidth="1"/>
    <col min="14" max="14" width="8.85546875" customWidth="1"/>
    <col min="15" max="15" width="5.85546875" customWidth="1"/>
    <col min="18" max="18" width="5.85546875" customWidth="1"/>
  </cols>
  <sheetData>
    <row r="1" spans="1:13" x14ac:dyDescent="0.25">
      <c r="A1" s="461" t="s">
        <v>158</v>
      </c>
      <c r="B1" s="462"/>
      <c r="C1" s="463"/>
      <c r="D1" s="26"/>
      <c r="E1" s="461" t="s">
        <v>159</v>
      </c>
      <c r="F1" s="462"/>
      <c r="G1" s="462"/>
      <c r="H1" s="464"/>
      <c r="J1" s="459" t="s">
        <v>141</v>
      </c>
      <c r="K1" s="459"/>
      <c r="L1" s="459"/>
      <c r="M1" s="459"/>
    </row>
    <row r="2" spans="1:13" x14ac:dyDescent="0.25">
      <c r="A2" s="46" t="s">
        <v>8</v>
      </c>
      <c r="B2" s="99">
        <v>45352</v>
      </c>
      <c r="C2" s="118">
        <v>40000</v>
      </c>
      <c r="E2" s="46" t="s">
        <v>8</v>
      </c>
      <c r="F2" s="413">
        <v>45365</v>
      </c>
      <c r="G2" s="50" t="s">
        <v>765</v>
      </c>
      <c r="H2" s="101">
        <v>4000000</v>
      </c>
      <c r="J2" s="15">
        <v>1</v>
      </c>
      <c r="K2" s="99"/>
      <c r="L2" s="50"/>
      <c r="M2" s="101"/>
    </row>
    <row r="3" spans="1:13" x14ac:dyDescent="0.25">
      <c r="A3" s="46" t="s">
        <v>9</v>
      </c>
      <c r="B3" s="99">
        <v>45353</v>
      </c>
      <c r="C3" s="118">
        <v>90000</v>
      </c>
      <c r="E3" s="46" t="s">
        <v>9</v>
      </c>
      <c r="F3" s="99">
        <v>45374</v>
      </c>
      <c r="G3" s="316" t="s">
        <v>844</v>
      </c>
      <c r="H3" s="101">
        <v>100000</v>
      </c>
      <c r="J3" s="15">
        <v>2</v>
      </c>
      <c r="K3" s="99"/>
      <c r="L3" s="50"/>
      <c r="M3" s="101"/>
    </row>
    <row r="4" spans="1:13" x14ac:dyDescent="0.25">
      <c r="A4" s="46" t="s">
        <v>14</v>
      </c>
      <c r="B4" s="99">
        <v>45354</v>
      </c>
      <c r="C4" s="118">
        <v>180000</v>
      </c>
      <c r="E4" s="46" t="s">
        <v>14</v>
      </c>
      <c r="F4" s="99"/>
      <c r="G4" s="50"/>
      <c r="H4" s="77"/>
      <c r="J4" s="15">
        <v>3</v>
      </c>
      <c r="K4" s="99"/>
      <c r="L4" s="50"/>
      <c r="M4" s="101"/>
    </row>
    <row r="5" spans="1:13" x14ac:dyDescent="0.25">
      <c r="A5" s="46" t="s">
        <v>23</v>
      </c>
      <c r="B5" s="99">
        <v>45355</v>
      </c>
      <c r="C5" s="118">
        <v>20000</v>
      </c>
      <c r="E5" s="46" t="s">
        <v>23</v>
      </c>
      <c r="F5" s="47"/>
      <c r="G5" s="50"/>
      <c r="H5" s="76"/>
      <c r="J5" s="15">
        <v>4</v>
      </c>
      <c r="K5" s="15"/>
      <c r="L5" s="15"/>
      <c r="M5" s="15"/>
    </row>
    <row r="6" spans="1:13" x14ac:dyDescent="0.25">
      <c r="A6" s="46" t="s">
        <v>80</v>
      </c>
      <c r="B6" s="99">
        <v>45356</v>
      </c>
      <c r="C6" s="76">
        <v>70000</v>
      </c>
      <c r="E6" s="46" t="s">
        <v>80</v>
      </c>
      <c r="F6" s="61"/>
      <c r="G6" s="78"/>
      <c r="H6" s="76"/>
      <c r="J6" s="15">
        <v>5</v>
      </c>
      <c r="K6" s="99"/>
      <c r="L6" s="50"/>
      <c r="M6" s="101"/>
    </row>
    <row r="7" spans="1:13" x14ac:dyDescent="0.25">
      <c r="A7" s="46" t="s">
        <v>81</v>
      </c>
      <c r="B7" s="99">
        <v>45357</v>
      </c>
      <c r="C7" s="76">
        <v>0</v>
      </c>
      <c r="E7" s="46" t="s">
        <v>81</v>
      </c>
      <c r="F7" s="47"/>
      <c r="G7" s="50"/>
      <c r="H7" s="65"/>
      <c r="J7" s="15">
        <v>6</v>
      </c>
      <c r="K7" s="99"/>
      <c r="L7" s="50"/>
      <c r="M7" s="101"/>
    </row>
    <row r="8" spans="1:13" ht="15.75" customHeight="1" x14ac:dyDescent="0.25">
      <c r="A8" s="46" t="s">
        <v>82</v>
      </c>
      <c r="B8" s="99">
        <v>45358</v>
      </c>
      <c r="C8" s="76">
        <v>20000</v>
      </c>
      <c r="E8" s="46" t="s">
        <v>82</v>
      </c>
      <c r="F8" s="47"/>
      <c r="G8" s="69"/>
      <c r="H8" s="65"/>
      <c r="J8" s="15">
        <v>7</v>
      </c>
      <c r="K8" s="15"/>
      <c r="L8" s="15"/>
      <c r="M8" s="16"/>
    </row>
    <row r="9" spans="1:13" x14ac:dyDescent="0.25">
      <c r="A9" s="46" t="s">
        <v>83</v>
      </c>
      <c r="B9" s="99">
        <v>45359</v>
      </c>
      <c r="C9" s="118">
        <v>370000</v>
      </c>
      <c r="E9" s="46" t="s">
        <v>83</v>
      </c>
      <c r="F9" s="47"/>
      <c r="G9" s="50"/>
      <c r="H9" s="65"/>
      <c r="J9" s="15">
        <v>8</v>
      </c>
      <c r="K9" s="15"/>
      <c r="L9" s="15"/>
      <c r="M9" s="16"/>
    </row>
    <row r="10" spans="1:13" x14ac:dyDescent="0.25">
      <c r="A10" s="46" t="s">
        <v>84</v>
      </c>
      <c r="B10" s="99">
        <v>45360</v>
      </c>
      <c r="C10" s="118">
        <v>190000</v>
      </c>
      <c r="E10" s="46" t="s">
        <v>84</v>
      </c>
      <c r="F10" s="15"/>
      <c r="G10" s="15"/>
      <c r="H10" s="16"/>
      <c r="J10" s="15">
        <v>9</v>
      </c>
      <c r="K10" s="15"/>
      <c r="L10" s="15"/>
      <c r="M10" s="16"/>
    </row>
    <row r="11" spans="1:13" x14ac:dyDescent="0.25">
      <c r="A11" s="46" t="s">
        <v>85</v>
      </c>
      <c r="B11" s="99">
        <v>45361</v>
      </c>
      <c r="C11" s="76">
        <v>1090000</v>
      </c>
      <c r="E11" s="460" t="s">
        <v>96</v>
      </c>
      <c r="F11" s="460"/>
      <c r="G11" s="460"/>
      <c r="H11" s="16">
        <f>SUM(H2:H10)</f>
        <v>4100000</v>
      </c>
      <c r="J11" s="465" t="s">
        <v>96</v>
      </c>
      <c r="K11" s="466"/>
      <c r="L11" s="467"/>
      <c r="M11" s="16">
        <f>SUM(M2:M10)</f>
        <v>0</v>
      </c>
    </row>
    <row r="12" spans="1:13" x14ac:dyDescent="0.25">
      <c r="A12" s="46" t="s">
        <v>86</v>
      </c>
      <c r="B12" s="99">
        <v>45362</v>
      </c>
      <c r="C12" s="118">
        <v>30000</v>
      </c>
    </row>
    <row r="13" spans="1:13" x14ac:dyDescent="0.25">
      <c r="A13" s="46" t="s">
        <v>87</v>
      </c>
      <c r="B13" s="99">
        <v>45363</v>
      </c>
      <c r="C13" s="118">
        <v>30000</v>
      </c>
      <c r="E13" s="456" t="s">
        <v>142</v>
      </c>
      <c r="F13" s="457"/>
      <c r="G13" s="457"/>
      <c r="H13" s="458"/>
      <c r="J13" s="456" t="s">
        <v>140</v>
      </c>
      <c r="K13" s="457"/>
      <c r="L13" s="457"/>
      <c r="M13" s="458"/>
    </row>
    <row r="14" spans="1:13" x14ac:dyDescent="0.25">
      <c r="A14" s="46" t="s">
        <v>88</v>
      </c>
      <c r="B14" s="99">
        <v>45364</v>
      </c>
      <c r="C14" s="16">
        <v>0</v>
      </c>
      <c r="E14" s="15">
        <v>1</v>
      </c>
      <c r="F14" s="99"/>
      <c r="G14" s="50"/>
      <c r="H14" s="77"/>
      <c r="J14" s="15">
        <v>1</v>
      </c>
      <c r="K14" s="99"/>
      <c r="L14" s="50"/>
      <c r="M14" s="77"/>
    </row>
    <row r="15" spans="1:13" x14ac:dyDescent="0.25">
      <c r="A15" s="46" t="s">
        <v>89</v>
      </c>
      <c r="B15" s="99">
        <v>45365</v>
      </c>
      <c r="C15" s="16">
        <v>0</v>
      </c>
      <c r="E15" s="15">
        <v>2</v>
      </c>
      <c r="F15" s="15"/>
      <c r="G15" s="15"/>
      <c r="H15" s="48"/>
      <c r="J15" s="15">
        <v>2</v>
      </c>
      <c r="K15" s="15"/>
      <c r="L15" s="15"/>
      <c r="M15" s="15"/>
    </row>
    <row r="16" spans="1:13" x14ac:dyDescent="0.25">
      <c r="A16" s="46" t="s">
        <v>90</v>
      </c>
      <c r="B16" s="99">
        <v>45366</v>
      </c>
      <c r="C16" s="16">
        <v>80000</v>
      </c>
      <c r="E16" s="15">
        <v>3</v>
      </c>
      <c r="F16" s="15"/>
      <c r="G16" s="15"/>
      <c r="H16" s="48"/>
      <c r="J16" s="15">
        <v>3</v>
      </c>
      <c r="K16" s="15"/>
      <c r="L16" s="15"/>
      <c r="M16" s="15"/>
    </row>
    <row r="17" spans="1:13" x14ac:dyDescent="0.25">
      <c r="A17" s="46" t="s">
        <v>91</v>
      </c>
      <c r="B17" s="99">
        <v>45367</v>
      </c>
      <c r="C17" s="16">
        <v>30000</v>
      </c>
      <c r="E17" s="15">
        <v>4</v>
      </c>
      <c r="F17" s="15"/>
      <c r="G17" s="15"/>
      <c r="H17" s="48"/>
      <c r="J17" s="15">
        <v>4</v>
      </c>
      <c r="K17" s="15"/>
      <c r="L17" s="15"/>
      <c r="M17" s="15"/>
    </row>
    <row r="18" spans="1:13" x14ac:dyDescent="0.25">
      <c r="A18" s="46" t="s">
        <v>92</v>
      </c>
      <c r="B18" s="99">
        <v>45368</v>
      </c>
      <c r="C18" s="16">
        <v>30000</v>
      </c>
      <c r="E18" s="15">
        <v>5</v>
      </c>
      <c r="F18" s="15"/>
      <c r="G18" s="15"/>
      <c r="H18" s="48"/>
      <c r="J18" s="15">
        <v>5</v>
      </c>
      <c r="K18" s="15"/>
      <c r="L18" s="15"/>
      <c r="M18" s="15"/>
    </row>
    <row r="19" spans="1:13" x14ac:dyDescent="0.25">
      <c r="A19" s="46" t="s">
        <v>93</v>
      </c>
      <c r="B19" s="99">
        <v>45369</v>
      </c>
      <c r="C19" s="16">
        <v>0</v>
      </c>
      <c r="E19" s="15">
        <v>6</v>
      </c>
      <c r="F19" s="15"/>
      <c r="G19" s="15"/>
      <c r="H19" s="48"/>
      <c r="J19" s="15">
        <v>6</v>
      </c>
      <c r="K19" s="15"/>
      <c r="L19" s="15"/>
      <c r="M19" s="15"/>
    </row>
    <row r="20" spans="1:13" x14ac:dyDescent="0.25">
      <c r="A20" s="46" t="s">
        <v>94</v>
      </c>
      <c r="B20" s="99">
        <v>45370</v>
      </c>
      <c r="C20" s="16">
        <v>0</v>
      </c>
      <c r="E20" s="15">
        <v>7</v>
      </c>
      <c r="F20" s="15"/>
      <c r="G20" s="15"/>
      <c r="H20" s="48"/>
      <c r="J20" s="15">
        <v>7</v>
      </c>
      <c r="K20" s="15"/>
      <c r="L20" s="15"/>
      <c r="M20" s="15"/>
    </row>
    <row r="21" spans="1:13" x14ac:dyDescent="0.25">
      <c r="A21" s="46" t="s">
        <v>95</v>
      </c>
      <c r="B21" s="99">
        <v>45371</v>
      </c>
      <c r="C21" s="16">
        <v>0</v>
      </c>
      <c r="E21" s="15">
        <v>8</v>
      </c>
      <c r="F21" s="15"/>
      <c r="G21" s="15"/>
      <c r="H21" s="48"/>
      <c r="J21" s="15">
        <v>8</v>
      </c>
      <c r="K21" s="15"/>
      <c r="L21" s="15"/>
      <c r="M21" s="15"/>
    </row>
    <row r="22" spans="1:13" x14ac:dyDescent="0.25">
      <c r="A22" s="46" t="s">
        <v>97</v>
      </c>
      <c r="B22" s="99">
        <v>45372</v>
      </c>
      <c r="C22" s="16">
        <v>0</v>
      </c>
      <c r="E22" s="465" t="s">
        <v>96</v>
      </c>
      <c r="F22" s="466"/>
      <c r="G22" s="467"/>
      <c r="H22" s="48">
        <f>SUM(H14:H21)</f>
        <v>0</v>
      </c>
      <c r="J22" s="465" t="s">
        <v>96</v>
      </c>
      <c r="K22" s="466"/>
      <c r="L22" s="467"/>
      <c r="M22" s="49">
        <f>SUM(M14:M21)</f>
        <v>0</v>
      </c>
    </row>
    <row r="23" spans="1:13" x14ac:dyDescent="0.25">
      <c r="A23" s="46" t="s">
        <v>98</v>
      </c>
      <c r="B23" s="99">
        <v>45373</v>
      </c>
      <c r="C23" s="16">
        <v>0</v>
      </c>
    </row>
    <row r="24" spans="1:13" x14ac:dyDescent="0.25">
      <c r="A24" s="46" t="s">
        <v>99</v>
      </c>
      <c r="B24" s="99">
        <v>45374</v>
      </c>
      <c r="C24" s="16">
        <v>30000</v>
      </c>
      <c r="G24" s="459" t="s">
        <v>947</v>
      </c>
      <c r="H24" s="459"/>
    </row>
    <row r="25" spans="1:13" x14ac:dyDescent="0.25">
      <c r="A25" s="46" t="s">
        <v>100</v>
      </c>
      <c r="B25" s="99">
        <v>45375</v>
      </c>
      <c r="C25" s="16">
        <v>40000</v>
      </c>
      <c r="G25" s="15" t="s">
        <v>41</v>
      </c>
      <c r="H25" s="16">
        <f>C33</f>
        <v>2390000</v>
      </c>
    </row>
    <row r="26" spans="1:13" x14ac:dyDescent="0.25">
      <c r="A26" s="46" t="s">
        <v>106</v>
      </c>
      <c r="B26" s="99">
        <v>45376</v>
      </c>
      <c r="C26" s="16">
        <v>0</v>
      </c>
      <c r="G26" s="15" t="s">
        <v>42</v>
      </c>
      <c r="H26" s="16">
        <f>M22</f>
        <v>0</v>
      </c>
    </row>
    <row r="27" spans="1:13" x14ac:dyDescent="0.25">
      <c r="A27" s="46" t="s">
        <v>107</v>
      </c>
      <c r="B27" s="99">
        <v>45377</v>
      </c>
      <c r="C27" s="118">
        <v>0</v>
      </c>
      <c r="G27" s="15" t="s">
        <v>13</v>
      </c>
      <c r="H27" s="16">
        <f>H11</f>
        <v>4100000</v>
      </c>
    </row>
    <row r="28" spans="1:13" x14ac:dyDescent="0.25">
      <c r="A28" s="46" t="s">
        <v>108</v>
      </c>
      <c r="B28" s="99">
        <v>45378</v>
      </c>
      <c r="C28" s="118">
        <v>0</v>
      </c>
      <c r="G28" s="15" t="s">
        <v>35</v>
      </c>
      <c r="H28" s="16">
        <f>M11</f>
        <v>0</v>
      </c>
    </row>
    <row r="29" spans="1:13" x14ac:dyDescent="0.25">
      <c r="A29" s="46" t="s">
        <v>109</v>
      </c>
      <c r="B29" s="99">
        <v>45379</v>
      </c>
      <c r="C29" s="118"/>
      <c r="G29" s="15" t="s">
        <v>36</v>
      </c>
      <c r="H29" s="16">
        <f>H22</f>
        <v>0</v>
      </c>
    </row>
    <row r="30" spans="1:13" x14ac:dyDescent="0.25">
      <c r="A30" s="46" t="s">
        <v>148</v>
      </c>
      <c r="B30" s="99">
        <v>45380</v>
      </c>
      <c r="C30" s="118">
        <v>50000</v>
      </c>
      <c r="G30" s="52" t="s">
        <v>96</v>
      </c>
      <c r="H30" s="16">
        <f>SUM(H25:H29)</f>
        <v>6490000</v>
      </c>
    </row>
    <row r="31" spans="1:13" x14ac:dyDescent="0.25">
      <c r="A31" s="46" t="s">
        <v>945</v>
      </c>
      <c r="B31" s="99">
        <v>45381</v>
      </c>
      <c r="C31" s="118">
        <v>0</v>
      </c>
      <c r="G31" s="395"/>
      <c r="H31" s="368"/>
    </row>
    <row r="32" spans="1:13" x14ac:dyDescent="0.25">
      <c r="A32" s="46" t="s">
        <v>946</v>
      </c>
      <c r="B32" s="99">
        <v>45382</v>
      </c>
      <c r="C32" s="118">
        <v>0</v>
      </c>
      <c r="G32" s="395"/>
      <c r="H32" s="368"/>
    </row>
    <row r="33" spans="1:3" x14ac:dyDescent="0.25">
      <c r="A33" s="460" t="s">
        <v>96</v>
      </c>
      <c r="B33" s="460"/>
      <c r="C33" s="16">
        <f>SUM(C2:C32)</f>
        <v>2390000</v>
      </c>
    </row>
    <row r="34" spans="1:3" x14ac:dyDescent="0.25">
      <c r="A34" s="30"/>
    </row>
    <row r="35" spans="1:3" x14ac:dyDescent="0.25">
      <c r="A35" s="30"/>
    </row>
    <row r="36" spans="1:3" x14ac:dyDescent="0.25">
      <c r="A36" s="30"/>
    </row>
    <row r="37" spans="1:3" x14ac:dyDescent="0.25">
      <c r="A37" s="30"/>
    </row>
    <row r="38" spans="1:3" x14ac:dyDescent="0.25">
      <c r="A38" s="30"/>
    </row>
    <row r="39" spans="1:3" x14ac:dyDescent="0.25">
      <c r="A39" s="30"/>
    </row>
  </sheetData>
  <mergeCells count="11">
    <mergeCell ref="J13:M13"/>
    <mergeCell ref="J1:M1"/>
    <mergeCell ref="E13:H13"/>
    <mergeCell ref="A33:B33"/>
    <mergeCell ref="E11:G11"/>
    <mergeCell ref="A1:C1"/>
    <mergeCell ref="E1:H1"/>
    <mergeCell ref="G24:H24"/>
    <mergeCell ref="J11:L11"/>
    <mergeCell ref="J22:L22"/>
    <mergeCell ref="E22:G22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topLeftCell="D1" zoomScale="90" zoomScaleNormal="90" workbookViewId="0">
      <pane ySplit="1" topLeftCell="A2" activePane="bottomLeft" state="frozen"/>
      <selection activeCell="B46" sqref="B46"/>
      <selection pane="bottomLeft" activeCell="P49" sqref="P49"/>
    </sheetView>
  </sheetViews>
  <sheetFormatPr defaultColWidth="9.140625" defaultRowHeight="15.75" x14ac:dyDescent="0.25"/>
  <cols>
    <col min="1" max="1" width="6.7109375" style="30" bestFit="1" customWidth="1"/>
    <col min="2" max="2" width="10.5703125" style="30" bestFit="1" customWidth="1"/>
    <col min="3" max="3" width="63.5703125" style="196" bestFit="1" customWidth="1"/>
    <col min="4" max="4" width="11.42578125" style="56" customWidth="1"/>
    <col min="5" max="5" width="12.5703125" style="56" customWidth="1"/>
    <col min="6" max="6" width="12.140625" style="56" bestFit="1" customWidth="1"/>
    <col min="7" max="7" width="8.7109375" style="108" bestFit="1" customWidth="1"/>
    <col min="8" max="8" width="12.85546875" style="174" bestFit="1" customWidth="1"/>
    <col min="9" max="9" width="12.85546875" style="33" bestFit="1" customWidth="1"/>
    <col min="10" max="11" width="12.85546875" style="63" bestFit="1" customWidth="1"/>
    <col min="12" max="12" width="17" style="63" customWidth="1"/>
    <col min="13" max="14" width="11.5703125" style="63" bestFit="1" customWidth="1"/>
    <col min="15" max="15" width="11.5703125" style="63" customWidth="1"/>
    <col min="16" max="16" width="29.7109375" style="63" customWidth="1"/>
    <col min="17" max="17" width="27" bestFit="1" customWidth="1"/>
  </cols>
  <sheetData>
    <row r="1" spans="1:16" s="21" customFormat="1" x14ac:dyDescent="0.25">
      <c r="A1" s="182" t="s">
        <v>45</v>
      </c>
      <c r="B1" s="182" t="s">
        <v>155</v>
      </c>
      <c r="C1" s="183" t="s">
        <v>79</v>
      </c>
      <c r="D1" s="184" t="s">
        <v>46</v>
      </c>
      <c r="E1" s="184" t="s">
        <v>47</v>
      </c>
      <c r="F1" s="183" t="s">
        <v>165</v>
      </c>
      <c r="G1" s="185" t="s">
        <v>138</v>
      </c>
      <c r="H1" s="186" t="s">
        <v>48</v>
      </c>
      <c r="I1" s="187" t="s">
        <v>49</v>
      </c>
      <c r="J1" s="188" t="s">
        <v>50</v>
      </c>
      <c r="K1" s="188" t="s">
        <v>51</v>
      </c>
      <c r="L1" s="188" t="s">
        <v>52</v>
      </c>
      <c r="M1" s="188" t="s">
        <v>53</v>
      </c>
      <c r="N1" s="188" t="s">
        <v>11</v>
      </c>
      <c r="O1" s="188" t="s">
        <v>171</v>
      </c>
      <c r="P1" s="187" t="s">
        <v>39</v>
      </c>
    </row>
    <row r="2" spans="1:16" x14ac:dyDescent="0.25">
      <c r="A2" s="189" t="s">
        <v>948</v>
      </c>
      <c r="B2" s="190">
        <v>45352</v>
      </c>
      <c r="C2" s="50" t="s">
        <v>599</v>
      </c>
      <c r="D2" s="224">
        <v>45352</v>
      </c>
      <c r="E2" s="224">
        <v>45353</v>
      </c>
      <c r="F2" s="396" t="s">
        <v>215</v>
      </c>
      <c r="G2" s="397">
        <v>1</v>
      </c>
      <c r="H2" s="193">
        <v>150</v>
      </c>
      <c r="I2" s="194">
        <v>150000</v>
      </c>
      <c r="J2" s="195">
        <f>I2</f>
        <v>150000</v>
      </c>
      <c r="K2" s="195"/>
      <c r="L2" s="195"/>
      <c r="M2" s="195"/>
      <c r="N2" s="195"/>
      <c r="O2" s="195"/>
      <c r="P2" s="194"/>
    </row>
    <row r="3" spans="1:16" x14ac:dyDescent="0.25">
      <c r="A3" s="189" t="s">
        <v>949</v>
      </c>
      <c r="B3" s="190">
        <v>45354</v>
      </c>
      <c r="C3" s="50" t="s">
        <v>618</v>
      </c>
      <c r="D3" s="224">
        <v>45354</v>
      </c>
      <c r="E3" s="224">
        <v>45355</v>
      </c>
      <c r="F3" s="396" t="s">
        <v>269</v>
      </c>
      <c r="G3" s="397">
        <v>1</v>
      </c>
      <c r="H3" s="193">
        <v>266.51299999999998</v>
      </c>
      <c r="I3" s="194">
        <v>266513</v>
      </c>
      <c r="J3" s="195"/>
      <c r="K3" s="195"/>
      <c r="L3" s="195">
        <f>I3</f>
        <v>266513</v>
      </c>
      <c r="M3" s="195"/>
      <c r="N3" s="195"/>
      <c r="O3" s="195"/>
      <c r="P3" s="194"/>
    </row>
    <row r="4" spans="1:16" x14ac:dyDescent="0.25">
      <c r="A4" s="189" t="s">
        <v>950</v>
      </c>
      <c r="B4" s="190">
        <v>45355</v>
      </c>
      <c r="C4" s="50" t="s">
        <v>645</v>
      </c>
      <c r="D4" s="224">
        <v>45355</v>
      </c>
      <c r="E4" s="224">
        <v>45356</v>
      </c>
      <c r="F4" s="396" t="s">
        <v>215</v>
      </c>
      <c r="G4" s="397">
        <v>1</v>
      </c>
      <c r="H4" s="193">
        <v>150</v>
      </c>
      <c r="I4" s="194">
        <v>150000</v>
      </c>
      <c r="J4" s="195">
        <f>I4</f>
        <v>150000</v>
      </c>
      <c r="K4" s="195"/>
      <c r="L4" s="195"/>
      <c r="M4" s="195"/>
      <c r="N4" s="195"/>
      <c r="O4" s="195"/>
      <c r="P4" s="194"/>
    </row>
    <row r="5" spans="1:16" x14ac:dyDescent="0.25">
      <c r="A5" s="189" t="s">
        <v>951</v>
      </c>
      <c r="B5" s="190">
        <v>45358</v>
      </c>
      <c r="C5" s="316" t="s">
        <v>679</v>
      </c>
      <c r="D5" s="224">
        <v>45358</v>
      </c>
      <c r="E5" s="224">
        <v>45359</v>
      </c>
      <c r="F5" s="396" t="s">
        <v>215</v>
      </c>
      <c r="G5" s="397">
        <v>1</v>
      </c>
      <c r="H5" s="193">
        <v>200</v>
      </c>
      <c r="I5" s="194">
        <v>200000</v>
      </c>
      <c r="J5" s="195">
        <f>I5</f>
        <v>200000</v>
      </c>
      <c r="K5" s="195"/>
      <c r="L5" s="195"/>
      <c r="M5" s="195"/>
      <c r="N5" s="195"/>
      <c r="O5" s="195"/>
      <c r="P5" s="194"/>
    </row>
    <row r="6" spans="1:16" x14ac:dyDescent="0.25">
      <c r="A6" s="189" t="s">
        <v>952</v>
      </c>
      <c r="B6" s="190">
        <v>45360</v>
      </c>
      <c r="C6" s="50" t="s">
        <v>699</v>
      </c>
      <c r="D6" s="224">
        <v>45360</v>
      </c>
      <c r="E6" s="224">
        <v>45361</v>
      </c>
      <c r="F6" s="396" t="s">
        <v>221</v>
      </c>
      <c r="G6" s="397">
        <v>1</v>
      </c>
      <c r="H6" s="193">
        <v>234.9</v>
      </c>
      <c r="I6" s="194">
        <v>234900</v>
      </c>
      <c r="J6" s="195"/>
      <c r="K6" s="195">
        <f>I6</f>
        <v>234900</v>
      </c>
      <c r="L6" s="195"/>
      <c r="M6" s="195"/>
      <c r="N6" s="195"/>
      <c r="O6" s="195"/>
      <c r="P6" s="194"/>
    </row>
    <row r="7" spans="1:16" x14ac:dyDescent="0.25">
      <c r="A7" s="189" t="s">
        <v>953</v>
      </c>
      <c r="B7" s="190">
        <v>45360</v>
      </c>
      <c r="C7" s="50" t="s">
        <v>701</v>
      </c>
      <c r="D7" s="224">
        <v>45360</v>
      </c>
      <c r="E7" s="224">
        <v>45361</v>
      </c>
      <c r="F7" s="396" t="s">
        <v>269</v>
      </c>
      <c r="G7" s="397">
        <v>1</v>
      </c>
      <c r="H7" s="193">
        <v>220</v>
      </c>
      <c r="I7" s="194">
        <v>220000</v>
      </c>
      <c r="J7" s="195">
        <f>I7</f>
        <v>220000</v>
      </c>
      <c r="K7" s="195"/>
      <c r="L7" s="195"/>
      <c r="M7" s="195"/>
      <c r="N7" s="195"/>
      <c r="O7" s="195"/>
      <c r="P7" s="194"/>
    </row>
    <row r="8" spans="1:16" x14ac:dyDescent="0.25">
      <c r="A8" s="189" t="s">
        <v>954</v>
      </c>
      <c r="B8" s="190">
        <v>45360</v>
      </c>
      <c r="C8" s="50" t="s">
        <v>704</v>
      </c>
      <c r="D8" s="224">
        <v>45360</v>
      </c>
      <c r="E8" s="224">
        <v>45361</v>
      </c>
      <c r="F8" s="396" t="s">
        <v>260</v>
      </c>
      <c r="G8" s="397">
        <v>1</v>
      </c>
      <c r="H8" s="193">
        <v>433.67500000000001</v>
      </c>
      <c r="I8" s="194">
        <v>433675</v>
      </c>
      <c r="J8" s="195"/>
      <c r="K8" s="195"/>
      <c r="L8" s="195">
        <v>433675</v>
      </c>
      <c r="M8" s="195"/>
      <c r="N8" s="201"/>
      <c r="O8" s="195"/>
      <c r="P8" s="194"/>
    </row>
    <row r="9" spans="1:16" x14ac:dyDescent="0.25">
      <c r="A9" s="189" t="s">
        <v>955</v>
      </c>
      <c r="B9" s="190">
        <v>45361</v>
      </c>
      <c r="C9" s="50" t="s">
        <v>712</v>
      </c>
      <c r="D9" s="224">
        <v>45361</v>
      </c>
      <c r="E9" s="224">
        <v>45362</v>
      </c>
      <c r="F9" s="396" t="s">
        <v>269</v>
      </c>
      <c r="G9" s="397">
        <v>1</v>
      </c>
      <c r="H9" s="193">
        <v>220</v>
      </c>
      <c r="I9" s="101">
        <v>220000</v>
      </c>
      <c r="J9" s="195">
        <f>I9</f>
        <v>220000</v>
      </c>
      <c r="K9" s="195"/>
      <c r="L9" s="195"/>
      <c r="M9" s="195"/>
      <c r="N9" s="201"/>
      <c r="O9" s="195"/>
      <c r="P9" s="194"/>
    </row>
    <row r="10" spans="1:16" x14ac:dyDescent="0.25">
      <c r="A10" s="189" t="s">
        <v>956</v>
      </c>
      <c r="B10" s="190">
        <v>45361</v>
      </c>
      <c r="C10" s="50" t="s">
        <v>714</v>
      </c>
      <c r="D10" s="224">
        <v>45361</v>
      </c>
      <c r="E10" s="224">
        <v>45362</v>
      </c>
      <c r="F10" s="396" t="s">
        <v>269</v>
      </c>
      <c r="G10" s="397">
        <v>1</v>
      </c>
      <c r="H10" s="193">
        <v>220</v>
      </c>
      <c r="I10" s="101">
        <v>220000</v>
      </c>
      <c r="J10" s="195">
        <f>I10</f>
        <v>220000</v>
      </c>
      <c r="K10" s="195"/>
      <c r="L10" s="195"/>
      <c r="M10" s="195"/>
      <c r="N10" s="201"/>
      <c r="O10" s="195"/>
      <c r="P10" s="194"/>
    </row>
    <row r="11" spans="1:16" x14ac:dyDescent="0.25">
      <c r="A11" s="189" t="s">
        <v>957</v>
      </c>
      <c r="B11" s="190">
        <v>45361</v>
      </c>
      <c r="C11" s="50" t="s">
        <v>715</v>
      </c>
      <c r="D11" s="224">
        <v>45361</v>
      </c>
      <c r="E11" s="224">
        <v>45362</v>
      </c>
      <c r="F11" s="396" t="s">
        <v>215</v>
      </c>
      <c r="G11" s="397">
        <v>1</v>
      </c>
      <c r="H11" s="193">
        <v>150</v>
      </c>
      <c r="I11" s="101">
        <v>150000</v>
      </c>
      <c r="J11" s="195">
        <f>I11</f>
        <v>150000</v>
      </c>
      <c r="K11" s="195"/>
      <c r="L11" s="195"/>
      <c r="M11" s="195"/>
      <c r="N11" s="195"/>
      <c r="O11" s="195"/>
      <c r="P11" s="194"/>
    </row>
    <row r="12" spans="1:16" x14ac:dyDescent="0.25">
      <c r="A12" s="189" t="s">
        <v>958</v>
      </c>
      <c r="B12" s="190">
        <v>45361</v>
      </c>
      <c r="C12" s="50" t="s">
        <v>716</v>
      </c>
      <c r="D12" s="224">
        <v>45361</v>
      </c>
      <c r="E12" s="224">
        <v>45362</v>
      </c>
      <c r="F12" s="396" t="s">
        <v>269</v>
      </c>
      <c r="G12" s="397">
        <v>2</v>
      </c>
      <c r="H12" s="193">
        <v>272.25</v>
      </c>
      <c r="I12" s="194">
        <v>272250</v>
      </c>
      <c r="J12" s="195"/>
      <c r="K12" s="195"/>
      <c r="L12" s="195">
        <v>544500</v>
      </c>
      <c r="M12" s="195"/>
      <c r="N12" s="195"/>
      <c r="O12" s="195"/>
      <c r="P12" s="194"/>
    </row>
    <row r="13" spans="1:16" x14ac:dyDescent="0.25">
      <c r="A13" s="189" t="s">
        <v>959</v>
      </c>
      <c r="B13" s="190">
        <v>45361</v>
      </c>
      <c r="C13" s="50" t="s">
        <v>719</v>
      </c>
      <c r="D13" s="224">
        <v>45361</v>
      </c>
      <c r="E13" s="224">
        <v>45362</v>
      </c>
      <c r="F13" s="396" t="s">
        <v>999</v>
      </c>
      <c r="G13" s="397">
        <v>2</v>
      </c>
      <c r="H13" s="193">
        <v>400</v>
      </c>
      <c r="I13" s="194">
        <v>400000</v>
      </c>
      <c r="J13" s="195"/>
      <c r="K13" s="195"/>
      <c r="L13" s="195"/>
      <c r="M13" s="195"/>
      <c r="N13" s="195">
        <f>I13</f>
        <v>400000</v>
      </c>
      <c r="O13" s="195"/>
      <c r="P13" s="194"/>
    </row>
    <row r="14" spans="1:16" x14ac:dyDescent="0.25">
      <c r="A14" s="189" t="s">
        <v>960</v>
      </c>
      <c r="B14" s="190">
        <v>45361</v>
      </c>
      <c r="C14" s="50" t="s">
        <v>720</v>
      </c>
      <c r="D14" s="224">
        <v>45361</v>
      </c>
      <c r="E14" s="224">
        <v>45362</v>
      </c>
      <c r="F14" s="396" t="s">
        <v>215</v>
      </c>
      <c r="G14" s="397">
        <v>1</v>
      </c>
      <c r="H14" s="193">
        <v>150</v>
      </c>
      <c r="I14" s="101">
        <v>150000</v>
      </c>
      <c r="J14" s="195">
        <f>I14</f>
        <v>150000</v>
      </c>
      <c r="K14" s="195"/>
      <c r="L14" s="195"/>
      <c r="M14" s="195"/>
      <c r="N14" s="195"/>
      <c r="O14" s="195"/>
      <c r="P14" s="194"/>
    </row>
    <row r="15" spans="1:16" x14ac:dyDescent="0.25">
      <c r="A15" s="189" t="s">
        <v>961</v>
      </c>
      <c r="B15" s="190">
        <v>45361</v>
      </c>
      <c r="C15" s="50" t="s">
        <v>721</v>
      </c>
      <c r="D15" s="224">
        <v>45361</v>
      </c>
      <c r="E15" s="224">
        <v>45362</v>
      </c>
      <c r="F15" s="396" t="s">
        <v>215</v>
      </c>
      <c r="G15" s="397">
        <v>1</v>
      </c>
      <c r="H15" s="193">
        <v>151.875</v>
      </c>
      <c r="I15" s="194">
        <v>151875</v>
      </c>
      <c r="J15" s="195"/>
      <c r="K15" s="195">
        <f>I15</f>
        <v>151875</v>
      </c>
      <c r="L15" s="201"/>
      <c r="M15" s="195"/>
      <c r="N15" s="195"/>
      <c r="O15" s="195"/>
      <c r="P15" s="194"/>
    </row>
    <row r="16" spans="1:16" x14ac:dyDescent="0.25">
      <c r="A16" s="189" t="s">
        <v>962</v>
      </c>
      <c r="B16" s="190">
        <v>45361</v>
      </c>
      <c r="C16" s="50" t="s">
        <v>722</v>
      </c>
      <c r="D16" s="224">
        <v>45361</v>
      </c>
      <c r="E16" s="224">
        <v>45362</v>
      </c>
      <c r="F16" s="396" t="s">
        <v>215</v>
      </c>
      <c r="G16" s="397">
        <v>1</v>
      </c>
      <c r="H16" s="193">
        <v>150</v>
      </c>
      <c r="I16" s="194">
        <v>150000</v>
      </c>
      <c r="J16" s="195"/>
      <c r="K16" s="195"/>
      <c r="L16" s="195"/>
      <c r="M16" s="195"/>
      <c r="N16" s="195">
        <f>I16</f>
        <v>150000</v>
      </c>
      <c r="O16" s="195"/>
      <c r="P16" s="194"/>
    </row>
    <row r="17" spans="1:16" x14ac:dyDescent="0.25">
      <c r="A17" s="189" t="s">
        <v>963</v>
      </c>
      <c r="B17" s="190">
        <v>45362</v>
      </c>
      <c r="C17" s="50" t="s">
        <v>725</v>
      </c>
      <c r="D17" s="224">
        <v>45362</v>
      </c>
      <c r="E17" s="224">
        <v>45363</v>
      </c>
      <c r="F17" s="396" t="s">
        <v>215</v>
      </c>
      <c r="G17" s="397">
        <v>1</v>
      </c>
      <c r="H17" s="193">
        <v>150</v>
      </c>
      <c r="I17" s="194">
        <v>150000</v>
      </c>
      <c r="J17" s="398"/>
      <c r="K17" s="398"/>
      <c r="L17" s="398"/>
      <c r="M17" s="398"/>
      <c r="N17" s="399">
        <f>I17</f>
        <v>150000</v>
      </c>
      <c r="O17" s="195"/>
      <c r="P17" s="194"/>
    </row>
    <row r="18" spans="1:16" x14ac:dyDescent="0.25">
      <c r="A18" s="189" t="s">
        <v>964</v>
      </c>
      <c r="B18" s="190">
        <v>45362</v>
      </c>
      <c r="C18" s="50" t="s">
        <v>727</v>
      </c>
      <c r="D18" s="224">
        <v>45362</v>
      </c>
      <c r="E18" s="224">
        <v>45363</v>
      </c>
      <c r="F18" s="396" t="s">
        <v>215</v>
      </c>
      <c r="G18" s="397">
        <v>2</v>
      </c>
      <c r="H18" s="193">
        <v>151.875</v>
      </c>
      <c r="I18" s="194">
        <v>151875</v>
      </c>
      <c r="J18" s="195"/>
      <c r="K18" s="195">
        <v>303750</v>
      </c>
      <c r="L18" s="195"/>
      <c r="M18" s="195"/>
      <c r="N18" s="195"/>
      <c r="O18" s="195"/>
      <c r="P18" s="194"/>
    </row>
    <row r="19" spans="1:16" x14ac:dyDescent="0.25">
      <c r="A19" s="189" t="s">
        <v>965</v>
      </c>
      <c r="B19" s="190">
        <v>45362</v>
      </c>
      <c r="C19" s="50" t="s">
        <v>729</v>
      </c>
      <c r="D19" s="224">
        <v>45362</v>
      </c>
      <c r="E19" s="224">
        <v>45363</v>
      </c>
      <c r="F19" s="396" t="s">
        <v>215</v>
      </c>
      <c r="G19" s="397">
        <v>1</v>
      </c>
      <c r="H19" s="193">
        <v>75</v>
      </c>
      <c r="I19" s="194">
        <v>75000</v>
      </c>
      <c r="J19" s="195"/>
      <c r="K19" s="195"/>
      <c r="L19" s="195"/>
      <c r="M19" s="195"/>
      <c r="N19" s="201">
        <f>I19</f>
        <v>75000</v>
      </c>
      <c r="O19" s="195"/>
      <c r="P19" s="194"/>
    </row>
    <row r="20" spans="1:16" x14ac:dyDescent="0.25">
      <c r="A20" s="189" t="s">
        <v>966</v>
      </c>
      <c r="B20" s="190">
        <v>45363</v>
      </c>
      <c r="C20" s="50" t="s">
        <v>732</v>
      </c>
      <c r="D20" s="224">
        <v>45363</v>
      </c>
      <c r="E20" s="224">
        <v>45364</v>
      </c>
      <c r="F20" s="396" t="s">
        <v>215</v>
      </c>
      <c r="G20" s="397">
        <v>1</v>
      </c>
      <c r="H20" s="193">
        <v>150</v>
      </c>
      <c r="I20" s="194">
        <v>150000</v>
      </c>
      <c r="J20" s="195"/>
      <c r="K20" s="195"/>
      <c r="L20" s="195"/>
      <c r="M20" s="195"/>
      <c r="N20" s="195">
        <f>I20</f>
        <v>150000</v>
      </c>
      <c r="O20" s="195"/>
      <c r="P20" s="194"/>
    </row>
    <row r="21" spans="1:16" x14ac:dyDescent="0.25">
      <c r="A21" s="189" t="s">
        <v>967</v>
      </c>
      <c r="B21" s="190">
        <v>45363</v>
      </c>
      <c r="C21" s="50" t="s">
        <v>738</v>
      </c>
      <c r="D21" s="224">
        <v>45363</v>
      </c>
      <c r="E21" s="224">
        <v>45364</v>
      </c>
      <c r="F21" s="396" t="s">
        <v>215</v>
      </c>
      <c r="G21" s="397">
        <v>1</v>
      </c>
      <c r="H21" s="193">
        <v>150</v>
      </c>
      <c r="I21" s="194">
        <v>150000</v>
      </c>
      <c r="J21" s="195">
        <f>I21</f>
        <v>150000</v>
      </c>
      <c r="K21" s="195"/>
      <c r="L21" s="195"/>
      <c r="M21" s="195"/>
      <c r="N21" s="195"/>
      <c r="O21" s="195"/>
      <c r="P21" s="194"/>
    </row>
    <row r="22" spans="1:16" x14ac:dyDescent="0.25">
      <c r="A22" s="189" t="s">
        <v>968</v>
      </c>
      <c r="B22" s="190">
        <v>45363</v>
      </c>
      <c r="C22" s="50" t="s">
        <v>740</v>
      </c>
      <c r="D22" s="224">
        <v>45363</v>
      </c>
      <c r="E22" s="224">
        <v>45364</v>
      </c>
      <c r="F22" s="396" t="s">
        <v>215</v>
      </c>
      <c r="G22" s="397">
        <v>1</v>
      </c>
      <c r="H22" s="193">
        <v>151.875</v>
      </c>
      <c r="I22" s="194">
        <v>151875</v>
      </c>
      <c r="J22" s="195"/>
      <c r="K22" s="195">
        <f>I22</f>
        <v>151875</v>
      </c>
      <c r="L22" s="195"/>
      <c r="M22" s="195"/>
      <c r="N22" s="195"/>
      <c r="O22" s="195"/>
      <c r="P22" s="194"/>
    </row>
    <row r="23" spans="1:16" x14ac:dyDescent="0.25">
      <c r="A23" s="189" t="s">
        <v>969</v>
      </c>
      <c r="B23" s="190">
        <v>45364</v>
      </c>
      <c r="C23" s="50" t="s">
        <v>751</v>
      </c>
      <c r="D23" s="224">
        <v>45364</v>
      </c>
      <c r="E23" s="224">
        <v>45365</v>
      </c>
      <c r="F23" s="396" t="s">
        <v>221</v>
      </c>
      <c r="G23" s="397">
        <v>1</v>
      </c>
      <c r="H23" s="193">
        <v>182.25</v>
      </c>
      <c r="I23" s="194">
        <v>182250</v>
      </c>
      <c r="J23" s="195">
        <v>30375</v>
      </c>
      <c r="K23" s="195">
        <f>I23-J23</f>
        <v>151875</v>
      </c>
      <c r="L23" s="195"/>
      <c r="M23" s="195"/>
      <c r="N23" s="195"/>
      <c r="O23" s="195"/>
      <c r="P23" s="194"/>
    </row>
    <row r="24" spans="1:16" x14ac:dyDescent="0.25">
      <c r="A24" s="189" t="s">
        <v>970</v>
      </c>
      <c r="B24" s="190">
        <v>45364</v>
      </c>
      <c r="C24" s="50" t="s">
        <v>755</v>
      </c>
      <c r="D24" s="224">
        <v>45364</v>
      </c>
      <c r="E24" s="224">
        <v>45365</v>
      </c>
      <c r="F24" s="396" t="s">
        <v>215</v>
      </c>
      <c r="G24" s="397">
        <v>1</v>
      </c>
      <c r="H24" s="193">
        <v>150</v>
      </c>
      <c r="I24" s="194">
        <v>150000</v>
      </c>
      <c r="J24" s="195">
        <f>I24</f>
        <v>150000</v>
      </c>
      <c r="K24" s="195"/>
      <c r="L24" s="195"/>
      <c r="M24" s="195"/>
      <c r="N24" s="195"/>
      <c r="O24" s="195"/>
      <c r="P24" s="194"/>
    </row>
    <row r="25" spans="1:16" x14ac:dyDescent="0.25">
      <c r="A25" s="189" t="s">
        <v>971</v>
      </c>
      <c r="B25" s="190">
        <v>45364</v>
      </c>
      <c r="C25" s="50" t="s">
        <v>756</v>
      </c>
      <c r="D25" s="224">
        <v>45366</v>
      </c>
      <c r="E25" s="224">
        <v>45367</v>
      </c>
      <c r="F25" s="396" t="s">
        <v>269</v>
      </c>
      <c r="G25" s="397">
        <v>1</v>
      </c>
      <c r="H25" s="193">
        <v>220</v>
      </c>
      <c r="I25" s="194">
        <v>220000</v>
      </c>
      <c r="J25" s="195"/>
      <c r="K25" s="195"/>
      <c r="L25" s="195"/>
      <c r="M25" s="195"/>
      <c r="N25" s="195">
        <f>I25</f>
        <v>220000</v>
      </c>
      <c r="O25" s="195"/>
      <c r="P25" s="194"/>
    </row>
    <row r="26" spans="1:16" x14ac:dyDescent="0.25">
      <c r="A26" s="189" t="s">
        <v>972</v>
      </c>
      <c r="B26" s="400">
        <v>45365</v>
      </c>
      <c r="C26" s="50" t="s">
        <v>761</v>
      </c>
      <c r="D26" s="224">
        <v>45365</v>
      </c>
      <c r="E26" s="224">
        <v>45366</v>
      </c>
      <c r="F26" s="396" t="s">
        <v>215</v>
      </c>
      <c r="G26" s="397">
        <v>1</v>
      </c>
      <c r="H26" s="193">
        <v>150</v>
      </c>
      <c r="I26" s="194">
        <v>150000</v>
      </c>
      <c r="J26" s="195">
        <f>I26</f>
        <v>150000</v>
      </c>
      <c r="K26" s="195"/>
      <c r="L26" s="195"/>
      <c r="M26" s="195"/>
      <c r="N26" s="195"/>
      <c r="O26" s="195"/>
      <c r="P26" s="194"/>
    </row>
    <row r="27" spans="1:16" x14ac:dyDescent="0.25">
      <c r="A27" s="189" t="s">
        <v>973</v>
      </c>
      <c r="B27" s="400">
        <v>45366</v>
      </c>
      <c r="C27" s="50" t="s">
        <v>774</v>
      </c>
      <c r="D27" s="224">
        <v>45366</v>
      </c>
      <c r="E27" s="224">
        <v>45367</v>
      </c>
      <c r="F27" s="396" t="s">
        <v>215</v>
      </c>
      <c r="G27" s="397">
        <v>1</v>
      </c>
      <c r="H27" s="193">
        <v>150</v>
      </c>
      <c r="I27" s="194">
        <v>150000</v>
      </c>
      <c r="J27" s="195"/>
      <c r="K27" s="195"/>
      <c r="L27" s="195"/>
      <c r="M27" s="195"/>
      <c r="N27" s="195">
        <f>I27</f>
        <v>150000</v>
      </c>
      <c r="O27" s="195"/>
      <c r="P27" s="194"/>
    </row>
    <row r="28" spans="1:16" x14ac:dyDescent="0.25">
      <c r="A28" s="189" t="s">
        <v>974</v>
      </c>
      <c r="B28" s="400">
        <v>45367</v>
      </c>
      <c r="C28" s="316" t="s">
        <v>778</v>
      </c>
      <c r="D28" s="224">
        <v>45367</v>
      </c>
      <c r="E28" s="224">
        <v>45368</v>
      </c>
      <c r="F28" s="396" t="s">
        <v>215</v>
      </c>
      <c r="G28" s="397">
        <v>1</v>
      </c>
      <c r="H28" s="193">
        <v>150</v>
      </c>
      <c r="I28" s="194">
        <v>150000</v>
      </c>
      <c r="J28" s="195">
        <f>I28</f>
        <v>150000</v>
      </c>
      <c r="K28" s="195"/>
      <c r="L28" s="195"/>
      <c r="M28" s="195"/>
      <c r="N28" s="195"/>
      <c r="O28" s="195"/>
      <c r="P28" s="194"/>
    </row>
    <row r="29" spans="1:16" x14ac:dyDescent="0.25">
      <c r="A29" s="189" t="s">
        <v>975</v>
      </c>
      <c r="B29" s="400">
        <v>45370</v>
      </c>
      <c r="C29" s="50" t="s">
        <v>793</v>
      </c>
      <c r="D29" s="224">
        <v>45370</v>
      </c>
      <c r="E29" s="224">
        <v>45371</v>
      </c>
      <c r="F29" s="396" t="s">
        <v>269</v>
      </c>
      <c r="G29" s="397">
        <v>2</v>
      </c>
      <c r="H29" s="193">
        <v>220</v>
      </c>
      <c r="I29" s="101">
        <v>440000</v>
      </c>
      <c r="J29" s="195">
        <f>I29</f>
        <v>440000</v>
      </c>
      <c r="K29" s="195"/>
      <c r="L29" s="195"/>
      <c r="M29" s="195"/>
      <c r="N29" s="195"/>
      <c r="O29" s="195"/>
      <c r="P29" s="194"/>
    </row>
    <row r="30" spans="1:16" x14ac:dyDescent="0.25">
      <c r="A30" s="189" t="s">
        <v>976</v>
      </c>
      <c r="B30" s="400">
        <v>45370</v>
      </c>
      <c r="C30" s="50" t="s">
        <v>794</v>
      </c>
      <c r="D30" s="224">
        <v>45370</v>
      </c>
      <c r="E30" s="224">
        <v>45371</v>
      </c>
      <c r="F30" s="396" t="s">
        <v>269</v>
      </c>
      <c r="G30" s="397">
        <v>1</v>
      </c>
      <c r="H30" s="193">
        <v>220</v>
      </c>
      <c r="I30" s="101">
        <v>220000</v>
      </c>
      <c r="J30" s="101">
        <f>I30</f>
        <v>220000</v>
      </c>
      <c r="K30" s="195"/>
      <c r="L30" s="195"/>
      <c r="M30" s="195"/>
      <c r="N30" s="195"/>
      <c r="O30" s="195"/>
      <c r="P30" s="194"/>
    </row>
    <row r="31" spans="1:16" x14ac:dyDescent="0.25">
      <c r="A31" s="189" t="s">
        <v>977</v>
      </c>
      <c r="B31" s="400">
        <v>45370</v>
      </c>
      <c r="C31" s="50" t="s">
        <v>796</v>
      </c>
      <c r="D31" s="224">
        <v>45370</v>
      </c>
      <c r="E31" s="224">
        <v>45371</v>
      </c>
      <c r="F31" s="396" t="s">
        <v>215</v>
      </c>
      <c r="G31" s="397">
        <v>1</v>
      </c>
      <c r="H31" s="193">
        <v>150</v>
      </c>
      <c r="I31" s="101">
        <v>150000</v>
      </c>
      <c r="J31" s="101">
        <f>I31</f>
        <v>150000</v>
      </c>
      <c r="K31" s="195"/>
      <c r="L31" s="195"/>
      <c r="M31" s="195"/>
      <c r="N31" s="195"/>
      <c r="O31" s="195"/>
      <c r="P31" s="194"/>
    </row>
    <row r="32" spans="1:16" x14ac:dyDescent="0.25">
      <c r="A32" s="189" t="s">
        <v>978</v>
      </c>
      <c r="B32" s="400">
        <v>45370</v>
      </c>
      <c r="C32" s="50" t="s">
        <v>800</v>
      </c>
      <c r="D32" s="224">
        <v>45370</v>
      </c>
      <c r="E32" s="224">
        <v>45371</v>
      </c>
      <c r="F32" s="396" t="s">
        <v>1000</v>
      </c>
      <c r="G32" s="397">
        <v>2</v>
      </c>
      <c r="H32" s="193">
        <v>310</v>
      </c>
      <c r="I32" s="101">
        <v>310000</v>
      </c>
      <c r="J32" s="101"/>
      <c r="K32" s="195"/>
      <c r="L32" s="195"/>
      <c r="M32" s="195"/>
      <c r="N32" s="195"/>
      <c r="O32" s="195"/>
      <c r="P32" s="194" t="s">
        <v>1001</v>
      </c>
    </row>
    <row r="33" spans="1:16" x14ac:dyDescent="0.25">
      <c r="A33" s="189" t="s">
        <v>979</v>
      </c>
      <c r="B33" s="400">
        <v>45370</v>
      </c>
      <c r="C33" s="50" t="s">
        <v>802</v>
      </c>
      <c r="D33" s="224">
        <v>45371</v>
      </c>
      <c r="E33" s="224">
        <v>45372</v>
      </c>
      <c r="F33" s="396" t="s">
        <v>269</v>
      </c>
      <c r="G33" s="397">
        <v>1</v>
      </c>
      <c r="H33" s="193">
        <v>220</v>
      </c>
      <c r="I33" s="101">
        <v>220000</v>
      </c>
      <c r="J33" s="101">
        <f>I33</f>
        <v>220000</v>
      </c>
      <c r="K33" s="195"/>
      <c r="L33" s="195"/>
      <c r="M33" s="195"/>
      <c r="N33" s="195"/>
      <c r="O33" s="195"/>
      <c r="P33" s="194"/>
    </row>
    <row r="34" spans="1:16" x14ac:dyDescent="0.25">
      <c r="A34" s="189" t="s">
        <v>980</v>
      </c>
      <c r="B34" s="400">
        <v>45371</v>
      </c>
      <c r="C34" s="50" t="s">
        <v>806</v>
      </c>
      <c r="D34" s="224">
        <v>45371</v>
      </c>
      <c r="E34" s="224">
        <v>45372</v>
      </c>
      <c r="F34" s="396" t="s">
        <v>215</v>
      </c>
      <c r="G34" s="397">
        <v>1</v>
      </c>
      <c r="H34" s="193">
        <v>150</v>
      </c>
      <c r="I34" s="194">
        <v>150000</v>
      </c>
      <c r="J34" s="101">
        <f>I34</f>
        <v>150000</v>
      </c>
      <c r="K34" s="195"/>
      <c r="L34" s="195"/>
      <c r="M34" s="195"/>
      <c r="N34" s="195"/>
      <c r="O34" s="195"/>
      <c r="P34" s="194"/>
    </row>
    <row r="35" spans="1:16" x14ac:dyDescent="0.25">
      <c r="A35" s="189" t="s">
        <v>981</v>
      </c>
      <c r="B35" s="400">
        <v>45371</v>
      </c>
      <c r="C35" s="50" t="s">
        <v>807</v>
      </c>
      <c r="D35" s="224">
        <v>45371</v>
      </c>
      <c r="E35" s="224">
        <v>45372</v>
      </c>
      <c r="F35" s="396" t="s">
        <v>269</v>
      </c>
      <c r="G35" s="397">
        <v>2</v>
      </c>
      <c r="H35" s="193">
        <v>220</v>
      </c>
      <c r="I35" s="285">
        <v>220000</v>
      </c>
      <c r="J35" s="285">
        <v>440000</v>
      </c>
      <c r="K35" s="195"/>
      <c r="L35" s="195"/>
      <c r="M35" s="195"/>
      <c r="N35" s="401"/>
      <c r="O35" s="195"/>
      <c r="P35" s="286"/>
    </row>
    <row r="36" spans="1:16" x14ac:dyDescent="0.25">
      <c r="A36" s="189" t="s">
        <v>982</v>
      </c>
      <c r="B36" s="400">
        <v>45372</v>
      </c>
      <c r="C36" s="50" t="s">
        <v>812</v>
      </c>
      <c r="D36" s="224">
        <v>45372</v>
      </c>
      <c r="E36" s="224">
        <v>45373</v>
      </c>
      <c r="F36" s="396" t="s">
        <v>221</v>
      </c>
      <c r="G36" s="397">
        <v>1</v>
      </c>
      <c r="H36" s="193">
        <v>180</v>
      </c>
      <c r="I36" s="194">
        <v>180000</v>
      </c>
      <c r="J36" s="195">
        <f>I36</f>
        <v>180000</v>
      </c>
      <c r="K36" s="195"/>
      <c r="L36" s="195"/>
      <c r="M36" s="195"/>
      <c r="N36" s="195"/>
      <c r="O36" s="195"/>
      <c r="P36" s="194"/>
    </row>
    <row r="37" spans="1:16" x14ac:dyDescent="0.25">
      <c r="A37" s="189" t="s">
        <v>983</v>
      </c>
      <c r="B37" s="400">
        <v>45372</v>
      </c>
      <c r="C37" s="391" t="s">
        <v>815</v>
      </c>
      <c r="D37" s="224">
        <v>45372</v>
      </c>
      <c r="E37" s="224">
        <v>45373</v>
      </c>
      <c r="F37" s="396" t="s">
        <v>269</v>
      </c>
      <c r="G37" s="397">
        <v>3</v>
      </c>
      <c r="H37" s="193">
        <v>220</v>
      </c>
      <c r="I37" s="194">
        <v>660000</v>
      </c>
      <c r="J37" s="195">
        <v>10000</v>
      </c>
      <c r="K37" s="195"/>
      <c r="L37" s="195"/>
      <c r="M37" s="195"/>
      <c r="N37" s="195">
        <v>650000</v>
      </c>
      <c r="O37" s="195"/>
      <c r="P37" s="194"/>
    </row>
    <row r="38" spans="1:16" x14ac:dyDescent="0.25">
      <c r="A38" s="189" t="s">
        <v>984</v>
      </c>
      <c r="B38" s="400">
        <v>45373</v>
      </c>
      <c r="C38" s="50" t="s">
        <v>820</v>
      </c>
      <c r="D38" s="224">
        <v>45373</v>
      </c>
      <c r="E38" s="224">
        <v>45374</v>
      </c>
      <c r="F38" s="396" t="s">
        <v>269</v>
      </c>
      <c r="G38" s="397">
        <v>3</v>
      </c>
      <c r="H38" s="193">
        <v>220</v>
      </c>
      <c r="I38" s="194">
        <v>660000</v>
      </c>
      <c r="J38" s="195">
        <f>I38</f>
        <v>660000</v>
      </c>
      <c r="K38" s="195"/>
      <c r="L38" s="195"/>
      <c r="M38" s="195"/>
      <c r="N38" s="195"/>
      <c r="O38" s="195"/>
      <c r="P38" s="194"/>
    </row>
    <row r="39" spans="1:16" x14ac:dyDescent="0.25">
      <c r="A39" s="189" t="s">
        <v>985</v>
      </c>
      <c r="B39" s="400">
        <v>45373</v>
      </c>
      <c r="C39" s="50" t="s">
        <v>831</v>
      </c>
      <c r="D39" s="224">
        <v>45373</v>
      </c>
      <c r="E39" s="224">
        <v>45374</v>
      </c>
      <c r="F39" s="396" t="s">
        <v>269</v>
      </c>
      <c r="G39" s="397">
        <v>3</v>
      </c>
      <c r="H39" s="193">
        <v>220</v>
      </c>
      <c r="I39" s="194">
        <v>660000</v>
      </c>
      <c r="J39" s="101">
        <f>I39</f>
        <v>660000</v>
      </c>
      <c r="K39" s="195"/>
      <c r="L39" s="195"/>
      <c r="M39" s="195"/>
      <c r="N39" s="195"/>
      <c r="O39" s="195"/>
      <c r="P39" s="194"/>
    </row>
    <row r="40" spans="1:16" x14ac:dyDescent="0.25">
      <c r="A40" s="189" t="s">
        <v>986</v>
      </c>
      <c r="B40" s="400">
        <v>45374</v>
      </c>
      <c r="C40" s="316" t="s">
        <v>836</v>
      </c>
      <c r="D40" s="224">
        <v>45374</v>
      </c>
      <c r="E40" s="224">
        <v>45375</v>
      </c>
      <c r="F40" s="396" t="s">
        <v>269</v>
      </c>
      <c r="G40" s="397">
        <v>1</v>
      </c>
      <c r="H40" s="193">
        <v>220</v>
      </c>
      <c r="I40" s="194">
        <v>220000</v>
      </c>
      <c r="J40" s="101">
        <f>I40</f>
        <v>220000</v>
      </c>
      <c r="K40" s="195"/>
      <c r="L40" s="195"/>
      <c r="M40" s="195"/>
      <c r="N40" s="195"/>
      <c r="O40" s="195"/>
      <c r="P40" s="194"/>
    </row>
    <row r="41" spans="1:16" x14ac:dyDescent="0.25">
      <c r="A41" s="189" t="s">
        <v>987</v>
      </c>
      <c r="B41" s="400">
        <v>45374</v>
      </c>
      <c r="C41" s="316" t="s">
        <v>846</v>
      </c>
      <c r="D41" s="224">
        <v>45374</v>
      </c>
      <c r="E41" s="224">
        <v>45375</v>
      </c>
      <c r="F41" s="396" t="s">
        <v>269</v>
      </c>
      <c r="G41" s="397">
        <v>1</v>
      </c>
      <c r="H41" s="193">
        <v>222.75</v>
      </c>
      <c r="I41" s="194">
        <v>222750</v>
      </c>
      <c r="J41" s="101"/>
      <c r="K41" s="195">
        <f>I41</f>
        <v>222750</v>
      </c>
      <c r="L41" s="195"/>
      <c r="M41" s="195"/>
      <c r="N41" s="195"/>
      <c r="O41" s="195"/>
      <c r="P41" s="194"/>
    </row>
    <row r="42" spans="1:16" x14ac:dyDescent="0.25">
      <c r="A42" s="189" t="s">
        <v>988</v>
      </c>
      <c r="B42" s="400">
        <v>45374</v>
      </c>
      <c r="C42" s="316" t="s">
        <v>847</v>
      </c>
      <c r="D42" s="224">
        <v>45375</v>
      </c>
      <c r="E42" s="224">
        <v>45376</v>
      </c>
      <c r="F42" s="396" t="s">
        <v>269</v>
      </c>
      <c r="G42" s="397">
        <v>3</v>
      </c>
      <c r="H42" s="193">
        <v>220</v>
      </c>
      <c r="I42" s="194">
        <v>660000</v>
      </c>
      <c r="J42" s="101">
        <f>I42</f>
        <v>660000</v>
      </c>
      <c r="K42" s="195"/>
      <c r="L42" s="195"/>
      <c r="M42" s="195"/>
      <c r="N42" s="195"/>
      <c r="O42" s="195"/>
      <c r="P42" s="194"/>
    </row>
    <row r="43" spans="1:16" x14ac:dyDescent="0.25">
      <c r="A43" s="189" t="s">
        <v>989</v>
      </c>
      <c r="B43" s="400">
        <v>45375</v>
      </c>
      <c r="C43" s="316" t="s">
        <v>849</v>
      </c>
      <c r="D43" s="224">
        <v>45375</v>
      </c>
      <c r="E43" s="224">
        <v>45376</v>
      </c>
      <c r="F43" s="396" t="s">
        <v>269</v>
      </c>
      <c r="G43" s="397">
        <v>1</v>
      </c>
      <c r="H43" s="193">
        <v>220</v>
      </c>
      <c r="I43" s="194">
        <v>220000</v>
      </c>
      <c r="J43" s="101"/>
      <c r="K43" s="195"/>
      <c r="L43" s="195"/>
      <c r="M43" s="195"/>
      <c r="N43" s="195">
        <f>I43</f>
        <v>220000</v>
      </c>
      <c r="O43" s="195"/>
      <c r="P43" s="194"/>
    </row>
    <row r="44" spans="1:16" x14ac:dyDescent="0.25">
      <c r="A44" s="189" t="s">
        <v>990</v>
      </c>
      <c r="B44" s="400">
        <v>45375</v>
      </c>
      <c r="C44" s="316" t="s">
        <v>853</v>
      </c>
      <c r="D44" s="224">
        <v>45374</v>
      </c>
      <c r="E44" s="224">
        <v>45378</v>
      </c>
      <c r="F44" s="396" t="s">
        <v>269</v>
      </c>
      <c r="G44" s="397">
        <v>1</v>
      </c>
      <c r="H44" s="193">
        <v>360</v>
      </c>
      <c r="I44" s="194">
        <v>360000</v>
      </c>
      <c r="J44" s="101"/>
      <c r="K44" s="195"/>
      <c r="L44" s="195"/>
      <c r="M44" s="195"/>
      <c r="N44" s="195">
        <f>I44</f>
        <v>360000</v>
      </c>
      <c r="O44" s="195"/>
      <c r="P44" s="194"/>
    </row>
    <row r="45" spans="1:16" x14ac:dyDescent="0.25">
      <c r="A45" s="189" t="s">
        <v>991</v>
      </c>
      <c r="B45" s="400">
        <v>45375</v>
      </c>
      <c r="C45" s="316" t="s">
        <v>860</v>
      </c>
      <c r="D45" s="224">
        <v>45375</v>
      </c>
      <c r="E45" s="224">
        <v>45376</v>
      </c>
      <c r="F45" s="396" t="s">
        <v>215</v>
      </c>
      <c r="G45" s="397">
        <v>1</v>
      </c>
      <c r="H45" s="193">
        <v>150</v>
      </c>
      <c r="I45" s="194">
        <v>150000</v>
      </c>
      <c r="J45" s="101">
        <f>I45</f>
        <v>150000</v>
      </c>
      <c r="K45" s="195"/>
      <c r="L45" s="195"/>
      <c r="M45" s="195"/>
      <c r="N45" s="195"/>
      <c r="O45" s="195"/>
      <c r="P45" s="194"/>
    </row>
    <row r="46" spans="1:16" x14ac:dyDescent="0.25">
      <c r="A46" s="189" t="s">
        <v>992</v>
      </c>
      <c r="B46" s="190">
        <v>45377</v>
      </c>
      <c r="C46" s="316" t="s">
        <v>873</v>
      </c>
      <c r="D46" s="402">
        <v>45377</v>
      </c>
      <c r="E46" s="402">
        <v>45378</v>
      </c>
      <c r="F46" s="191" t="s">
        <v>269</v>
      </c>
      <c r="G46" s="192">
        <v>2</v>
      </c>
      <c r="H46" s="193">
        <v>220</v>
      </c>
      <c r="I46" s="101">
        <v>440000</v>
      </c>
      <c r="J46" s="195">
        <f>I46</f>
        <v>440000</v>
      </c>
      <c r="K46" s="195"/>
      <c r="L46" s="195"/>
      <c r="M46" s="195"/>
      <c r="N46" s="195"/>
      <c r="O46" s="195"/>
      <c r="P46" s="194"/>
    </row>
    <row r="47" spans="1:16" x14ac:dyDescent="0.25">
      <c r="A47" s="189" t="s">
        <v>993</v>
      </c>
      <c r="B47" s="190">
        <v>45377</v>
      </c>
      <c r="C47" s="316" t="s">
        <v>874</v>
      </c>
      <c r="D47" s="402">
        <v>45377</v>
      </c>
      <c r="E47" s="402">
        <v>45378</v>
      </c>
      <c r="F47" s="191" t="s">
        <v>269</v>
      </c>
      <c r="G47" s="192">
        <v>1</v>
      </c>
      <c r="H47" s="193">
        <v>220</v>
      </c>
      <c r="I47" s="101">
        <v>220000</v>
      </c>
      <c r="J47" s="195">
        <f>I47</f>
        <v>220000</v>
      </c>
      <c r="K47" s="195"/>
      <c r="L47" s="195"/>
      <c r="M47" s="195"/>
      <c r="N47" s="195"/>
      <c r="O47" s="195"/>
      <c r="P47" s="194"/>
    </row>
    <row r="48" spans="1:16" x14ac:dyDescent="0.25">
      <c r="A48" s="189" t="s">
        <v>994</v>
      </c>
      <c r="B48" s="190">
        <v>45380</v>
      </c>
      <c r="C48" s="316" t="s">
        <v>902</v>
      </c>
      <c r="D48" s="402">
        <v>45380</v>
      </c>
      <c r="E48" s="402">
        <v>45381</v>
      </c>
      <c r="F48" s="191" t="s">
        <v>269</v>
      </c>
      <c r="G48" s="192">
        <v>1</v>
      </c>
      <c r="H48" s="193">
        <v>330</v>
      </c>
      <c r="I48" s="194">
        <v>330000</v>
      </c>
      <c r="J48" s="195">
        <f>I48</f>
        <v>330000</v>
      </c>
      <c r="K48" s="195"/>
      <c r="L48" s="195"/>
      <c r="M48" s="195"/>
      <c r="N48" s="195"/>
      <c r="O48" s="195"/>
      <c r="P48" s="194"/>
    </row>
    <row r="49" spans="1:16" x14ac:dyDescent="0.25">
      <c r="A49" s="189" t="s">
        <v>995</v>
      </c>
      <c r="B49" s="190">
        <v>45380</v>
      </c>
      <c r="C49" s="316" t="s">
        <v>906</v>
      </c>
      <c r="D49" s="402">
        <v>45380</v>
      </c>
      <c r="E49" s="402">
        <v>45381</v>
      </c>
      <c r="F49" s="191" t="s">
        <v>269</v>
      </c>
      <c r="G49" s="192">
        <v>1</v>
      </c>
      <c r="H49" s="193">
        <v>277.25</v>
      </c>
      <c r="I49" s="194">
        <v>544500</v>
      </c>
      <c r="J49" s="195"/>
      <c r="K49" s="195"/>
      <c r="L49" s="195">
        <f>I49</f>
        <v>544500</v>
      </c>
      <c r="M49" s="195"/>
      <c r="N49" s="195"/>
      <c r="O49" s="195"/>
      <c r="P49" s="194"/>
    </row>
    <row r="50" spans="1:16" x14ac:dyDescent="0.25">
      <c r="A50" s="189" t="s">
        <v>996</v>
      </c>
      <c r="B50" s="190">
        <v>45381</v>
      </c>
      <c r="C50" s="316" t="s">
        <v>911</v>
      </c>
      <c r="D50" s="402">
        <v>45381</v>
      </c>
      <c r="E50" s="402">
        <v>45382</v>
      </c>
      <c r="F50" s="396" t="s">
        <v>269</v>
      </c>
      <c r="G50" s="397">
        <v>2</v>
      </c>
      <c r="H50" s="193">
        <v>220</v>
      </c>
      <c r="I50" s="194">
        <v>440000</v>
      </c>
      <c r="J50" s="195"/>
      <c r="K50" s="195"/>
      <c r="L50" s="195"/>
      <c r="M50" s="195"/>
      <c r="N50" s="195">
        <f>I50</f>
        <v>440000</v>
      </c>
      <c r="O50" s="195"/>
      <c r="P50" s="194"/>
    </row>
    <row r="51" spans="1:16" x14ac:dyDescent="0.25">
      <c r="A51" s="189" t="s">
        <v>997</v>
      </c>
      <c r="B51" s="190">
        <v>45381</v>
      </c>
      <c r="C51" s="316" t="s">
        <v>913</v>
      </c>
      <c r="D51" s="402">
        <v>45381</v>
      </c>
      <c r="E51" s="402">
        <v>45382</v>
      </c>
      <c r="F51" s="396" t="s">
        <v>215</v>
      </c>
      <c r="G51" s="397">
        <v>1</v>
      </c>
      <c r="H51" s="193">
        <v>150</v>
      </c>
      <c r="I51" s="194">
        <v>150000</v>
      </c>
      <c r="J51" s="195">
        <f>I51</f>
        <v>150000</v>
      </c>
      <c r="K51" s="195"/>
      <c r="L51" s="195"/>
      <c r="M51" s="195"/>
      <c r="N51" s="195"/>
      <c r="O51" s="195"/>
      <c r="P51" s="194"/>
    </row>
    <row r="52" spans="1:16" x14ac:dyDescent="0.25">
      <c r="A52" s="189" t="s">
        <v>998</v>
      </c>
      <c r="B52" s="190">
        <v>45382</v>
      </c>
      <c r="C52" s="316" t="s">
        <v>920</v>
      </c>
      <c r="D52" s="402">
        <v>45382</v>
      </c>
      <c r="E52" s="402">
        <v>45383</v>
      </c>
      <c r="F52" s="396" t="s">
        <v>269</v>
      </c>
      <c r="G52" s="397">
        <v>1</v>
      </c>
      <c r="H52" s="193">
        <v>220</v>
      </c>
      <c r="I52" s="194">
        <v>220000</v>
      </c>
      <c r="J52" s="195">
        <f>I52</f>
        <v>220000</v>
      </c>
      <c r="K52" s="195"/>
      <c r="L52" s="195"/>
      <c r="M52" s="195"/>
      <c r="N52" s="195"/>
      <c r="O52" s="195"/>
      <c r="P52" s="194"/>
    </row>
    <row r="53" spans="1:16" ht="15" x14ac:dyDescent="0.25">
      <c r="A53" s="470" t="s">
        <v>96</v>
      </c>
      <c r="B53" s="471"/>
      <c r="C53" s="471"/>
      <c r="D53" s="471"/>
      <c r="E53" s="471"/>
      <c r="F53" s="471"/>
      <c r="G53" s="472"/>
      <c r="H53" s="173"/>
      <c r="I53" s="106">
        <f t="shared" ref="I53:P53" si="0">SUM(I2:I52)</f>
        <v>13247463</v>
      </c>
      <c r="J53" s="106">
        <f t="shared" si="0"/>
        <v>7610375</v>
      </c>
      <c r="K53" s="106">
        <f t="shared" si="0"/>
        <v>1217025</v>
      </c>
      <c r="L53" s="106">
        <f t="shared" si="0"/>
        <v>1789188</v>
      </c>
      <c r="M53" s="106">
        <f t="shared" si="0"/>
        <v>0</v>
      </c>
      <c r="N53" s="424">
        <f t="shared" si="0"/>
        <v>2965000</v>
      </c>
      <c r="O53" s="106">
        <f t="shared" si="0"/>
        <v>0</v>
      </c>
      <c r="P53" s="106">
        <f t="shared" si="0"/>
        <v>0</v>
      </c>
    </row>
    <row r="55" spans="1:16" x14ac:dyDescent="0.25">
      <c r="E55" s="107" t="s">
        <v>51</v>
      </c>
      <c r="F55" s="161">
        <f>K53</f>
        <v>1217025</v>
      </c>
      <c r="H55" s="468" t="s">
        <v>69</v>
      </c>
      <c r="I55" s="469"/>
      <c r="K55" s="473" t="s">
        <v>154</v>
      </c>
      <c r="L55" s="474"/>
    </row>
    <row r="56" spans="1:16" x14ac:dyDescent="0.25">
      <c r="E56" s="107" t="s">
        <v>115</v>
      </c>
      <c r="F56" s="161">
        <f>L53</f>
        <v>1789188</v>
      </c>
      <c r="H56" s="175">
        <f>J53</f>
        <v>7610375</v>
      </c>
      <c r="I56" s="57"/>
      <c r="K56" s="475">
        <f>J53+M53+N53</f>
        <v>10575375</v>
      </c>
      <c r="L56" s="476"/>
    </row>
    <row r="57" spans="1:16" x14ac:dyDescent="0.25">
      <c r="E57" s="109" t="s">
        <v>96</v>
      </c>
      <c r="F57" s="143">
        <f>SUM(F55:F56)</f>
        <v>3006213</v>
      </c>
    </row>
    <row r="58" spans="1:16" x14ac:dyDescent="0.25">
      <c r="F58" s="162">
        <f>1%*F57</f>
        <v>30062.13</v>
      </c>
      <c r="H58" s="240">
        <f>H56-Cashflow!G490</f>
        <v>0</v>
      </c>
    </row>
    <row r="59" spans="1:16" x14ac:dyDescent="0.25">
      <c r="L59" s="63">
        <f>N53+Kuitansi!H112</f>
        <v>29965000</v>
      </c>
    </row>
    <row r="60" spans="1:16" x14ac:dyDescent="0.25">
      <c r="H60" s="108"/>
      <c r="N60" s="63">
        <f>Bank!J55-Bills!N53</f>
        <v>0</v>
      </c>
    </row>
    <row r="61" spans="1:16" x14ac:dyDescent="0.25">
      <c r="D61" s="79"/>
    </row>
  </sheetData>
  <mergeCells count="4">
    <mergeCell ref="H55:I55"/>
    <mergeCell ref="A53:G53"/>
    <mergeCell ref="K55:L55"/>
    <mergeCell ref="K56:L56"/>
  </mergeCells>
  <phoneticPr fontId="23" type="noConversion"/>
  <pageMargins left="0.7" right="0.7" top="0.75" bottom="0.75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P42"/>
  <sheetViews>
    <sheetView topLeftCell="D1" zoomScale="86" zoomScaleNormal="86" workbookViewId="0">
      <pane ySplit="2" topLeftCell="A3" activePane="bottomLeft" state="frozen"/>
      <selection pane="bottomLeft" activeCell="N37" sqref="N37"/>
    </sheetView>
  </sheetViews>
  <sheetFormatPr defaultRowHeight="15" x14ac:dyDescent="0.25"/>
  <cols>
    <col min="1" max="1" width="7.42578125" style="30" customWidth="1"/>
    <col min="2" max="2" width="14.7109375" style="34" customWidth="1"/>
    <col min="3" max="3" width="61.7109375" style="56" bestFit="1" customWidth="1"/>
    <col min="4" max="4" width="12" style="34" customWidth="1"/>
    <col min="5" max="5" width="14.85546875" style="205" customWidth="1"/>
    <col min="6" max="6" width="15.28515625" style="32" customWidth="1"/>
    <col min="7" max="7" width="14.42578125" style="134" customWidth="1"/>
    <col min="8" max="8" width="15.140625" style="134" customWidth="1"/>
    <col min="9" max="9" width="12.5703125" style="134" customWidth="1"/>
    <col min="10" max="10" width="14.42578125" style="137" customWidth="1"/>
    <col min="11" max="11" width="13.7109375" style="70" customWidth="1"/>
    <col min="12" max="12" width="12.5703125" style="70" customWidth="1"/>
    <col min="13" max="13" width="11.28515625" customWidth="1"/>
    <col min="14" max="14" width="49" bestFit="1" customWidth="1"/>
    <col min="15" max="15" width="17.7109375" bestFit="1" customWidth="1"/>
    <col min="16" max="16" width="33.28515625" bestFit="1" customWidth="1"/>
  </cols>
  <sheetData>
    <row r="1" spans="1:16" s="21" customFormat="1" x14ac:dyDescent="0.25">
      <c r="A1" s="479" t="s">
        <v>45</v>
      </c>
      <c r="B1" s="480" t="s">
        <v>149</v>
      </c>
      <c r="C1" s="462" t="s">
        <v>72</v>
      </c>
      <c r="D1" s="462" t="s">
        <v>46</v>
      </c>
      <c r="E1" s="462" t="s">
        <v>47</v>
      </c>
      <c r="F1" s="464" t="s">
        <v>73</v>
      </c>
      <c r="G1" s="159" t="s">
        <v>74</v>
      </c>
      <c r="H1" s="489" t="s">
        <v>176</v>
      </c>
      <c r="I1" s="490"/>
      <c r="J1" s="489" t="s">
        <v>67</v>
      </c>
      <c r="K1" s="491"/>
      <c r="L1" s="490"/>
      <c r="M1" s="487" t="s">
        <v>75</v>
      </c>
      <c r="N1" s="464" t="s">
        <v>76</v>
      </c>
      <c r="O1" s="486" t="s">
        <v>181</v>
      </c>
      <c r="P1" s="482" t="s">
        <v>111</v>
      </c>
    </row>
    <row r="2" spans="1:16" s="21" customFormat="1" hidden="1" x14ac:dyDescent="0.25">
      <c r="A2" s="479"/>
      <c r="B2" s="481"/>
      <c r="C2" s="462"/>
      <c r="D2" s="462"/>
      <c r="E2" s="462"/>
      <c r="F2" s="464"/>
      <c r="G2" s="133" t="s">
        <v>77</v>
      </c>
      <c r="H2" s="133" t="s">
        <v>78</v>
      </c>
      <c r="I2" s="133" t="s">
        <v>171</v>
      </c>
      <c r="J2" s="133" t="s">
        <v>143</v>
      </c>
      <c r="K2" s="133" t="s">
        <v>135</v>
      </c>
      <c r="L2" s="133" t="s">
        <v>144</v>
      </c>
      <c r="M2" s="488"/>
      <c r="N2" s="464"/>
      <c r="O2" s="486"/>
      <c r="P2" s="483"/>
    </row>
    <row r="3" spans="1:16" s="148" customFormat="1" hidden="1" x14ac:dyDescent="0.25">
      <c r="A3" s="170" t="s">
        <v>1002</v>
      </c>
      <c r="B3" s="403">
        <v>45353</v>
      </c>
      <c r="C3" s="50" t="s">
        <v>611</v>
      </c>
      <c r="D3" s="300">
        <v>45352</v>
      </c>
      <c r="E3" s="300">
        <v>45354</v>
      </c>
      <c r="F3" s="144">
        <v>30830000</v>
      </c>
      <c r="G3" s="101">
        <f>F3-J3</f>
        <v>30330000</v>
      </c>
      <c r="H3" s="172"/>
      <c r="I3" s="101"/>
      <c r="J3" s="101">
        <v>500000</v>
      </c>
      <c r="K3" s="101"/>
      <c r="L3" s="101"/>
      <c r="M3" s="301" t="s">
        <v>1026</v>
      </c>
      <c r="N3" s="89" t="s">
        <v>1027</v>
      </c>
      <c r="O3" s="165" t="s">
        <v>1028</v>
      </c>
      <c r="P3" s="152"/>
    </row>
    <row r="4" spans="1:16" s="148" customFormat="1" hidden="1" x14ac:dyDescent="0.25">
      <c r="A4" s="170" t="s">
        <v>1003</v>
      </c>
      <c r="B4" s="403">
        <v>45356</v>
      </c>
      <c r="C4" s="50" t="s">
        <v>650</v>
      </c>
      <c r="D4" s="300">
        <v>45355</v>
      </c>
      <c r="E4" s="300">
        <v>45356</v>
      </c>
      <c r="F4" s="144">
        <v>4935000</v>
      </c>
      <c r="G4" s="101">
        <f>F4-J4</f>
        <v>4435000</v>
      </c>
      <c r="H4" s="172"/>
      <c r="I4" s="101"/>
      <c r="J4" s="101">
        <v>500000</v>
      </c>
      <c r="K4" s="101"/>
      <c r="L4" s="101"/>
      <c r="M4" s="301" t="s">
        <v>291</v>
      </c>
      <c r="N4" s="89" t="s">
        <v>1029</v>
      </c>
      <c r="O4" s="165" t="s">
        <v>558</v>
      </c>
      <c r="P4" s="152"/>
    </row>
    <row r="5" spans="1:16" s="148" customFormat="1" x14ac:dyDescent="0.25">
      <c r="A5" s="170" t="s">
        <v>1004</v>
      </c>
      <c r="B5" s="403">
        <v>45353</v>
      </c>
      <c r="C5" s="50" t="s">
        <v>610</v>
      </c>
      <c r="D5" s="300">
        <v>45353</v>
      </c>
      <c r="E5" s="300">
        <v>45354</v>
      </c>
      <c r="F5" s="144">
        <v>2240000</v>
      </c>
      <c r="G5" s="101">
        <f>F5-J5-K5</f>
        <v>1240000</v>
      </c>
      <c r="H5" s="101"/>
      <c r="I5" s="101"/>
      <c r="J5" s="101">
        <v>500000</v>
      </c>
      <c r="K5" s="101">
        <v>500000</v>
      </c>
      <c r="L5" s="101"/>
      <c r="M5" s="301" t="s">
        <v>285</v>
      </c>
      <c r="N5" s="89" t="s">
        <v>1030</v>
      </c>
      <c r="O5" s="165" t="s">
        <v>1031</v>
      </c>
      <c r="P5" s="152"/>
    </row>
    <row r="6" spans="1:16" s="148" customFormat="1" hidden="1" x14ac:dyDescent="0.25">
      <c r="A6" s="170" t="s">
        <v>1005</v>
      </c>
      <c r="B6" s="403">
        <v>45354</v>
      </c>
      <c r="C6" s="50" t="s">
        <v>622</v>
      </c>
      <c r="D6" s="300">
        <v>45354</v>
      </c>
      <c r="E6" s="300">
        <v>45355</v>
      </c>
      <c r="F6" s="144">
        <v>4500000</v>
      </c>
      <c r="G6" s="101">
        <f>F6-J6</f>
        <v>4000000</v>
      </c>
      <c r="H6" s="172"/>
      <c r="I6" s="101"/>
      <c r="J6" s="101">
        <v>500000</v>
      </c>
      <c r="K6" s="101"/>
      <c r="L6" s="101"/>
      <c r="M6" s="301" t="s">
        <v>212</v>
      </c>
      <c r="N6" s="89" t="s">
        <v>1032</v>
      </c>
      <c r="O6" s="165" t="s">
        <v>1033</v>
      </c>
      <c r="P6" s="404"/>
    </row>
    <row r="7" spans="1:16" s="148" customFormat="1" hidden="1" x14ac:dyDescent="0.25">
      <c r="A7" s="170" t="s">
        <v>1006</v>
      </c>
      <c r="B7" s="403">
        <v>45354</v>
      </c>
      <c r="C7" s="50" t="s">
        <v>623</v>
      </c>
      <c r="D7" s="300">
        <v>45354</v>
      </c>
      <c r="E7" s="300">
        <v>45355</v>
      </c>
      <c r="F7" s="144">
        <v>14031000</v>
      </c>
      <c r="G7" s="101">
        <f>F7-J7</f>
        <v>13031000</v>
      </c>
      <c r="H7" s="172"/>
      <c r="I7" s="101"/>
      <c r="J7" s="101">
        <v>1000000</v>
      </c>
      <c r="K7" s="101"/>
      <c r="L7" s="101"/>
      <c r="M7" s="301" t="s">
        <v>212</v>
      </c>
      <c r="N7" s="89" t="s">
        <v>1034</v>
      </c>
      <c r="O7" s="165" t="s">
        <v>1035</v>
      </c>
      <c r="P7" s="152"/>
    </row>
    <row r="8" spans="1:16" s="148" customFormat="1" hidden="1" x14ac:dyDescent="0.25">
      <c r="A8" s="170" t="s">
        <v>1007</v>
      </c>
      <c r="B8" s="403">
        <v>45355</v>
      </c>
      <c r="C8" s="50" t="s">
        <v>641</v>
      </c>
      <c r="D8" s="300">
        <v>45355</v>
      </c>
      <c r="E8" s="300">
        <v>45355</v>
      </c>
      <c r="F8" s="144">
        <v>2625000</v>
      </c>
      <c r="G8" s="101">
        <f>F8-J8</f>
        <v>2125000</v>
      </c>
      <c r="H8" s="172"/>
      <c r="I8" s="101"/>
      <c r="J8" s="101">
        <v>500000</v>
      </c>
      <c r="K8" s="101"/>
      <c r="L8" s="101"/>
      <c r="M8" s="301" t="s">
        <v>291</v>
      </c>
      <c r="N8" s="145" t="s">
        <v>1036</v>
      </c>
      <c r="O8" s="165" t="s">
        <v>556</v>
      </c>
      <c r="P8" s="152"/>
    </row>
    <row r="9" spans="1:16" s="148" customFormat="1" hidden="1" x14ac:dyDescent="0.25">
      <c r="A9" s="170" t="s">
        <v>1008</v>
      </c>
      <c r="B9" s="403">
        <v>45356</v>
      </c>
      <c r="C9" s="50" t="s">
        <v>651</v>
      </c>
      <c r="D9" s="300">
        <v>45355</v>
      </c>
      <c r="E9" s="300">
        <v>45356</v>
      </c>
      <c r="F9" s="62">
        <v>3000000</v>
      </c>
      <c r="G9" s="62">
        <f>F9-J9</f>
        <v>2000000</v>
      </c>
      <c r="H9" s="62"/>
      <c r="I9" s="62"/>
      <c r="J9" s="62">
        <v>1000000</v>
      </c>
      <c r="K9" s="62"/>
      <c r="L9" s="62"/>
      <c r="M9" s="405" t="s">
        <v>291</v>
      </c>
      <c r="N9" s="406" t="s">
        <v>1037</v>
      </c>
      <c r="O9" s="165" t="s">
        <v>557</v>
      </c>
      <c r="P9" s="152"/>
    </row>
    <row r="10" spans="1:16" s="148" customFormat="1" hidden="1" x14ac:dyDescent="0.25">
      <c r="A10" s="170" t="s">
        <v>1009</v>
      </c>
      <c r="B10" s="403">
        <v>45356</v>
      </c>
      <c r="C10" s="50" t="s">
        <v>646</v>
      </c>
      <c r="D10" s="300">
        <v>45355</v>
      </c>
      <c r="E10" s="300">
        <v>45356</v>
      </c>
      <c r="F10" s="144">
        <v>4640000</v>
      </c>
      <c r="G10" s="101"/>
      <c r="H10" s="101">
        <f>F10-J10</f>
        <v>3640000</v>
      </c>
      <c r="I10" s="101"/>
      <c r="J10" s="101">
        <v>1000000</v>
      </c>
      <c r="K10" s="101"/>
      <c r="L10" s="101"/>
      <c r="M10" s="111" t="s">
        <v>212</v>
      </c>
      <c r="N10" s="146" t="s">
        <v>1038</v>
      </c>
      <c r="O10" s="165" t="s">
        <v>1039</v>
      </c>
      <c r="P10" s="404"/>
    </row>
    <row r="11" spans="1:16" s="148" customFormat="1" hidden="1" x14ac:dyDescent="0.25">
      <c r="A11" s="170" t="s">
        <v>1010</v>
      </c>
      <c r="B11" s="407">
        <v>45357</v>
      </c>
      <c r="C11" s="50" t="s">
        <v>657</v>
      </c>
      <c r="D11" s="300">
        <v>45356</v>
      </c>
      <c r="E11" s="300">
        <v>45357</v>
      </c>
      <c r="F11" s="144">
        <v>29925000</v>
      </c>
      <c r="G11" s="101"/>
      <c r="H11" s="101"/>
      <c r="I11" s="101"/>
      <c r="J11" s="101">
        <v>1000000</v>
      </c>
      <c r="K11" s="101">
        <f>F11-J11</f>
        <v>28925000</v>
      </c>
      <c r="L11" s="101"/>
      <c r="M11" s="111" t="s">
        <v>212</v>
      </c>
      <c r="N11" s="147" t="s">
        <v>1040</v>
      </c>
      <c r="O11" s="165" t="s">
        <v>1041</v>
      </c>
      <c r="P11" s="152"/>
    </row>
    <row r="12" spans="1:16" s="148" customFormat="1" hidden="1" x14ac:dyDescent="0.25">
      <c r="A12" s="170" t="s">
        <v>1011</v>
      </c>
      <c r="B12" s="407">
        <v>45358</v>
      </c>
      <c r="C12" s="316" t="s">
        <v>678</v>
      </c>
      <c r="D12" s="300">
        <v>45357</v>
      </c>
      <c r="E12" s="300">
        <v>45358</v>
      </c>
      <c r="F12" s="144">
        <v>4600000</v>
      </c>
      <c r="G12" s="101">
        <f>F12-J12</f>
        <v>4100000</v>
      </c>
      <c r="H12" s="101"/>
      <c r="I12" s="101"/>
      <c r="J12" s="101">
        <v>500000</v>
      </c>
      <c r="K12" s="101"/>
      <c r="L12" s="101"/>
      <c r="M12" s="111" t="s">
        <v>212</v>
      </c>
      <c r="N12" s="147" t="s">
        <v>1042</v>
      </c>
      <c r="O12" s="165" t="s">
        <v>555</v>
      </c>
      <c r="P12" s="404"/>
    </row>
    <row r="13" spans="1:16" s="148" customFormat="1" hidden="1" x14ac:dyDescent="0.25">
      <c r="A13" s="170" t="s">
        <v>1012</v>
      </c>
      <c r="B13" s="407">
        <v>45357</v>
      </c>
      <c r="C13" s="50" t="s">
        <v>663</v>
      </c>
      <c r="D13" s="300">
        <v>45357</v>
      </c>
      <c r="E13" s="300">
        <v>45358</v>
      </c>
      <c r="F13" s="144">
        <v>3120000</v>
      </c>
      <c r="G13" s="101">
        <f>F13-J13</f>
        <v>2620000</v>
      </c>
      <c r="H13" s="101"/>
      <c r="I13" s="101"/>
      <c r="J13" s="101">
        <v>500000</v>
      </c>
      <c r="K13" s="101"/>
      <c r="L13" s="101"/>
      <c r="M13" s="111" t="s">
        <v>212</v>
      </c>
      <c r="N13" s="147" t="s">
        <v>1043</v>
      </c>
      <c r="O13" s="165" t="s">
        <v>1044</v>
      </c>
      <c r="P13" s="152"/>
    </row>
    <row r="14" spans="1:16" s="148" customFormat="1" hidden="1" x14ac:dyDescent="0.25">
      <c r="A14" s="170" t="s">
        <v>1013</v>
      </c>
      <c r="B14" s="407">
        <v>45359</v>
      </c>
      <c r="C14" s="50" t="s">
        <v>687</v>
      </c>
      <c r="D14" s="300">
        <v>45359</v>
      </c>
      <c r="E14" s="300">
        <v>45360</v>
      </c>
      <c r="F14" s="144">
        <v>22575000</v>
      </c>
      <c r="G14" s="101">
        <f>F14-J14</f>
        <v>21775000</v>
      </c>
      <c r="H14" s="101"/>
      <c r="I14" s="101"/>
      <c r="J14" s="101">
        <v>800000</v>
      </c>
      <c r="K14" s="172"/>
      <c r="L14" s="101"/>
      <c r="M14" s="111" t="s">
        <v>212</v>
      </c>
      <c r="N14" s="147" t="s">
        <v>1045</v>
      </c>
      <c r="O14" s="165" t="s">
        <v>1046</v>
      </c>
      <c r="P14" s="152"/>
    </row>
    <row r="15" spans="1:16" s="148" customFormat="1" hidden="1" x14ac:dyDescent="0.25">
      <c r="A15" s="170" t="s">
        <v>1014</v>
      </c>
      <c r="B15" s="407">
        <v>45364</v>
      </c>
      <c r="C15" s="50" t="s">
        <v>1047</v>
      </c>
      <c r="D15" s="300">
        <v>45364</v>
      </c>
      <c r="E15" s="300">
        <v>45365</v>
      </c>
      <c r="F15" s="144">
        <v>730000</v>
      </c>
      <c r="G15" s="101">
        <f>F15-J15</f>
        <v>430000</v>
      </c>
      <c r="H15" s="101"/>
      <c r="I15" s="101"/>
      <c r="J15" s="101">
        <v>300000</v>
      </c>
      <c r="K15" s="101"/>
      <c r="L15" s="101"/>
      <c r="M15" s="111" t="s">
        <v>1048</v>
      </c>
      <c r="N15" s="147" t="s">
        <v>1049</v>
      </c>
      <c r="O15" s="165" t="s">
        <v>1050</v>
      </c>
      <c r="P15" s="404"/>
    </row>
    <row r="16" spans="1:16" s="148" customFormat="1" x14ac:dyDescent="0.25">
      <c r="A16" s="170" t="s">
        <v>1015</v>
      </c>
      <c r="B16" s="403">
        <v>45373</v>
      </c>
      <c r="C16" s="50" t="s">
        <v>829</v>
      </c>
      <c r="D16" s="300">
        <v>45372</v>
      </c>
      <c r="E16" s="300">
        <v>45374</v>
      </c>
      <c r="F16" s="144">
        <v>5680000</v>
      </c>
      <c r="G16" s="101">
        <v>2000000</v>
      </c>
      <c r="H16" s="101">
        <v>3180000</v>
      </c>
      <c r="I16" s="101"/>
      <c r="J16" s="101">
        <v>500000</v>
      </c>
      <c r="K16" s="101"/>
      <c r="L16" s="101"/>
      <c r="M16" s="111" t="s">
        <v>285</v>
      </c>
      <c r="N16" s="149" t="s">
        <v>1051</v>
      </c>
      <c r="O16" s="165" t="s">
        <v>559</v>
      </c>
      <c r="P16" s="152"/>
    </row>
    <row r="17" spans="1:16" s="148" customFormat="1" hidden="1" x14ac:dyDescent="0.25">
      <c r="A17" s="170" t="s">
        <v>1016</v>
      </c>
      <c r="B17" s="403">
        <v>45373</v>
      </c>
      <c r="C17" s="50" t="s">
        <v>828</v>
      </c>
      <c r="D17" s="300">
        <v>45373</v>
      </c>
      <c r="E17" s="403"/>
      <c r="F17" s="144">
        <v>4240000</v>
      </c>
      <c r="G17" s="101">
        <f>F17-J17</f>
        <v>3740000</v>
      </c>
      <c r="H17" s="101"/>
      <c r="I17" s="101"/>
      <c r="J17" s="101">
        <v>500000</v>
      </c>
      <c r="L17" s="101"/>
      <c r="M17" s="111" t="s">
        <v>1048</v>
      </c>
      <c r="N17" s="149" t="s">
        <v>1052</v>
      </c>
      <c r="O17" s="165" t="s">
        <v>1053</v>
      </c>
      <c r="P17" s="152"/>
    </row>
    <row r="18" spans="1:16" s="148" customFormat="1" hidden="1" x14ac:dyDescent="0.25">
      <c r="A18" s="170" t="s">
        <v>1017</v>
      </c>
      <c r="B18" s="403">
        <v>45375</v>
      </c>
      <c r="C18" s="316" t="s">
        <v>1054</v>
      </c>
      <c r="D18" s="300">
        <v>45375</v>
      </c>
      <c r="E18" s="403"/>
      <c r="F18" s="144">
        <v>1080000</v>
      </c>
      <c r="G18" s="101">
        <f>F18-J18</f>
        <v>580000</v>
      </c>
      <c r="H18" s="101"/>
      <c r="I18" s="101"/>
      <c r="J18" s="101">
        <v>500000</v>
      </c>
      <c r="K18" s="101"/>
      <c r="L18" s="101"/>
      <c r="M18" s="111" t="s">
        <v>1048</v>
      </c>
      <c r="N18" s="149" t="s">
        <v>1055</v>
      </c>
      <c r="O18" s="165" t="s">
        <v>1056</v>
      </c>
      <c r="P18" s="152"/>
    </row>
    <row r="19" spans="1:16" s="148" customFormat="1" hidden="1" x14ac:dyDescent="0.25">
      <c r="A19" s="170" t="s">
        <v>1018</v>
      </c>
      <c r="B19" s="403">
        <v>45375</v>
      </c>
      <c r="C19" s="316" t="s">
        <v>1057</v>
      </c>
      <c r="D19" s="300">
        <v>45375</v>
      </c>
      <c r="E19" s="403"/>
      <c r="F19" s="144">
        <v>2750000</v>
      </c>
      <c r="G19" s="101">
        <v>1500000</v>
      </c>
      <c r="H19" s="101">
        <f>F19-G19-J19</f>
        <v>950000</v>
      </c>
      <c r="I19" s="101"/>
      <c r="J19" s="101">
        <v>300000</v>
      </c>
      <c r="K19" s="101"/>
      <c r="L19" s="101"/>
      <c r="M19" s="111" t="s">
        <v>1048</v>
      </c>
      <c r="N19" s="149" t="s">
        <v>1058</v>
      </c>
      <c r="O19" s="165" t="s">
        <v>1059</v>
      </c>
      <c r="P19" s="404"/>
    </row>
    <row r="20" spans="1:16" s="148" customFormat="1" hidden="1" x14ac:dyDescent="0.25">
      <c r="A20" s="170" t="s">
        <v>1019</v>
      </c>
      <c r="B20" s="403">
        <v>45378</v>
      </c>
      <c r="C20" s="316" t="s">
        <v>884</v>
      </c>
      <c r="D20" s="300">
        <v>45379</v>
      </c>
      <c r="E20" s="300"/>
      <c r="F20" s="144">
        <v>2800000</v>
      </c>
      <c r="G20" s="101">
        <f>F20-J20</f>
        <v>2500000</v>
      </c>
      <c r="H20" s="172"/>
      <c r="I20" s="101"/>
      <c r="J20" s="101">
        <v>300000</v>
      </c>
      <c r="K20" s="101"/>
      <c r="L20" s="101"/>
      <c r="M20" s="301" t="s">
        <v>1048</v>
      </c>
      <c r="N20" s="145" t="s">
        <v>1060</v>
      </c>
      <c r="O20" s="165" t="s">
        <v>1061</v>
      </c>
      <c r="P20" s="152"/>
    </row>
    <row r="21" spans="1:16" s="148" customFormat="1" hidden="1" x14ac:dyDescent="0.25">
      <c r="A21" s="170" t="s">
        <v>1020</v>
      </c>
      <c r="B21" s="403">
        <v>45379</v>
      </c>
      <c r="C21" s="392" t="s">
        <v>899</v>
      </c>
      <c r="D21" s="300">
        <v>45383</v>
      </c>
      <c r="E21" s="300"/>
      <c r="F21" s="62">
        <v>7700000</v>
      </c>
      <c r="G21" s="62">
        <v>7400000</v>
      </c>
      <c r="H21" s="408"/>
      <c r="I21" s="404"/>
      <c r="J21" s="62">
        <v>300000</v>
      </c>
      <c r="K21" s="404"/>
      <c r="L21" s="404"/>
      <c r="M21" s="409" t="s">
        <v>1048</v>
      </c>
      <c r="N21" s="404" t="s">
        <v>1062</v>
      </c>
      <c r="O21" s="410" t="s">
        <v>1063</v>
      </c>
      <c r="P21" s="152"/>
    </row>
    <row r="22" spans="1:16" s="148" customFormat="1" hidden="1" x14ac:dyDescent="0.25">
      <c r="A22" s="170" t="s">
        <v>1021</v>
      </c>
      <c r="B22" s="403">
        <v>45379</v>
      </c>
      <c r="C22" s="316" t="s">
        <v>892</v>
      </c>
      <c r="D22" s="300">
        <v>45379</v>
      </c>
      <c r="E22" s="300"/>
      <c r="F22" s="144">
        <v>6200000</v>
      </c>
      <c r="G22" s="101">
        <v>5200000</v>
      </c>
      <c r="H22" s="101"/>
      <c r="I22" s="101"/>
      <c r="J22" s="101">
        <v>1000000</v>
      </c>
      <c r="K22" s="101"/>
      <c r="L22" s="101"/>
      <c r="M22" s="144" t="s">
        <v>1048</v>
      </c>
      <c r="N22" s="145" t="s">
        <v>1064</v>
      </c>
      <c r="O22" s="165" t="s">
        <v>1065</v>
      </c>
      <c r="P22" s="152"/>
    </row>
    <row r="23" spans="1:16" s="148" customFormat="1" hidden="1" x14ac:dyDescent="0.25">
      <c r="A23" s="170" t="s">
        <v>1022</v>
      </c>
      <c r="B23" s="403">
        <v>45380</v>
      </c>
      <c r="C23" s="392" t="s">
        <v>907</v>
      </c>
      <c r="D23" s="300">
        <v>45380</v>
      </c>
      <c r="E23" s="300"/>
      <c r="F23" s="144">
        <v>760000</v>
      </c>
      <c r="G23" s="101">
        <v>460000</v>
      </c>
      <c r="H23" s="101"/>
      <c r="I23" s="101"/>
      <c r="J23" s="101">
        <v>300000</v>
      </c>
      <c r="K23" s="101"/>
      <c r="L23" s="101"/>
      <c r="M23" s="144" t="s">
        <v>1048</v>
      </c>
      <c r="N23" s="145" t="s">
        <v>1066</v>
      </c>
      <c r="O23" s="165" t="s">
        <v>1067</v>
      </c>
      <c r="P23" s="152"/>
    </row>
    <row r="24" spans="1:16" s="148" customFormat="1" hidden="1" x14ac:dyDescent="0.25">
      <c r="A24" s="170" t="s">
        <v>1023</v>
      </c>
      <c r="B24" s="403">
        <v>45380</v>
      </c>
      <c r="C24" s="392" t="s">
        <v>908</v>
      </c>
      <c r="D24" s="300">
        <v>45380</v>
      </c>
      <c r="E24" s="300"/>
      <c r="F24" s="144">
        <v>1760000</v>
      </c>
      <c r="G24" s="101">
        <v>1560000</v>
      </c>
      <c r="H24" s="101"/>
      <c r="I24" s="101"/>
      <c r="J24" s="101">
        <v>200000</v>
      </c>
      <c r="K24" s="101"/>
      <c r="L24" s="101"/>
      <c r="M24" s="144" t="s">
        <v>1048</v>
      </c>
      <c r="N24" s="145" t="s">
        <v>1068</v>
      </c>
      <c r="O24" s="165" t="s">
        <v>1069</v>
      </c>
      <c r="P24" s="152"/>
    </row>
    <row r="25" spans="1:16" s="148" customFormat="1" hidden="1" x14ac:dyDescent="0.25">
      <c r="A25" s="170" t="s">
        <v>1024</v>
      </c>
      <c r="B25" s="403">
        <v>45381</v>
      </c>
      <c r="C25" s="316" t="s">
        <v>915</v>
      </c>
      <c r="D25" s="300">
        <v>45381</v>
      </c>
      <c r="E25" s="300"/>
      <c r="F25" s="144">
        <v>4400000</v>
      </c>
      <c r="G25" s="101">
        <f>F25-J25</f>
        <v>3900000</v>
      </c>
      <c r="H25" s="101"/>
      <c r="I25" s="101"/>
      <c r="J25" s="101">
        <v>500000</v>
      </c>
      <c r="K25" s="101"/>
      <c r="L25" s="101"/>
      <c r="M25" s="144" t="s">
        <v>1048</v>
      </c>
      <c r="N25" s="145" t="s">
        <v>1070</v>
      </c>
      <c r="O25" s="165" t="s">
        <v>1071</v>
      </c>
      <c r="P25" s="155"/>
    </row>
    <row r="26" spans="1:16" s="148" customFormat="1" hidden="1" x14ac:dyDescent="0.25">
      <c r="A26" s="170" t="s">
        <v>1025</v>
      </c>
      <c r="B26" s="403">
        <v>45382</v>
      </c>
      <c r="C26" s="316" t="s">
        <v>918</v>
      </c>
      <c r="D26" s="300">
        <v>45382</v>
      </c>
      <c r="E26" s="300"/>
      <c r="F26" s="89">
        <v>1960000</v>
      </c>
      <c r="G26" s="89">
        <f>F26-J26</f>
        <v>1060000</v>
      </c>
      <c r="H26" s="89"/>
      <c r="I26" s="89"/>
      <c r="J26" s="89">
        <v>900000</v>
      </c>
      <c r="K26" s="89"/>
      <c r="L26" s="89"/>
      <c r="M26" s="411" t="s">
        <v>1048</v>
      </c>
      <c r="N26" s="89" t="s">
        <v>1072</v>
      </c>
      <c r="O26" s="165" t="s">
        <v>1073</v>
      </c>
      <c r="P26" s="152"/>
    </row>
    <row r="27" spans="1:16" hidden="1" x14ac:dyDescent="0.25">
      <c r="A27" s="46" t="s">
        <v>96</v>
      </c>
      <c r="B27" s="160"/>
      <c r="C27" s="107"/>
      <c r="D27" s="412"/>
      <c r="E27" s="412"/>
      <c r="F27" s="6">
        <f t="shared" ref="F27:L27" si="0">SUM(F3:F26)</f>
        <v>167081000</v>
      </c>
      <c r="G27" s="6">
        <f t="shared" si="0"/>
        <v>115986000</v>
      </c>
      <c r="H27" s="423">
        <f t="shared" si="0"/>
        <v>7770000</v>
      </c>
      <c r="I27" s="6">
        <f t="shared" si="0"/>
        <v>0</v>
      </c>
      <c r="J27" s="6">
        <f t="shared" si="0"/>
        <v>13900000</v>
      </c>
      <c r="K27" s="6">
        <f t="shared" si="0"/>
        <v>29425000</v>
      </c>
      <c r="L27" s="6">
        <f t="shared" si="0"/>
        <v>0</v>
      </c>
      <c r="M27" s="383"/>
      <c r="N27" s="420"/>
      <c r="O27" s="421"/>
      <c r="P27" s="422"/>
    </row>
    <row r="29" spans="1:16" x14ac:dyDescent="0.25">
      <c r="D29" s="456" t="s">
        <v>117</v>
      </c>
      <c r="E29" s="477"/>
      <c r="F29" s="37" t="s">
        <v>116</v>
      </c>
      <c r="H29" s="478" t="s">
        <v>145</v>
      </c>
      <c r="I29" s="478"/>
      <c r="J29" s="478"/>
      <c r="K29" s="135"/>
      <c r="L29" s="323">
        <f>J27+K27</f>
        <v>43325000</v>
      </c>
    </row>
    <row r="30" spans="1:16" ht="16.149999999999999" customHeight="1" x14ac:dyDescent="0.25">
      <c r="D30" s="202" t="s">
        <v>212</v>
      </c>
      <c r="E30" s="203">
        <f>F6+F7+F10+F11+F12+F13+F14</f>
        <v>83391000</v>
      </c>
      <c r="F30" s="59">
        <f>E30*1%</f>
        <v>833910</v>
      </c>
      <c r="H30" s="485">
        <f>G27+H27+J27+K27+L27</f>
        <v>167081000</v>
      </c>
      <c r="I30" s="485"/>
      <c r="J30" s="485"/>
      <c r="K30" s="136"/>
    </row>
    <row r="31" spans="1:16" x14ac:dyDescent="0.25">
      <c r="D31" s="202" t="s">
        <v>286</v>
      </c>
      <c r="E31" s="203">
        <f>F15+F17+F18+F19+F20+F21+F22+F23+F24+F25+F26</f>
        <v>34380000</v>
      </c>
      <c r="F31" s="59">
        <f t="shared" ref="F31" si="1">E31*1%</f>
        <v>343800</v>
      </c>
    </row>
    <row r="32" spans="1:16" x14ac:dyDescent="0.25">
      <c r="D32" s="202" t="s">
        <v>285</v>
      </c>
      <c r="E32" s="203">
        <f>F5+F16</f>
        <v>7920000</v>
      </c>
      <c r="F32" s="59">
        <f t="shared" ref="F32:F33" si="2">E32*1%</f>
        <v>79200</v>
      </c>
      <c r="H32" s="478" t="s">
        <v>146</v>
      </c>
      <c r="I32" s="478"/>
      <c r="J32" s="478"/>
    </row>
    <row r="33" spans="4:12" x14ac:dyDescent="0.25">
      <c r="D33" s="202" t="s">
        <v>291</v>
      </c>
      <c r="E33" s="203">
        <f>F4+F8+F9</f>
        <v>10560000</v>
      </c>
      <c r="F33" s="59">
        <f t="shared" si="2"/>
        <v>105600</v>
      </c>
      <c r="H33" s="484">
        <f>J27+K27+L27</f>
        <v>43325000</v>
      </c>
      <c r="I33" s="484"/>
      <c r="J33" s="484"/>
    </row>
    <row r="34" spans="4:12" x14ac:dyDescent="0.25">
      <c r="D34" s="202" t="s">
        <v>1238</v>
      </c>
      <c r="E34" s="144">
        <f>F3</f>
        <v>30830000</v>
      </c>
      <c r="F34" s="59">
        <f>5/100*E34</f>
        <v>1541500</v>
      </c>
    </row>
    <row r="35" spans="4:12" x14ac:dyDescent="0.25">
      <c r="D35" s="202"/>
      <c r="E35" s="144"/>
      <c r="F35" s="59"/>
    </row>
    <row r="36" spans="4:12" x14ac:dyDescent="0.25">
      <c r="D36" s="176" t="s">
        <v>96</v>
      </c>
      <c r="E36" s="204">
        <f>SUM(E30:E35)</f>
        <v>167081000</v>
      </c>
      <c r="F36" s="28">
        <f>SUM(F30:F35)</f>
        <v>2904010</v>
      </c>
      <c r="L36" s="169"/>
    </row>
    <row r="40" spans="4:12" x14ac:dyDescent="0.25">
      <c r="H40" s="134">
        <f>89720000-H27</f>
        <v>81950000</v>
      </c>
    </row>
    <row r="42" spans="4:12" x14ac:dyDescent="0.25">
      <c r="G42" s="134">
        <f>G27-Cashflow!F490</f>
        <v>0</v>
      </c>
    </row>
  </sheetData>
  <autoFilter ref="A1:P27">
    <filterColumn colId="7" showButton="0"/>
    <filterColumn colId="9" showButton="0"/>
    <filterColumn colId="10" showButton="0"/>
    <filterColumn colId="12">
      <filters>
        <filter val="NIKE"/>
      </filters>
    </filterColumn>
  </autoFilter>
  <mergeCells count="17">
    <mergeCell ref="P1:P2"/>
    <mergeCell ref="H33:J33"/>
    <mergeCell ref="H29:J29"/>
    <mergeCell ref="H30:J30"/>
    <mergeCell ref="F1:F2"/>
    <mergeCell ref="O1:O2"/>
    <mergeCell ref="N1:N2"/>
    <mergeCell ref="M1:M2"/>
    <mergeCell ref="H1:I1"/>
    <mergeCell ref="J1:L1"/>
    <mergeCell ref="D29:E29"/>
    <mergeCell ref="H32:J32"/>
    <mergeCell ref="A1:A2"/>
    <mergeCell ref="C1:C2"/>
    <mergeCell ref="D1:D2"/>
    <mergeCell ref="E1:E2"/>
    <mergeCell ref="B1:B2"/>
  </mergeCells>
  <phoneticPr fontId="23" type="noConversion"/>
  <pageMargins left="0" right="0" top="0" bottom="0" header="0" footer="0"/>
  <pageSetup paperSize="9" scale="45"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6"/>
  <sheetViews>
    <sheetView topLeftCell="A142" zoomScale="98" zoomScaleNormal="98" workbookViewId="0">
      <selection activeCell="F158" sqref="F158"/>
    </sheetView>
  </sheetViews>
  <sheetFormatPr defaultRowHeight="15" x14ac:dyDescent="0.25"/>
  <cols>
    <col min="1" max="1" width="11" customWidth="1"/>
    <col min="2" max="2" width="74.42578125" customWidth="1"/>
    <col min="3" max="3" width="15" customWidth="1"/>
    <col min="4" max="4" width="12.5703125" style="56" customWidth="1"/>
    <col min="6" max="6" width="12.85546875" bestFit="1" customWidth="1"/>
    <col min="7" max="7" width="12.5703125" bestFit="1" customWidth="1"/>
    <col min="8" max="8" width="11.5703125" bestFit="1" customWidth="1"/>
  </cols>
  <sheetData>
    <row r="1" spans="1:8" ht="18.75" x14ac:dyDescent="0.3">
      <c r="A1" s="214" t="s">
        <v>328</v>
      </c>
    </row>
    <row r="2" spans="1:8" x14ac:dyDescent="0.25">
      <c r="A2" s="217" t="s">
        <v>249</v>
      </c>
      <c r="B2" s="217"/>
      <c r="C2" s="217" t="s">
        <v>58</v>
      </c>
      <c r="D2" s="287" t="s">
        <v>329</v>
      </c>
      <c r="E2" s="228" t="s">
        <v>59</v>
      </c>
      <c r="F2" s="228" t="s">
        <v>60</v>
      </c>
      <c r="G2" s="228" t="s">
        <v>330</v>
      </c>
    </row>
    <row r="3" spans="1:8" x14ac:dyDescent="0.25">
      <c r="A3" s="99">
        <v>45309</v>
      </c>
      <c r="B3" s="326" t="s">
        <v>295</v>
      </c>
      <c r="C3" s="241">
        <v>1000000</v>
      </c>
      <c r="D3" s="35"/>
      <c r="E3" s="16"/>
      <c r="F3" s="48"/>
      <c r="G3" s="49">
        <f t="shared" ref="G3:G6" si="0">C3-E3-F3</f>
        <v>1000000</v>
      </c>
    </row>
    <row r="4" spans="1:8" x14ac:dyDescent="0.25">
      <c r="A4" s="99">
        <v>45310</v>
      </c>
      <c r="B4" s="326" t="s">
        <v>296</v>
      </c>
      <c r="C4" s="101">
        <v>800000</v>
      </c>
      <c r="D4" s="223" t="s">
        <v>1230</v>
      </c>
      <c r="E4" s="16"/>
      <c r="F4" s="48">
        <v>800000</v>
      </c>
      <c r="G4" s="49">
        <f t="shared" si="0"/>
        <v>0</v>
      </c>
    </row>
    <row r="5" spans="1:8" x14ac:dyDescent="0.25">
      <c r="A5" s="99">
        <v>45313</v>
      </c>
      <c r="B5" s="326" t="s">
        <v>298</v>
      </c>
      <c r="C5" s="101">
        <v>500000</v>
      </c>
      <c r="D5" s="223" t="s">
        <v>1225</v>
      </c>
      <c r="E5" s="16"/>
      <c r="F5" s="48">
        <v>500000</v>
      </c>
      <c r="G5" s="49">
        <f t="shared" si="0"/>
        <v>0</v>
      </c>
    </row>
    <row r="6" spans="1:8" x14ac:dyDescent="0.25">
      <c r="A6" s="99">
        <v>45314</v>
      </c>
      <c r="B6" s="326" t="s">
        <v>299</v>
      </c>
      <c r="C6" s="101">
        <v>1000000</v>
      </c>
      <c r="D6" s="223"/>
      <c r="E6" s="16"/>
      <c r="F6" s="48"/>
      <c r="G6" s="49">
        <f t="shared" si="0"/>
        <v>1000000</v>
      </c>
    </row>
    <row r="7" spans="1:8" x14ac:dyDescent="0.25">
      <c r="A7" s="326"/>
      <c r="B7" s="326" t="s">
        <v>96</v>
      </c>
      <c r="C7" s="49">
        <f>SUM(C3:C6)</f>
        <v>3300000</v>
      </c>
      <c r="D7" s="49">
        <f>SUM(D3:D6)</f>
        <v>0</v>
      </c>
      <c r="E7" s="49">
        <f>SUM(E3:E6)</f>
        <v>0</v>
      </c>
      <c r="F7" s="49">
        <f>SUM(F3:F6)</f>
        <v>1300000</v>
      </c>
      <c r="G7" s="49">
        <f>SUM(G3:G6)</f>
        <v>2000000</v>
      </c>
    </row>
    <row r="8" spans="1:8" x14ac:dyDescent="0.25">
      <c r="A8" s="217" t="s">
        <v>250</v>
      </c>
      <c r="B8" s="217"/>
      <c r="C8" s="217" t="s">
        <v>58</v>
      </c>
      <c r="D8" s="287" t="s">
        <v>329</v>
      </c>
      <c r="E8" s="228" t="s">
        <v>59</v>
      </c>
      <c r="F8" s="228" t="s">
        <v>60</v>
      </c>
      <c r="G8" s="228" t="s">
        <v>330</v>
      </c>
    </row>
    <row r="9" spans="1:8" x14ac:dyDescent="0.25">
      <c r="A9" s="99">
        <v>45294</v>
      </c>
      <c r="B9" s="326" t="s">
        <v>272</v>
      </c>
      <c r="C9" s="101">
        <v>1610000</v>
      </c>
      <c r="D9" s="35"/>
      <c r="E9" s="16"/>
      <c r="F9" s="16"/>
      <c r="G9" s="49">
        <f t="shared" ref="G9:G21" si="1">C9-E9-F9</f>
        <v>1610000</v>
      </c>
      <c r="H9" s="366"/>
    </row>
    <row r="10" spans="1:8" x14ac:dyDescent="0.25">
      <c r="A10" s="99">
        <v>45303</v>
      </c>
      <c r="B10" s="326" t="s">
        <v>287</v>
      </c>
      <c r="C10" s="241">
        <v>1000000</v>
      </c>
      <c r="D10" s="35" t="s">
        <v>1226</v>
      </c>
      <c r="E10" s="16"/>
      <c r="F10" s="16">
        <v>1000000</v>
      </c>
      <c r="G10" s="49">
        <f t="shared" si="1"/>
        <v>0</v>
      </c>
      <c r="H10" s="366"/>
    </row>
    <row r="11" spans="1:8" x14ac:dyDescent="0.25">
      <c r="A11" s="99">
        <v>45304</v>
      </c>
      <c r="B11" s="326" t="s">
        <v>289</v>
      </c>
      <c r="C11" s="241">
        <v>5000000</v>
      </c>
      <c r="D11" s="35"/>
      <c r="E11" s="16"/>
      <c r="F11" s="16"/>
      <c r="G11" s="49">
        <f t="shared" si="1"/>
        <v>5000000</v>
      </c>
      <c r="H11" s="366"/>
    </row>
    <row r="12" spans="1:8" x14ac:dyDescent="0.25">
      <c r="A12" s="99">
        <v>45304</v>
      </c>
      <c r="B12" s="326" t="s">
        <v>288</v>
      </c>
      <c r="C12" s="241">
        <v>1000000</v>
      </c>
      <c r="D12" s="35"/>
      <c r="E12" s="16"/>
      <c r="F12" s="16"/>
      <c r="G12" s="49">
        <f t="shared" si="1"/>
        <v>1000000</v>
      </c>
      <c r="H12" s="366"/>
    </row>
    <row r="13" spans="1:8" x14ac:dyDescent="0.25">
      <c r="A13" s="99">
        <v>45306</v>
      </c>
      <c r="B13" s="326" t="s">
        <v>290</v>
      </c>
      <c r="C13" s="241">
        <v>1000000</v>
      </c>
      <c r="D13" s="35"/>
      <c r="E13" s="16"/>
      <c r="F13" s="16"/>
      <c r="G13" s="49">
        <f t="shared" si="1"/>
        <v>1000000</v>
      </c>
      <c r="H13" s="366"/>
    </row>
    <row r="14" spans="1:8" x14ac:dyDescent="0.25">
      <c r="A14" s="99">
        <v>45307</v>
      </c>
      <c r="B14" s="326" t="s">
        <v>292</v>
      </c>
      <c r="C14" s="101">
        <v>300000</v>
      </c>
      <c r="D14" s="35"/>
      <c r="E14" s="16"/>
      <c r="F14" s="16"/>
      <c r="G14" s="49">
        <f t="shared" si="1"/>
        <v>300000</v>
      </c>
      <c r="H14" s="366"/>
    </row>
    <row r="15" spans="1:8" x14ac:dyDescent="0.25">
      <c r="A15" s="99">
        <v>45308</v>
      </c>
      <c r="B15" s="326" t="s">
        <v>293</v>
      </c>
      <c r="C15" s="101">
        <v>3000000</v>
      </c>
      <c r="D15" s="35"/>
      <c r="E15" s="16"/>
      <c r="F15" s="16"/>
      <c r="G15" s="49">
        <f t="shared" si="1"/>
        <v>3000000</v>
      </c>
      <c r="H15" s="366"/>
    </row>
    <row r="16" spans="1:8" x14ac:dyDescent="0.25">
      <c r="A16" s="99">
        <v>45314</v>
      </c>
      <c r="B16" s="326" t="s">
        <v>302</v>
      </c>
      <c r="C16" s="101">
        <v>1000000</v>
      </c>
      <c r="D16" s="35"/>
      <c r="E16" s="16"/>
      <c r="F16" s="16"/>
      <c r="G16" s="49">
        <f t="shared" si="1"/>
        <v>1000000</v>
      </c>
      <c r="H16" s="366"/>
    </row>
    <row r="17" spans="1:8" x14ac:dyDescent="0.25">
      <c r="A17" s="99">
        <v>45314</v>
      </c>
      <c r="B17" s="326" t="s">
        <v>300</v>
      </c>
      <c r="C17" s="101">
        <v>1000000</v>
      </c>
      <c r="D17" s="35"/>
      <c r="E17" s="16"/>
      <c r="F17" s="16"/>
      <c r="G17" s="49">
        <f t="shared" si="1"/>
        <v>1000000</v>
      </c>
      <c r="H17" s="366"/>
    </row>
    <row r="18" spans="1:8" x14ac:dyDescent="0.25">
      <c r="A18" s="99">
        <v>45314</v>
      </c>
      <c r="B18" s="326" t="s">
        <v>301</v>
      </c>
      <c r="C18" s="101">
        <v>1000000</v>
      </c>
      <c r="D18" s="35"/>
      <c r="E18" s="16"/>
      <c r="F18" s="16"/>
      <c r="G18" s="49">
        <f t="shared" si="1"/>
        <v>1000000</v>
      </c>
      <c r="H18" s="366"/>
    </row>
    <row r="19" spans="1:8" x14ac:dyDescent="0.25">
      <c r="A19" s="99">
        <v>45316</v>
      </c>
      <c r="B19" s="326" t="s">
        <v>305</v>
      </c>
      <c r="C19" s="101">
        <v>1000000</v>
      </c>
      <c r="D19" s="35"/>
      <c r="E19" s="16"/>
      <c r="F19" s="16"/>
      <c r="G19" s="49">
        <f t="shared" si="1"/>
        <v>1000000</v>
      </c>
      <c r="H19" s="366"/>
    </row>
    <row r="20" spans="1:8" x14ac:dyDescent="0.25">
      <c r="A20" s="99">
        <v>45318</v>
      </c>
      <c r="B20" s="326" t="s">
        <v>331</v>
      </c>
      <c r="C20" s="101">
        <v>500000</v>
      </c>
      <c r="D20" s="107"/>
      <c r="E20" s="326"/>
      <c r="F20" s="326"/>
      <c r="G20" s="49">
        <f t="shared" si="1"/>
        <v>500000</v>
      </c>
      <c r="H20" s="366"/>
    </row>
    <row r="21" spans="1:8" x14ac:dyDescent="0.25">
      <c r="A21" s="99">
        <v>45321</v>
      </c>
      <c r="B21" s="326" t="s">
        <v>332</v>
      </c>
      <c r="C21" s="64">
        <v>2000000</v>
      </c>
      <c r="D21" s="107"/>
      <c r="E21" s="326"/>
      <c r="F21" s="326"/>
      <c r="G21" s="49">
        <f t="shared" si="1"/>
        <v>2000000</v>
      </c>
      <c r="H21" s="366"/>
    </row>
    <row r="22" spans="1:8" x14ac:dyDescent="0.25">
      <c r="B22" t="s">
        <v>333</v>
      </c>
      <c r="C22" s="166">
        <f>SUM(C9:C21)</f>
        <v>19410000</v>
      </c>
      <c r="D22" s="166"/>
      <c r="E22" s="166">
        <f>SUM(E9:E21)</f>
        <v>0</v>
      </c>
      <c r="F22" s="166">
        <f>SUM(F9:F21)</f>
        <v>1000000</v>
      </c>
      <c r="G22" s="166">
        <f>SUM(G9:G21)</f>
        <v>18410000</v>
      </c>
      <c r="H22" s="19"/>
    </row>
    <row r="23" spans="1:8" x14ac:dyDescent="0.25">
      <c r="B23" t="s">
        <v>585</v>
      </c>
      <c r="C23" s="166">
        <f>C7+C22</f>
        <v>22710000</v>
      </c>
      <c r="D23" s="166">
        <f>D7+D22</f>
        <v>0</v>
      </c>
      <c r="E23" s="166">
        <f>E7+E22</f>
        <v>0</v>
      </c>
      <c r="F23" s="166">
        <f>F7+F22</f>
        <v>2300000</v>
      </c>
      <c r="G23" s="166">
        <f>G7+G22</f>
        <v>20410000</v>
      </c>
      <c r="H23" s="19"/>
    </row>
    <row r="24" spans="1:8" x14ac:dyDescent="0.25">
      <c r="A24" s="217" t="s">
        <v>537</v>
      </c>
      <c r="B24" s="217"/>
      <c r="C24" s="217" t="s">
        <v>58</v>
      </c>
      <c r="D24" s="287" t="s">
        <v>329</v>
      </c>
      <c r="E24" s="228" t="s">
        <v>59</v>
      </c>
      <c r="F24" s="228" t="s">
        <v>60</v>
      </c>
      <c r="G24" s="228" t="s">
        <v>330</v>
      </c>
      <c r="H24" s="19"/>
    </row>
    <row r="25" spans="1:8" x14ac:dyDescent="0.25">
      <c r="A25" s="99">
        <v>45324</v>
      </c>
      <c r="B25" s="326" t="s">
        <v>538</v>
      </c>
      <c r="C25" s="101">
        <v>500000</v>
      </c>
      <c r="D25" s="288"/>
      <c r="E25" s="231"/>
      <c r="F25" s="231"/>
      <c r="G25" s="49">
        <f t="shared" ref="G25:G27" si="2">C25-E25-F25</f>
        <v>500000</v>
      </c>
      <c r="H25" s="19"/>
    </row>
    <row r="26" spans="1:8" x14ac:dyDescent="0.25">
      <c r="A26" s="99">
        <v>45338</v>
      </c>
      <c r="B26" s="50" t="s">
        <v>539</v>
      </c>
      <c r="C26" s="101">
        <v>500000</v>
      </c>
      <c r="D26" s="241"/>
      <c r="E26" s="241"/>
      <c r="F26" s="241"/>
      <c r="G26" s="49">
        <f t="shared" si="2"/>
        <v>500000</v>
      </c>
      <c r="H26" s="19"/>
    </row>
    <row r="27" spans="1:8" x14ac:dyDescent="0.25">
      <c r="A27" s="99">
        <v>45345</v>
      </c>
      <c r="B27" s="50" t="s">
        <v>540</v>
      </c>
      <c r="C27" s="101">
        <v>500000</v>
      </c>
      <c r="D27" s="241" t="s">
        <v>1227</v>
      </c>
      <c r="E27" s="241"/>
      <c r="F27" s="241">
        <v>500000</v>
      </c>
      <c r="G27" s="49">
        <f t="shared" si="2"/>
        <v>0</v>
      </c>
      <c r="H27" s="19"/>
    </row>
    <row r="28" spans="1:8" x14ac:dyDescent="0.25">
      <c r="B28" s="289"/>
      <c r="C28" s="158">
        <f>SUM(C25:C27)</f>
        <v>1500000</v>
      </c>
      <c r="D28" s="158">
        <f t="shared" ref="D28:G28" si="3">SUM(D25:D27)</f>
        <v>0</v>
      </c>
      <c r="E28" s="158">
        <f t="shared" si="3"/>
        <v>0</v>
      </c>
      <c r="F28" s="158">
        <f t="shared" si="3"/>
        <v>500000</v>
      </c>
      <c r="G28" s="158">
        <f t="shared" si="3"/>
        <v>1000000</v>
      </c>
      <c r="H28" s="19"/>
    </row>
    <row r="29" spans="1:8" x14ac:dyDescent="0.25">
      <c r="A29" s="217" t="s">
        <v>541</v>
      </c>
      <c r="B29" s="217"/>
      <c r="C29" s="217" t="s">
        <v>58</v>
      </c>
      <c r="D29" s="287" t="s">
        <v>329</v>
      </c>
      <c r="E29" s="228" t="s">
        <v>59</v>
      </c>
      <c r="F29" s="228" t="s">
        <v>60</v>
      </c>
      <c r="G29" s="228" t="s">
        <v>330</v>
      </c>
      <c r="H29" s="19"/>
    </row>
    <row r="30" spans="1:8" x14ac:dyDescent="0.25">
      <c r="A30" s="99">
        <v>45325</v>
      </c>
      <c r="B30" s="326" t="s">
        <v>542</v>
      </c>
      <c r="C30" s="101">
        <v>1000000</v>
      </c>
      <c r="D30" s="241"/>
      <c r="E30" s="241"/>
      <c r="F30" s="241"/>
      <c r="G30" s="49">
        <f t="shared" ref="G30:G43" si="4">C30-E30-F30</f>
        <v>1000000</v>
      </c>
      <c r="H30" s="19"/>
    </row>
    <row r="31" spans="1:8" x14ac:dyDescent="0.25">
      <c r="A31" s="99">
        <v>45325</v>
      </c>
      <c r="B31" s="326" t="s">
        <v>543</v>
      </c>
      <c r="C31" s="101">
        <v>3000000</v>
      </c>
      <c r="D31" s="241"/>
      <c r="E31" s="241"/>
      <c r="F31" s="241"/>
      <c r="G31" s="49">
        <f t="shared" si="4"/>
        <v>3000000</v>
      </c>
      <c r="H31" s="19"/>
    </row>
    <row r="32" spans="1:8" x14ac:dyDescent="0.25">
      <c r="A32" s="99">
        <v>45328</v>
      </c>
      <c r="B32" s="326" t="s">
        <v>544</v>
      </c>
      <c r="C32" s="101">
        <v>2000000</v>
      </c>
      <c r="D32" s="241"/>
      <c r="E32" s="241"/>
      <c r="F32" s="241"/>
      <c r="G32" s="49">
        <f t="shared" si="4"/>
        <v>2000000</v>
      </c>
      <c r="H32" s="19"/>
    </row>
    <row r="33" spans="1:8" x14ac:dyDescent="0.25">
      <c r="A33" s="99">
        <v>45331</v>
      </c>
      <c r="B33" s="50" t="s">
        <v>545</v>
      </c>
      <c r="C33" s="101">
        <v>1000000</v>
      </c>
      <c r="D33" s="241"/>
      <c r="E33" s="241"/>
      <c r="F33" s="241"/>
      <c r="G33" s="49">
        <f t="shared" si="4"/>
        <v>1000000</v>
      </c>
      <c r="H33" s="19"/>
    </row>
    <row r="34" spans="1:8" x14ac:dyDescent="0.25">
      <c r="A34" s="99">
        <v>45335</v>
      </c>
      <c r="B34" s="386" t="s">
        <v>546</v>
      </c>
      <c r="C34" s="101">
        <v>500000</v>
      </c>
      <c r="D34" s="385" t="s">
        <v>1237</v>
      </c>
      <c r="E34" s="386"/>
      <c r="F34" s="16">
        <v>500000</v>
      </c>
      <c r="G34" s="49">
        <f t="shared" si="4"/>
        <v>0</v>
      </c>
      <c r="H34" s="19"/>
    </row>
    <row r="35" spans="1:8" x14ac:dyDescent="0.25">
      <c r="A35" s="99">
        <v>45341</v>
      </c>
      <c r="B35" s="326" t="s">
        <v>547</v>
      </c>
      <c r="C35" s="101">
        <v>850000</v>
      </c>
      <c r="D35" s="241"/>
      <c r="E35" s="241"/>
      <c r="F35" s="241"/>
      <c r="G35" s="49">
        <f t="shared" si="4"/>
        <v>850000</v>
      </c>
      <c r="H35" s="19"/>
    </row>
    <row r="36" spans="1:8" x14ac:dyDescent="0.25">
      <c r="A36" s="99">
        <v>45344</v>
      </c>
      <c r="B36" s="50" t="s">
        <v>548</v>
      </c>
      <c r="C36" s="101">
        <v>1000000</v>
      </c>
      <c r="D36" s="241" t="s">
        <v>1228</v>
      </c>
      <c r="E36" s="241"/>
      <c r="F36" s="241">
        <v>1000000</v>
      </c>
      <c r="G36" s="49">
        <f t="shared" si="4"/>
        <v>0</v>
      </c>
      <c r="H36" s="19"/>
    </row>
    <row r="37" spans="1:8" x14ac:dyDescent="0.25">
      <c r="A37" s="290">
        <v>45345</v>
      </c>
      <c r="B37" s="326" t="s">
        <v>549</v>
      </c>
      <c r="C37" s="291">
        <v>500000</v>
      </c>
      <c r="D37" s="292" t="s">
        <v>1224</v>
      </c>
      <c r="E37" s="292"/>
      <c r="F37" s="292">
        <v>500000</v>
      </c>
      <c r="G37" s="49">
        <f t="shared" si="4"/>
        <v>0</v>
      </c>
      <c r="H37" s="19"/>
    </row>
    <row r="38" spans="1:8" x14ac:dyDescent="0.25">
      <c r="A38" s="99">
        <v>45345</v>
      </c>
      <c r="B38" s="326" t="s">
        <v>550</v>
      </c>
      <c r="C38" s="101">
        <v>500000</v>
      </c>
      <c r="D38" s="241"/>
      <c r="E38" s="241"/>
      <c r="F38" s="241"/>
      <c r="G38" s="49">
        <f t="shared" si="4"/>
        <v>500000</v>
      </c>
      <c r="H38" s="19"/>
    </row>
    <row r="39" spans="1:8" ht="30" x14ac:dyDescent="0.25">
      <c r="A39" s="99">
        <v>45346</v>
      </c>
      <c r="B39" s="50" t="s">
        <v>551</v>
      </c>
      <c r="C39" s="101">
        <v>500000</v>
      </c>
      <c r="D39" s="241" t="s">
        <v>1231</v>
      </c>
      <c r="E39" s="241"/>
      <c r="F39" s="241">
        <v>500000</v>
      </c>
      <c r="G39" s="49">
        <f t="shared" si="4"/>
        <v>0</v>
      </c>
      <c r="H39" s="19"/>
    </row>
    <row r="40" spans="1:8" x14ac:dyDescent="0.25">
      <c r="A40" s="99">
        <v>45346</v>
      </c>
      <c r="B40" s="50" t="s">
        <v>552</v>
      </c>
      <c r="C40" s="101">
        <v>2000000</v>
      </c>
      <c r="D40" s="241"/>
      <c r="E40" s="241"/>
      <c r="F40" s="241"/>
      <c r="G40" s="49">
        <f t="shared" si="4"/>
        <v>2000000</v>
      </c>
      <c r="H40" s="19"/>
    </row>
    <row r="41" spans="1:8" x14ac:dyDescent="0.25">
      <c r="A41" s="99">
        <v>45348</v>
      </c>
      <c r="B41" s="326" t="s">
        <v>553</v>
      </c>
      <c r="C41" s="101">
        <v>1000000</v>
      </c>
      <c r="D41" s="101"/>
      <c r="E41" s="101"/>
      <c r="F41" s="101"/>
      <c r="G41" s="49">
        <f t="shared" si="4"/>
        <v>1000000</v>
      </c>
      <c r="H41" s="19"/>
    </row>
    <row r="42" spans="1:8" x14ac:dyDescent="0.25">
      <c r="A42" s="99">
        <v>45351</v>
      </c>
      <c r="B42" s="302" t="s">
        <v>568</v>
      </c>
      <c r="C42" s="101">
        <v>500000</v>
      </c>
      <c r="D42" s="101" t="s">
        <v>1217</v>
      </c>
      <c r="E42" s="101"/>
      <c r="F42" s="101">
        <v>500000</v>
      </c>
      <c r="G42" s="49">
        <f t="shared" si="4"/>
        <v>0</v>
      </c>
      <c r="H42" s="19"/>
    </row>
    <row r="43" spans="1:8" x14ac:dyDescent="0.25">
      <c r="A43" s="99">
        <v>45351</v>
      </c>
      <c r="B43" s="316" t="s">
        <v>579</v>
      </c>
      <c r="C43" s="236">
        <v>28925000</v>
      </c>
      <c r="D43" s="101" t="s">
        <v>1229</v>
      </c>
      <c r="E43" s="101"/>
      <c r="F43" s="101">
        <v>28925000</v>
      </c>
      <c r="G43" s="49">
        <f t="shared" si="4"/>
        <v>0</v>
      </c>
      <c r="H43" s="19"/>
    </row>
    <row r="44" spans="1:8" x14ac:dyDescent="0.25">
      <c r="B44" s="322" t="s">
        <v>584</v>
      </c>
      <c r="C44" s="430">
        <f>SUM(C30:C43)</f>
        <v>43275000</v>
      </c>
      <c r="D44" s="166">
        <f>SUM(D30:D43)</f>
        <v>0</v>
      </c>
      <c r="E44" s="166">
        <f>SUM(E30:E43)</f>
        <v>0</v>
      </c>
      <c r="F44" s="166">
        <f>SUM(F30:F43)</f>
        <v>31925000</v>
      </c>
      <c r="G44" s="166">
        <f>SUM(G30:G43)</f>
        <v>11350000</v>
      </c>
    </row>
    <row r="45" spans="1:8" x14ac:dyDescent="0.25">
      <c r="B45" s="360"/>
      <c r="C45" s="166"/>
      <c r="D45" s="166"/>
      <c r="E45" s="166"/>
      <c r="F45" s="166"/>
      <c r="G45" s="166"/>
    </row>
    <row r="46" spans="1:8" x14ac:dyDescent="0.25">
      <c r="A46" s="217" t="s">
        <v>1211</v>
      </c>
      <c r="B46" s="217"/>
      <c r="C46" s="217" t="s">
        <v>58</v>
      </c>
      <c r="D46" s="287" t="s">
        <v>329</v>
      </c>
      <c r="E46" s="228" t="s">
        <v>59</v>
      </c>
      <c r="F46" s="228" t="s">
        <v>60</v>
      </c>
      <c r="G46" s="228" t="s">
        <v>330</v>
      </c>
      <c r="H46" s="19"/>
    </row>
    <row r="47" spans="1:8" s="279" customFormat="1" x14ac:dyDescent="0.25">
      <c r="A47" s="390">
        <v>45352</v>
      </c>
      <c r="B47" s="50" t="s">
        <v>1096</v>
      </c>
      <c r="C47" s="64">
        <v>500000</v>
      </c>
      <c r="D47" s="241" t="s">
        <v>1213</v>
      </c>
      <c r="E47" s="241"/>
      <c r="F47" s="241">
        <v>500000</v>
      </c>
      <c r="G47" s="101">
        <f t="shared" ref="G47:G56" si="5">C47-E47-F47</f>
        <v>0</v>
      </c>
      <c r="H47" s="417"/>
    </row>
    <row r="48" spans="1:8" s="279" customFormat="1" x14ac:dyDescent="0.25">
      <c r="A48" s="99">
        <v>45355</v>
      </c>
      <c r="B48" s="50" t="s">
        <v>1111</v>
      </c>
      <c r="C48" s="101">
        <v>300000</v>
      </c>
      <c r="D48" s="241"/>
      <c r="E48" s="241"/>
      <c r="F48" s="241"/>
      <c r="G48" s="101">
        <f t="shared" si="5"/>
        <v>300000</v>
      </c>
      <c r="H48" s="417"/>
    </row>
    <row r="49" spans="1:8" s="279" customFormat="1" x14ac:dyDescent="0.25">
      <c r="A49" s="390">
        <v>45361</v>
      </c>
      <c r="B49" s="50" t="s">
        <v>728</v>
      </c>
      <c r="C49" s="101">
        <v>500000</v>
      </c>
      <c r="D49" s="241" t="s">
        <v>1214</v>
      </c>
      <c r="E49" s="241"/>
      <c r="F49" s="241">
        <v>500000</v>
      </c>
      <c r="G49" s="101">
        <f t="shared" si="5"/>
        <v>0</v>
      </c>
      <c r="H49" s="417"/>
    </row>
    <row r="50" spans="1:8" s="279" customFormat="1" x14ac:dyDescent="0.25">
      <c r="A50" s="413">
        <v>45357</v>
      </c>
      <c r="B50" s="426" t="s">
        <v>1125</v>
      </c>
      <c r="C50" s="101">
        <v>2000000</v>
      </c>
      <c r="D50" s="101"/>
      <c r="E50" s="101"/>
      <c r="F50" s="101"/>
      <c r="G50" s="101">
        <f>C50-E50-F50</f>
        <v>2000000</v>
      </c>
      <c r="H50" s="417"/>
    </row>
    <row r="51" spans="1:8" s="279" customFormat="1" x14ac:dyDescent="0.25">
      <c r="A51" s="390">
        <v>45365</v>
      </c>
      <c r="B51" s="427" t="s">
        <v>1219</v>
      </c>
      <c r="C51" s="101">
        <v>1000000</v>
      </c>
      <c r="D51" s="36"/>
      <c r="E51" s="36"/>
      <c r="F51" s="36"/>
      <c r="G51" s="101">
        <f>C51-E51-F51</f>
        <v>1000000</v>
      </c>
      <c r="H51" s="417"/>
    </row>
    <row r="52" spans="1:8" s="279" customFormat="1" x14ac:dyDescent="0.25">
      <c r="A52" s="390">
        <v>45369</v>
      </c>
      <c r="B52" s="428" t="s">
        <v>1159</v>
      </c>
      <c r="C52" s="101">
        <v>310000</v>
      </c>
      <c r="D52" s="36"/>
      <c r="E52" s="36"/>
      <c r="F52" s="36"/>
      <c r="G52" s="101">
        <v>310000</v>
      </c>
      <c r="H52" s="417"/>
    </row>
    <row r="53" spans="1:8" s="279" customFormat="1" x14ac:dyDescent="0.25">
      <c r="A53" s="390">
        <v>45370</v>
      </c>
      <c r="B53" s="429" t="s">
        <v>1163</v>
      </c>
      <c r="C53" s="101">
        <v>300000</v>
      </c>
      <c r="D53" s="36" t="s">
        <v>1233</v>
      </c>
      <c r="E53" s="36"/>
      <c r="F53" s="36">
        <v>300000</v>
      </c>
      <c r="G53" s="101">
        <v>0</v>
      </c>
      <c r="H53" s="417"/>
    </row>
    <row r="54" spans="1:8" s="279" customFormat="1" x14ac:dyDescent="0.25">
      <c r="A54" s="390">
        <v>45373</v>
      </c>
      <c r="B54" s="427" t="s">
        <v>1168</v>
      </c>
      <c r="C54" s="101">
        <v>300000</v>
      </c>
      <c r="D54" s="36" t="s">
        <v>1232</v>
      </c>
      <c r="E54" s="36"/>
      <c r="F54" s="36">
        <v>300000</v>
      </c>
      <c r="G54" s="101">
        <v>0</v>
      </c>
      <c r="H54" s="417"/>
    </row>
    <row r="55" spans="1:8" s="279" customFormat="1" x14ac:dyDescent="0.25">
      <c r="A55" s="390">
        <v>45374</v>
      </c>
      <c r="B55" s="428" t="s">
        <v>1176</v>
      </c>
      <c r="C55" s="101">
        <v>200000</v>
      </c>
      <c r="D55" s="36" t="s">
        <v>1235</v>
      </c>
      <c r="E55" s="36"/>
      <c r="F55" s="36">
        <v>200000</v>
      </c>
      <c r="G55" s="101">
        <v>0</v>
      </c>
      <c r="H55" s="417"/>
    </row>
    <row r="56" spans="1:8" s="279" customFormat="1" x14ac:dyDescent="0.25">
      <c r="A56" s="390">
        <v>45379</v>
      </c>
      <c r="B56" s="316" t="s">
        <v>1198</v>
      </c>
      <c r="C56" s="101">
        <v>900000</v>
      </c>
      <c r="D56" s="241" t="s">
        <v>1215</v>
      </c>
      <c r="E56" s="241"/>
      <c r="F56" s="241">
        <v>900000</v>
      </c>
      <c r="G56" s="101">
        <f t="shared" si="5"/>
        <v>0</v>
      </c>
      <c r="H56" s="417"/>
    </row>
    <row r="57" spans="1:8" s="279" customFormat="1" x14ac:dyDescent="0.25">
      <c r="A57" s="416"/>
      <c r="B57" s="416"/>
      <c r="C57" s="425">
        <f>SUM(C47:C56)</f>
        <v>6310000</v>
      </c>
      <c r="D57" s="425">
        <f t="shared" ref="D57:G57" si="6">SUM(D47:D56)</f>
        <v>0</v>
      </c>
      <c r="E57" s="425">
        <f t="shared" si="6"/>
        <v>0</v>
      </c>
      <c r="F57" s="425">
        <f t="shared" si="6"/>
        <v>2700000</v>
      </c>
      <c r="G57" s="425">
        <f t="shared" si="6"/>
        <v>3610000</v>
      </c>
      <c r="H57" s="417"/>
    </row>
    <row r="58" spans="1:8" x14ac:dyDescent="0.25">
      <c r="A58" s="217" t="s">
        <v>1212</v>
      </c>
      <c r="B58" s="217"/>
      <c r="C58" s="217" t="s">
        <v>58</v>
      </c>
      <c r="D58" s="287" t="s">
        <v>329</v>
      </c>
      <c r="E58" s="228" t="s">
        <v>59</v>
      </c>
      <c r="F58" s="228" t="s">
        <v>60</v>
      </c>
      <c r="G58" s="228" t="s">
        <v>330</v>
      </c>
      <c r="H58" s="19"/>
    </row>
    <row r="59" spans="1:8" x14ac:dyDescent="0.25">
      <c r="A59" s="390">
        <v>45353</v>
      </c>
      <c r="B59" s="50" t="s">
        <v>1074</v>
      </c>
      <c r="C59" s="64">
        <v>1000000</v>
      </c>
      <c r="D59" s="241"/>
      <c r="E59" s="241"/>
      <c r="F59" s="241"/>
      <c r="G59" s="101">
        <f t="shared" ref="G59:G82" si="7">C59-E59-F59</f>
        <v>1000000</v>
      </c>
    </row>
    <row r="60" spans="1:8" x14ac:dyDescent="0.25">
      <c r="A60" s="390">
        <v>45353</v>
      </c>
      <c r="B60" s="50" t="s">
        <v>1075</v>
      </c>
      <c r="C60" s="64">
        <v>1000000</v>
      </c>
      <c r="D60" s="241" t="s">
        <v>1216</v>
      </c>
      <c r="E60" s="241"/>
      <c r="F60" s="241">
        <v>1000000</v>
      </c>
      <c r="G60" s="101">
        <f t="shared" si="7"/>
        <v>0</v>
      </c>
    </row>
    <row r="61" spans="1:8" x14ac:dyDescent="0.25">
      <c r="A61" s="390">
        <v>45355</v>
      </c>
      <c r="B61" s="302" t="s">
        <v>1076</v>
      </c>
      <c r="C61" s="101">
        <v>10000000</v>
      </c>
      <c r="D61" s="241"/>
      <c r="E61" s="241"/>
      <c r="F61" s="241"/>
      <c r="G61" s="101">
        <f t="shared" si="7"/>
        <v>10000000</v>
      </c>
    </row>
    <row r="62" spans="1:8" x14ac:dyDescent="0.25">
      <c r="A62" s="390">
        <v>45355</v>
      </c>
      <c r="B62" s="302" t="s">
        <v>1111</v>
      </c>
      <c r="C62" s="101">
        <v>300000</v>
      </c>
      <c r="D62" s="241"/>
      <c r="E62" s="241"/>
      <c r="F62" s="241"/>
      <c r="G62" s="101">
        <f t="shared" si="7"/>
        <v>300000</v>
      </c>
    </row>
    <row r="63" spans="1:8" x14ac:dyDescent="0.25">
      <c r="A63" s="390">
        <v>45355</v>
      </c>
      <c r="B63" s="302" t="s">
        <v>642</v>
      </c>
      <c r="C63" s="101">
        <v>500000</v>
      </c>
      <c r="D63" s="241" t="s">
        <v>1217</v>
      </c>
      <c r="E63" s="241"/>
      <c r="F63" s="241">
        <v>500000</v>
      </c>
      <c r="G63" s="101">
        <f t="shared" si="7"/>
        <v>0</v>
      </c>
    </row>
    <row r="64" spans="1:8" x14ac:dyDescent="0.25">
      <c r="A64" s="390">
        <v>45357</v>
      </c>
      <c r="B64" s="302" t="s">
        <v>1077</v>
      </c>
      <c r="C64" s="101">
        <v>1000000</v>
      </c>
      <c r="D64" s="241"/>
      <c r="E64" s="241"/>
      <c r="F64" s="241"/>
      <c r="G64" s="101">
        <f t="shared" si="7"/>
        <v>1000000</v>
      </c>
    </row>
    <row r="65" spans="1:7" x14ac:dyDescent="0.25">
      <c r="A65" s="390">
        <v>45358</v>
      </c>
      <c r="B65" s="418" t="s">
        <v>1078</v>
      </c>
      <c r="C65" s="101">
        <v>1000000</v>
      </c>
      <c r="D65" s="241"/>
      <c r="E65" s="241"/>
      <c r="F65" s="241"/>
      <c r="G65" s="101">
        <f t="shared" si="7"/>
        <v>1000000</v>
      </c>
    </row>
    <row r="66" spans="1:7" x14ac:dyDescent="0.25">
      <c r="A66" s="390">
        <v>45360</v>
      </c>
      <c r="B66" s="302" t="s">
        <v>1079</v>
      </c>
      <c r="C66" s="101">
        <v>1000000</v>
      </c>
      <c r="D66" s="241"/>
      <c r="E66" s="241"/>
      <c r="F66" s="241"/>
      <c r="G66" s="101">
        <f t="shared" si="7"/>
        <v>1000000</v>
      </c>
    </row>
    <row r="67" spans="1:7" x14ac:dyDescent="0.25">
      <c r="A67" s="390">
        <v>45363</v>
      </c>
      <c r="B67" s="50" t="s">
        <v>1080</v>
      </c>
      <c r="C67" s="101">
        <v>300000</v>
      </c>
      <c r="D67" s="241" t="s">
        <v>1218</v>
      </c>
      <c r="E67" s="241"/>
      <c r="F67" s="241">
        <v>300000</v>
      </c>
      <c r="G67" s="101">
        <f t="shared" si="7"/>
        <v>0</v>
      </c>
    </row>
    <row r="68" spans="1:7" x14ac:dyDescent="0.25">
      <c r="A68" s="390">
        <v>45366</v>
      </c>
      <c r="B68" s="50" t="s">
        <v>1081</v>
      </c>
      <c r="C68" s="101">
        <v>500000</v>
      </c>
      <c r="D68" s="241"/>
      <c r="E68" s="241"/>
      <c r="F68" s="241"/>
      <c r="G68" s="101">
        <f t="shared" si="7"/>
        <v>500000</v>
      </c>
    </row>
    <row r="69" spans="1:7" x14ac:dyDescent="0.25">
      <c r="A69" s="390">
        <v>45367</v>
      </c>
      <c r="B69" s="418" t="s">
        <v>1083</v>
      </c>
      <c r="C69" s="101">
        <v>300000</v>
      </c>
      <c r="D69" s="241" t="s">
        <v>1220</v>
      </c>
      <c r="E69" s="241"/>
      <c r="F69" s="241">
        <v>300000</v>
      </c>
      <c r="G69" s="101">
        <f t="shared" si="7"/>
        <v>0</v>
      </c>
    </row>
    <row r="70" spans="1:7" x14ac:dyDescent="0.25">
      <c r="A70" s="390">
        <v>45369</v>
      </c>
      <c r="B70" s="316" t="s">
        <v>1084</v>
      </c>
      <c r="C70" s="101">
        <v>500000</v>
      </c>
      <c r="D70" s="241"/>
      <c r="E70" s="241"/>
      <c r="F70" s="241"/>
      <c r="G70" s="101">
        <f t="shared" si="7"/>
        <v>500000</v>
      </c>
    </row>
    <row r="71" spans="1:7" x14ac:dyDescent="0.25">
      <c r="A71" s="390">
        <v>45370</v>
      </c>
      <c r="B71" s="302" t="s">
        <v>1085</v>
      </c>
      <c r="C71" s="101">
        <v>2000000</v>
      </c>
      <c r="D71" s="241"/>
      <c r="E71" s="241"/>
      <c r="F71" s="241"/>
      <c r="G71" s="101">
        <f t="shared" si="7"/>
        <v>2000000</v>
      </c>
    </row>
    <row r="72" spans="1:7" x14ac:dyDescent="0.25">
      <c r="A72" s="390">
        <v>45372</v>
      </c>
      <c r="B72" s="385" t="s">
        <v>1086</v>
      </c>
      <c r="C72" s="101">
        <v>500000</v>
      </c>
      <c r="D72" s="241"/>
      <c r="E72" s="241"/>
      <c r="F72" s="241"/>
      <c r="G72" s="101">
        <f t="shared" si="7"/>
        <v>500000</v>
      </c>
    </row>
    <row r="73" spans="1:7" x14ac:dyDescent="0.25">
      <c r="A73" s="390">
        <v>45373</v>
      </c>
      <c r="B73" s="50" t="s">
        <v>1087</v>
      </c>
      <c r="C73" s="101">
        <v>500000</v>
      </c>
      <c r="D73" s="241" t="s">
        <v>1236</v>
      </c>
      <c r="E73" s="241"/>
      <c r="F73" s="241">
        <v>500000</v>
      </c>
      <c r="G73" s="101">
        <f t="shared" si="7"/>
        <v>0</v>
      </c>
    </row>
    <row r="74" spans="1:7" x14ac:dyDescent="0.25">
      <c r="A74" s="390">
        <v>45373</v>
      </c>
      <c r="B74" s="391" t="s">
        <v>1088</v>
      </c>
      <c r="C74" s="101">
        <v>1000000</v>
      </c>
      <c r="D74" s="241" t="s">
        <v>1234</v>
      </c>
      <c r="E74" s="241"/>
      <c r="F74" s="241">
        <v>1000000</v>
      </c>
      <c r="G74" s="101">
        <f t="shared" si="7"/>
        <v>0</v>
      </c>
    </row>
    <row r="75" spans="1:7" x14ac:dyDescent="0.25">
      <c r="A75" s="390">
        <v>45374</v>
      </c>
      <c r="B75" s="316" t="s">
        <v>1089</v>
      </c>
      <c r="C75" s="101">
        <v>1000000</v>
      </c>
      <c r="D75" s="241"/>
      <c r="E75" s="241"/>
      <c r="F75" s="241"/>
      <c r="G75" s="101">
        <f t="shared" si="7"/>
        <v>1000000</v>
      </c>
    </row>
    <row r="76" spans="1:7" x14ac:dyDescent="0.25">
      <c r="A76" s="390">
        <v>45374</v>
      </c>
      <c r="B76" s="316" t="s">
        <v>1090</v>
      </c>
      <c r="C76" s="101">
        <v>500000</v>
      </c>
      <c r="D76" s="241" t="s">
        <v>1221</v>
      </c>
      <c r="E76" s="241"/>
      <c r="F76" s="241">
        <v>500000</v>
      </c>
      <c r="G76" s="101">
        <f t="shared" si="7"/>
        <v>0</v>
      </c>
    </row>
    <row r="77" spans="1:7" ht="30" x14ac:dyDescent="0.25">
      <c r="A77" s="390">
        <v>45375</v>
      </c>
      <c r="B77" s="316" t="s">
        <v>1091</v>
      </c>
      <c r="C77" s="101">
        <v>2000000</v>
      </c>
      <c r="D77" s="241"/>
      <c r="E77" s="241"/>
      <c r="F77" s="241"/>
      <c r="G77" s="101">
        <f t="shared" si="7"/>
        <v>2000000</v>
      </c>
    </row>
    <row r="78" spans="1:7" x14ac:dyDescent="0.25">
      <c r="A78" s="390">
        <v>45376</v>
      </c>
      <c r="B78" s="316" t="s">
        <v>1093</v>
      </c>
      <c r="C78" s="101">
        <v>1000000</v>
      </c>
      <c r="D78" s="241"/>
      <c r="E78" s="241"/>
      <c r="F78" s="241"/>
      <c r="G78" s="101">
        <f t="shared" si="7"/>
        <v>1000000</v>
      </c>
    </row>
    <row r="79" spans="1:7" x14ac:dyDescent="0.25">
      <c r="A79" s="390">
        <v>45378</v>
      </c>
      <c r="B79" s="316" t="s">
        <v>1195</v>
      </c>
      <c r="C79" s="101">
        <v>500000</v>
      </c>
      <c r="D79" s="241"/>
      <c r="E79" s="241"/>
      <c r="F79" s="241"/>
      <c r="G79" s="101">
        <f t="shared" si="7"/>
        <v>500000</v>
      </c>
    </row>
    <row r="80" spans="1:7" ht="30" x14ac:dyDescent="0.25">
      <c r="A80" s="99">
        <v>45378</v>
      </c>
      <c r="B80" s="316" t="s">
        <v>1191</v>
      </c>
      <c r="C80" s="101">
        <v>300000</v>
      </c>
      <c r="D80" s="241"/>
      <c r="E80" s="241"/>
      <c r="F80" s="241"/>
      <c r="G80" s="101"/>
    </row>
    <row r="81" spans="1:7" x14ac:dyDescent="0.25">
      <c r="A81" s="390">
        <v>45379</v>
      </c>
      <c r="B81" s="392" t="s">
        <v>1210</v>
      </c>
      <c r="C81" s="101">
        <v>300000</v>
      </c>
      <c r="D81" s="241" t="s">
        <v>1222</v>
      </c>
      <c r="E81" s="241"/>
      <c r="F81" s="241">
        <v>300000</v>
      </c>
      <c r="G81" s="101">
        <f t="shared" si="7"/>
        <v>0</v>
      </c>
    </row>
    <row r="82" spans="1:7" x14ac:dyDescent="0.25">
      <c r="A82" s="390">
        <v>45381</v>
      </c>
      <c r="B82" s="316" t="s">
        <v>1205</v>
      </c>
      <c r="C82" s="64">
        <v>300000</v>
      </c>
      <c r="D82" s="241"/>
      <c r="E82" s="241"/>
      <c r="F82" s="241"/>
      <c r="G82" s="101">
        <f t="shared" si="7"/>
        <v>300000</v>
      </c>
    </row>
    <row r="83" spans="1:7" x14ac:dyDescent="0.25">
      <c r="B83" s="431" t="s">
        <v>333</v>
      </c>
      <c r="C83" s="166">
        <f>SUM(C59:C82)</f>
        <v>27300000</v>
      </c>
      <c r="D83" s="166">
        <f>SUM(D59:D82)</f>
        <v>0</v>
      </c>
      <c r="E83" s="166">
        <f>SUM(E59:E82)</f>
        <v>0</v>
      </c>
      <c r="F83" s="166">
        <f>SUM(F59:F82)</f>
        <v>4400000</v>
      </c>
      <c r="G83" s="166">
        <f>SUM(G59:G82)</f>
        <v>22600000</v>
      </c>
    </row>
    <row r="84" spans="1:7" x14ac:dyDescent="0.25">
      <c r="B84" s="360" t="s">
        <v>1255</v>
      </c>
      <c r="C84" s="166">
        <f>C7+C22+C28+C44+C57+C83</f>
        <v>101095000</v>
      </c>
      <c r="D84" s="166">
        <f>D7+D22+D28+D44+D57+D83</f>
        <v>0</v>
      </c>
      <c r="E84" s="166">
        <f>E7+E22+E28+E44+E57+E83</f>
        <v>0</v>
      </c>
      <c r="F84" s="166">
        <f>F7+F22+F28+F44+F57+F83</f>
        <v>41825000</v>
      </c>
      <c r="G84" s="166">
        <f>G7+G22+G28+G44+G57+G83</f>
        <v>58970000</v>
      </c>
    </row>
    <row r="85" spans="1:7" ht="18.75" x14ac:dyDescent="0.3">
      <c r="A85" s="214" t="s">
        <v>312</v>
      </c>
      <c r="C85" s="168"/>
    </row>
    <row r="86" spans="1:7" x14ac:dyDescent="0.25">
      <c r="A86" s="217" t="s">
        <v>313</v>
      </c>
      <c r="B86" s="217"/>
      <c r="C86" s="287" t="s">
        <v>58</v>
      </c>
      <c r="D86" s="287" t="s">
        <v>329</v>
      </c>
      <c r="E86" s="228" t="s">
        <v>59</v>
      </c>
      <c r="F86" s="228" t="s">
        <v>60</v>
      </c>
      <c r="G86" s="228" t="s">
        <v>330</v>
      </c>
    </row>
    <row r="87" spans="1:7" x14ac:dyDescent="0.25">
      <c r="A87" s="99">
        <v>45091</v>
      </c>
      <c r="B87" s="326" t="s">
        <v>157</v>
      </c>
      <c r="C87" s="101">
        <v>1000000</v>
      </c>
      <c r="D87" s="223"/>
      <c r="E87" s="326"/>
      <c r="F87" s="326"/>
      <c r="G87" s="49">
        <f t="shared" ref="G87" si="8">C87-E87-F87</f>
        <v>1000000</v>
      </c>
    </row>
    <row r="88" spans="1:7" x14ac:dyDescent="0.25">
      <c r="A88" s="217" t="s">
        <v>314</v>
      </c>
      <c r="B88" s="217"/>
      <c r="C88" s="287" t="s">
        <v>58</v>
      </c>
      <c r="D88" s="287" t="s">
        <v>329</v>
      </c>
      <c r="E88" s="228" t="s">
        <v>59</v>
      </c>
      <c r="F88" s="228" t="s">
        <v>60</v>
      </c>
      <c r="G88" s="228" t="s">
        <v>330</v>
      </c>
    </row>
    <row r="89" spans="1:7" x14ac:dyDescent="0.25">
      <c r="A89" s="99">
        <v>45081</v>
      </c>
      <c r="B89" s="208" t="s">
        <v>315</v>
      </c>
      <c r="C89" s="215">
        <v>2000000</v>
      </c>
      <c r="D89" s="229"/>
      <c r="E89" s="326"/>
      <c r="F89" s="326"/>
      <c r="G89" s="49">
        <f t="shared" ref="G89" si="9">C89-E89-F89</f>
        <v>2000000</v>
      </c>
    </row>
    <row r="90" spans="1:7" x14ac:dyDescent="0.25">
      <c r="A90" s="217" t="s">
        <v>316</v>
      </c>
      <c r="B90" s="217"/>
      <c r="C90" s="287" t="s">
        <v>58</v>
      </c>
      <c r="D90" s="287" t="s">
        <v>329</v>
      </c>
      <c r="E90" s="228" t="s">
        <v>59</v>
      </c>
      <c r="F90" s="228" t="s">
        <v>60</v>
      </c>
      <c r="G90" s="228" t="s">
        <v>330</v>
      </c>
    </row>
    <row r="91" spans="1:7" x14ac:dyDescent="0.25">
      <c r="A91" s="99">
        <v>45154</v>
      </c>
      <c r="B91" s="326" t="s">
        <v>167</v>
      </c>
      <c r="C91" s="101">
        <v>500000</v>
      </c>
      <c r="D91" s="229" t="s">
        <v>1223</v>
      </c>
      <c r="E91" s="326"/>
      <c r="F91" s="326">
        <v>500000</v>
      </c>
      <c r="G91" s="49">
        <f t="shared" ref="G91" si="10">C91-E91-F91</f>
        <v>0</v>
      </c>
    </row>
    <row r="92" spans="1:7" x14ac:dyDescent="0.25">
      <c r="A92" s="217" t="s">
        <v>317</v>
      </c>
      <c r="B92" s="217"/>
      <c r="C92" s="287" t="s">
        <v>58</v>
      </c>
      <c r="D92" s="287" t="s">
        <v>329</v>
      </c>
      <c r="E92" s="228" t="s">
        <v>59</v>
      </c>
      <c r="F92" s="228" t="s">
        <v>60</v>
      </c>
      <c r="G92" s="228" t="s">
        <v>330</v>
      </c>
    </row>
    <row r="93" spans="1:7" x14ac:dyDescent="0.25">
      <c r="A93" s="216">
        <v>45149</v>
      </c>
      <c r="B93" s="326" t="s">
        <v>166</v>
      </c>
      <c r="C93" s="215">
        <v>5000000</v>
      </c>
      <c r="D93" s="226"/>
      <c r="E93" s="326"/>
      <c r="F93" s="326"/>
      <c r="G93" s="49">
        <f t="shared" ref="G93:G138" si="11">C93-E93-F93</f>
        <v>5000000</v>
      </c>
    </row>
    <row r="94" spans="1:7" x14ac:dyDescent="0.25">
      <c r="A94" s="216">
        <v>45163</v>
      </c>
      <c r="B94" s="326" t="s">
        <v>168</v>
      </c>
      <c r="C94" s="215">
        <v>1000000</v>
      </c>
      <c r="D94" s="226"/>
      <c r="E94" s="326"/>
      <c r="F94" s="326"/>
      <c r="G94" s="49">
        <f t="shared" si="11"/>
        <v>1000000</v>
      </c>
    </row>
    <row r="95" spans="1:7" x14ac:dyDescent="0.25">
      <c r="A95" s="216">
        <v>45166</v>
      </c>
      <c r="B95" s="326" t="s">
        <v>174</v>
      </c>
      <c r="C95" s="215">
        <v>1000000</v>
      </c>
      <c r="D95" s="227" t="s">
        <v>1229</v>
      </c>
      <c r="E95" s="326"/>
      <c r="F95" s="326">
        <v>1000000</v>
      </c>
      <c r="G95" s="49">
        <f t="shared" si="11"/>
        <v>0</v>
      </c>
    </row>
    <row r="96" spans="1:7" x14ac:dyDescent="0.25">
      <c r="A96" s="217" t="s">
        <v>318</v>
      </c>
      <c r="B96" s="217"/>
      <c r="C96" s="287" t="s">
        <v>58</v>
      </c>
      <c r="D96" s="287" t="s">
        <v>329</v>
      </c>
      <c r="E96" s="228" t="s">
        <v>59</v>
      </c>
      <c r="F96" s="228" t="s">
        <v>60</v>
      </c>
      <c r="G96" s="228" t="s">
        <v>330</v>
      </c>
    </row>
    <row r="97" spans="1:7" x14ac:dyDescent="0.25">
      <c r="A97" s="99">
        <v>45170</v>
      </c>
      <c r="B97" s="326" t="s">
        <v>175</v>
      </c>
      <c r="C97" s="218">
        <v>1000000</v>
      </c>
      <c r="D97" s="227"/>
      <c r="E97" s="326"/>
      <c r="F97" s="326"/>
      <c r="G97" s="49">
        <f t="shared" si="11"/>
        <v>1000000</v>
      </c>
    </row>
    <row r="98" spans="1:7" x14ac:dyDescent="0.25">
      <c r="A98" s="99">
        <v>45173</v>
      </c>
      <c r="B98" s="326" t="s">
        <v>319</v>
      </c>
      <c r="C98" s="218">
        <v>1000000</v>
      </c>
      <c r="D98" s="227"/>
      <c r="E98" s="326"/>
      <c r="F98" s="326"/>
      <c r="G98" s="49">
        <f t="shared" si="11"/>
        <v>1000000</v>
      </c>
    </row>
    <row r="99" spans="1:7" x14ac:dyDescent="0.25">
      <c r="A99" s="99">
        <v>45174</v>
      </c>
      <c r="B99" s="326" t="s">
        <v>177</v>
      </c>
      <c r="C99" s="153">
        <v>1000000</v>
      </c>
      <c r="D99" s="227"/>
      <c r="E99" s="326"/>
      <c r="F99" s="326"/>
      <c r="G99" s="49">
        <f t="shared" si="11"/>
        <v>1000000</v>
      </c>
    </row>
    <row r="100" spans="1:7" x14ac:dyDescent="0.25">
      <c r="A100" s="99">
        <v>45176</v>
      </c>
      <c r="B100" s="326" t="s">
        <v>178</v>
      </c>
      <c r="C100" s="218">
        <v>2000000</v>
      </c>
      <c r="D100" s="227"/>
      <c r="E100" s="326"/>
      <c r="F100" s="326"/>
      <c r="G100" s="49">
        <f t="shared" si="11"/>
        <v>2000000</v>
      </c>
    </row>
    <row r="101" spans="1:7" x14ac:dyDescent="0.25">
      <c r="A101" s="99">
        <v>45181</v>
      </c>
      <c r="B101" s="326" t="s">
        <v>179</v>
      </c>
      <c r="C101" s="153">
        <v>1000000</v>
      </c>
      <c r="D101" s="227"/>
      <c r="E101" s="326"/>
      <c r="F101" s="326"/>
      <c r="G101" s="49">
        <f t="shared" si="11"/>
        <v>1000000</v>
      </c>
    </row>
    <row r="102" spans="1:7" x14ac:dyDescent="0.25">
      <c r="A102" s="99">
        <v>45187</v>
      </c>
      <c r="B102" s="326" t="s">
        <v>182</v>
      </c>
      <c r="C102" s="153">
        <v>2000000</v>
      </c>
      <c r="D102" s="107"/>
      <c r="E102" s="326"/>
      <c r="F102" s="326"/>
      <c r="G102" s="49">
        <f t="shared" si="11"/>
        <v>2000000</v>
      </c>
    </row>
    <row r="103" spans="1:7" x14ac:dyDescent="0.25">
      <c r="A103" s="99">
        <v>45188</v>
      </c>
      <c r="B103" s="326" t="s">
        <v>180</v>
      </c>
      <c r="C103" s="153">
        <v>1000000</v>
      </c>
      <c r="D103" s="223"/>
      <c r="E103" s="326"/>
      <c r="F103" s="326"/>
      <c r="G103" s="49">
        <f t="shared" si="11"/>
        <v>1000000</v>
      </c>
    </row>
    <row r="104" spans="1:7" x14ac:dyDescent="0.25">
      <c r="A104" s="99">
        <v>45192</v>
      </c>
      <c r="B104" s="326" t="s">
        <v>320</v>
      </c>
      <c r="C104" s="153">
        <v>1000000</v>
      </c>
      <c r="D104" s="223"/>
      <c r="E104" s="326"/>
      <c r="F104" s="326"/>
      <c r="G104" s="49">
        <f t="shared" si="11"/>
        <v>1000000</v>
      </c>
    </row>
    <row r="105" spans="1:7" x14ac:dyDescent="0.25">
      <c r="A105" s="99">
        <v>45195</v>
      </c>
      <c r="B105" s="326" t="s">
        <v>183</v>
      </c>
      <c r="C105" s="153">
        <v>1000000</v>
      </c>
      <c r="D105" s="223"/>
      <c r="E105" s="326"/>
      <c r="F105" s="326"/>
      <c r="G105" s="49">
        <f t="shared" si="11"/>
        <v>1000000</v>
      </c>
    </row>
    <row r="106" spans="1:7" x14ac:dyDescent="0.25">
      <c r="A106" s="217" t="s">
        <v>321</v>
      </c>
      <c r="B106" s="217"/>
      <c r="C106" s="287" t="s">
        <v>58</v>
      </c>
      <c r="D106" s="287" t="s">
        <v>329</v>
      </c>
      <c r="E106" s="228" t="s">
        <v>59</v>
      </c>
      <c r="F106" s="228" t="s">
        <v>60</v>
      </c>
      <c r="G106" s="228" t="s">
        <v>330</v>
      </c>
    </row>
    <row r="107" spans="1:7" x14ac:dyDescent="0.25">
      <c r="A107" s="99">
        <v>45210</v>
      </c>
      <c r="B107" s="326" t="s">
        <v>186</v>
      </c>
      <c r="C107" s="101">
        <v>1000000</v>
      </c>
      <c r="D107" s="367"/>
      <c r="E107" s="230"/>
      <c r="F107" s="230"/>
      <c r="G107" s="49">
        <f t="shared" si="11"/>
        <v>1000000</v>
      </c>
    </row>
    <row r="108" spans="1:7" x14ac:dyDescent="0.25">
      <c r="A108" s="99">
        <v>45211</v>
      </c>
      <c r="B108" s="326" t="s">
        <v>187</v>
      </c>
      <c r="C108" s="101">
        <v>1000000</v>
      </c>
      <c r="D108" s="226"/>
      <c r="E108" s="326"/>
      <c r="F108" s="326"/>
      <c r="G108" s="49">
        <f t="shared" si="11"/>
        <v>1000000</v>
      </c>
    </row>
    <row r="109" spans="1:7" x14ac:dyDescent="0.25">
      <c r="A109" s="99">
        <v>45216</v>
      </c>
      <c r="B109" s="326" t="s">
        <v>188</v>
      </c>
      <c r="C109" s="101">
        <v>1000000</v>
      </c>
      <c r="D109" s="227"/>
      <c r="E109" s="326"/>
      <c r="F109" s="326"/>
      <c r="G109" s="49">
        <f t="shared" si="11"/>
        <v>1000000</v>
      </c>
    </row>
    <row r="110" spans="1:7" x14ac:dyDescent="0.25">
      <c r="A110" s="99">
        <v>45226</v>
      </c>
      <c r="B110" s="326" t="s">
        <v>192</v>
      </c>
      <c r="C110" s="101">
        <v>500000</v>
      </c>
      <c r="D110" s="227"/>
      <c r="E110" s="326"/>
      <c r="F110" s="326"/>
      <c r="G110" s="49">
        <f t="shared" si="11"/>
        <v>500000</v>
      </c>
    </row>
    <row r="111" spans="1:7" x14ac:dyDescent="0.25">
      <c r="A111" s="217" t="s">
        <v>322</v>
      </c>
      <c r="B111" s="217"/>
      <c r="C111" s="287" t="s">
        <v>58</v>
      </c>
      <c r="D111" s="287" t="s">
        <v>329</v>
      </c>
      <c r="E111" s="228" t="s">
        <v>59</v>
      </c>
      <c r="F111" s="228" t="s">
        <v>60</v>
      </c>
      <c r="G111" s="228" t="s">
        <v>330</v>
      </c>
    </row>
    <row r="112" spans="1:7" x14ac:dyDescent="0.25">
      <c r="A112" s="99">
        <v>45216</v>
      </c>
      <c r="B112" s="219" t="s">
        <v>189</v>
      </c>
      <c r="C112" s="153">
        <v>2000000</v>
      </c>
      <c r="D112" s="227"/>
      <c r="E112" s="326"/>
      <c r="F112" s="326"/>
      <c r="G112" s="49">
        <f t="shared" si="11"/>
        <v>2000000</v>
      </c>
    </row>
    <row r="113" spans="1:7" x14ac:dyDescent="0.25">
      <c r="A113" s="99">
        <v>45225</v>
      </c>
      <c r="B113" s="221" t="s">
        <v>193</v>
      </c>
      <c r="C113" s="153">
        <v>1500000</v>
      </c>
      <c r="D113" s="223"/>
      <c r="E113" s="326"/>
      <c r="F113" s="326"/>
      <c r="G113" s="49">
        <f t="shared" si="11"/>
        <v>1500000</v>
      </c>
    </row>
    <row r="114" spans="1:7" x14ac:dyDescent="0.25">
      <c r="A114" s="99">
        <v>45226</v>
      </c>
      <c r="B114" s="326" t="s">
        <v>191</v>
      </c>
      <c r="C114" s="153">
        <v>1000000</v>
      </c>
      <c r="D114" s="223"/>
      <c r="E114" s="326"/>
      <c r="F114" s="326"/>
      <c r="G114" s="49">
        <f t="shared" si="11"/>
        <v>1000000</v>
      </c>
    </row>
    <row r="115" spans="1:7" x14ac:dyDescent="0.25">
      <c r="A115" s="99">
        <v>45227</v>
      </c>
      <c r="B115" s="326" t="s">
        <v>194</v>
      </c>
      <c r="C115" s="153">
        <v>1000000</v>
      </c>
      <c r="D115" s="223"/>
      <c r="E115" s="326"/>
      <c r="F115" s="326"/>
      <c r="G115" s="49">
        <f t="shared" si="11"/>
        <v>1000000</v>
      </c>
    </row>
    <row r="116" spans="1:7" x14ac:dyDescent="0.25">
      <c r="A116" s="99">
        <v>45228</v>
      </c>
      <c r="B116" s="221" t="s">
        <v>195</v>
      </c>
      <c r="C116" s="153">
        <v>1000000</v>
      </c>
      <c r="D116" s="230"/>
      <c r="E116" s="326"/>
      <c r="F116" s="326"/>
      <c r="G116" s="49">
        <f t="shared" si="11"/>
        <v>1000000</v>
      </c>
    </row>
    <row r="117" spans="1:7" x14ac:dyDescent="0.25">
      <c r="A117" s="217" t="s">
        <v>323</v>
      </c>
      <c r="B117" s="217"/>
      <c r="C117" s="287" t="s">
        <v>58</v>
      </c>
      <c r="D117" s="287" t="s">
        <v>329</v>
      </c>
      <c r="E117" s="228" t="s">
        <v>59</v>
      </c>
      <c r="F117" s="228" t="s">
        <v>60</v>
      </c>
      <c r="G117" s="228" t="s">
        <v>330</v>
      </c>
    </row>
    <row r="118" spans="1:7" x14ac:dyDescent="0.25">
      <c r="A118" s="99">
        <v>45241</v>
      </c>
      <c r="B118" s="326" t="s">
        <v>203</v>
      </c>
      <c r="C118" s="101">
        <v>500000</v>
      </c>
      <c r="D118" s="226"/>
      <c r="E118" s="326"/>
      <c r="F118" s="326"/>
      <c r="G118" s="49">
        <f t="shared" si="11"/>
        <v>500000</v>
      </c>
    </row>
    <row r="119" spans="1:7" x14ac:dyDescent="0.25">
      <c r="A119" s="99">
        <v>45260</v>
      </c>
      <c r="B119" s="326" t="s">
        <v>219</v>
      </c>
      <c r="C119" s="64">
        <v>500000</v>
      </c>
      <c r="D119" s="226"/>
      <c r="E119" s="326"/>
      <c r="F119" s="326"/>
      <c r="G119" s="49">
        <f t="shared" si="11"/>
        <v>500000</v>
      </c>
    </row>
    <row r="120" spans="1:7" x14ac:dyDescent="0.25">
      <c r="A120" s="217" t="s">
        <v>324</v>
      </c>
      <c r="B120" s="217"/>
      <c r="C120" s="287" t="s">
        <v>58</v>
      </c>
      <c r="D120" s="287" t="s">
        <v>329</v>
      </c>
      <c r="E120" s="228" t="s">
        <v>59</v>
      </c>
      <c r="F120" s="228" t="s">
        <v>60</v>
      </c>
      <c r="G120" s="228" t="s">
        <v>330</v>
      </c>
    </row>
    <row r="121" spans="1:7" x14ac:dyDescent="0.25">
      <c r="A121" s="99">
        <v>45232</v>
      </c>
      <c r="B121" s="326" t="s">
        <v>197</v>
      </c>
      <c r="C121" s="218">
        <v>3000000</v>
      </c>
      <c r="D121" s="227"/>
      <c r="E121" s="326"/>
      <c r="F121" s="326"/>
      <c r="G121" s="49">
        <f t="shared" si="11"/>
        <v>3000000</v>
      </c>
    </row>
    <row r="122" spans="1:7" x14ac:dyDescent="0.25">
      <c r="A122" s="99">
        <v>45233</v>
      </c>
      <c r="B122" s="326" t="s">
        <v>198</v>
      </c>
      <c r="C122" s="218">
        <v>1000000</v>
      </c>
      <c r="D122" s="227"/>
      <c r="E122" s="326"/>
      <c r="F122" s="326"/>
      <c r="G122" s="49">
        <f t="shared" si="11"/>
        <v>1000000</v>
      </c>
    </row>
    <row r="123" spans="1:7" x14ac:dyDescent="0.25">
      <c r="A123" s="99">
        <v>45234</v>
      </c>
      <c r="B123" s="326" t="s">
        <v>199</v>
      </c>
      <c r="C123" s="218">
        <v>1000000</v>
      </c>
      <c r="D123" s="227"/>
      <c r="E123" s="326"/>
      <c r="F123" s="326"/>
      <c r="G123" s="49">
        <f t="shared" si="11"/>
        <v>1000000</v>
      </c>
    </row>
    <row r="124" spans="1:7" x14ac:dyDescent="0.25">
      <c r="A124" s="99">
        <v>45236</v>
      </c>
      <c r="B124" s="326" t="s">
        <v>200</v>
      </c>
      <c r="C124" s="153">
        <v>1000000</v>
      </c>
      <c r="D124" s="227"/>
      <c r="E124" s="326"/>
      <c r="F124" s="326"/>
      <c r="G124" s="49">
        <f t="shared" si="11"/>
        <v>1000000</v>
      </c>
    </row>
    <row r="125" spans="1:7" x14ac:dyDescent="0.25">
      <c r="A125" s="99">
        <v>45237</v>
      </c>
      <c r="B125" s="326" t="s">
        <v>205</v>
      </c>
      <c r="C125" s="153">
        <v>1000000</v>
      </c>
      <c r="D125" s="227"/>
      <c r="E125" s="326"/>
      <c r="F125" s="326"/>
      <c r="G125" s="49">
        <f t="shared" si="11"/>
        <v>1000000</v>
      </c>
    </row>
    <row r="126" spans="1:7" x14ac:dyDescent="0.25">
      <c r="A126" s="99">
        <v>45238</v>
      </c>
      <c r="B126" s="325" t="s">
        <v>201</v>
      </c>
      <c r="C126" s="153">
        <v>500000</v>
      </c>
      <c r="D126" s="227"/>
      <c r="E126" s="326"/>
      <c r="F126" s="326"/>
      <c r="G126" s="49">
        <f t="shared" si="11"/>
        <v>500000</v>
      </c>
    </row>
    <row r="127" spans="1:7" x14ac:dyDescent="0.25">
      <c r="A127" s="99">
        <v>45240</v>
      </c>
      <c r="B127" s="326" t="s">
        <v>202</v>
      </c>
      <c r="C127" s="153">
        <v>1000000</v>
      </c>
      <c r="D127" s="227"/>
      <c r="E127" s="326"/>
      <c r="F127" s="326"/>
      <c r="G127" s="49">
        <f t="shared" si="11"/>
        <v>1000000</v>
      </c>
    </row>
    <row r="128" spans="1:7" x14ac:dyDescent="0.25">
      <c r="A128" s="99">
        <v>45244</v>
      </c>
      <c r="B128" s="326" t="s">
        <v>207</v>
      </c>
      <c r="C128" s="153">
        <v>750000</v>
      </c>
      <c r="D128" s="227"/>
      <c r="E128" s="326"/>
      <c r="F128" s="326"/>
      <c r="G128" s="49">
        <f t="shared" si="11"/>
        <v>750000</v>
      </c>
    </row>
    <row r="129" spans="1:7" x14ac:dyDescent="0.25">
      <c r="A129" s="99">
        <v>45244</v>
      </c>
      <c r="B129" s="326" t="s">
        <v>211</v>
      </c>
      <c r="C129" s="153">
        <v>1000000</v>
      </c>
      <c r="D129" s="227"/>
      <c r="E129" s="326"/>
      <c r="F129" s="326"/>
      <c r="G129" s="49">
        <f t="shared" si="11"/>
        <v>1000000</v>
      </c>
    </row>
    <row r="130" spans="1:7" x14ac:dyDescent="0.25">
      <c r="A130" s="99">
        <v>45245</v>
      </c>
      <c r="B130" s="326" t="s">
        <v>204</v>
      </c>
      <c r="C130" s="153">
        <v>500000</v>
      </c>
      <c r="D130" s="227"/>
      <c r="E130" s="326"/>
      <c r="F130" s="123"/>
      <c r="G130" s="49">
        <f t="shared" si="11"/>
        <v>500000</v>
      </c>
    </row>
    <row r="131" spans="1:7" x14ac:dyDescent="0.25">
      <c r="A131" s="99">
        <v>45251</v>
      </c>
      <c r="B131" s="326" t="s">
        <v>235</v>
      </c>
      <c r="C131" s="153">
        <v>500000</v>
      </c>
      <c r="D131" s="230"/>
      <c r="E131" s="326"/>
      <c r="F131" s="326"/>
      <c r="G131" s="49">
        <f t="shared" si="11"/>
        <v>500000</v>
      </c>
    </row>
    <row r="132" spans="1:7" x14ac:dyDescent="0.25">
      <c r="A132" s="99">
        <v>45254</v>
      </c>
      <c r="B132" s="221" t="s">
        <v>208</v>
      </c>
      <c r="C132" s="153">
        <v>1000000</v>
      </c>
      <c r="D132" s="367"/>
      <c r="E132" s="230"/>
      <c r="F132" s="230"/>
      <c r="G132" s="49">
        <f t="shared" si="11"/>
        <v>1000000</v>
      </c>
    </row>
    <row r="133" spans="1:7" x14ac:dyDescent="0.25">
      <c r="A133" s="99">
        <v>45255</v>
      </c>
      <c r="B133" s="326" t="s">
        <v>209</v>
      </c>
      <c r="C133" s="153">
        <v>1000000</v>
      </c>
      <c r="D133" s="35"/>
      <c r="E133" s="326"/>
      <c r="F133" s="326"/>
      <c r="G133" s="49">
        <f t="shared" si="11"/>
        <v>1000000</v>
      </c>
    </row>
    <row r="134" spans="1:7" x14ac:dyDescent="0.25">
      <c r="A134" s="99">
        <v>45255</v>
      </c>
      <c r="B134" s="326" t="s">
        <v>210</v>
      </c>
      <c r="C134" s="153">
        <v>1000000</v>
      </c>
      <c r="D134" s="35"/>
      <c r="E134" s="326"/>
      <c r="F134" s="326"/>
      <c r="G134" s="49">
        <f t="shared" si="11"/>
        <v>1000000</v>
      </c>
    </row>
    <row r="135" spans="1:7" x14ac:dyDescent="0.25">
      <c r="A135" s="99">
        <v>45260</v>
      </c>
      <c r="B135" s="221" t="s">
        <v>218</v>
      </c>
      <c r="C135" s="64">
        <v>200000</v>
      </c>
      <c r="D135" s="35"/>
      <c r="E135" s="326"/>
      <c r="F135" s="326"/>
      <c r="G135" s="49">
        <f t="shared" si="11"/>
        <v>200000</v>
      </c>
    </row>
    <row r="136" spans="1:7" x14ac:dyDescent="0.25">
      <c r="A136" s="217" t="s">
        <v>325</v>
      </c>
      <c r="B136" s="217"/>
      <c r="C136" s="287" t="s">
        <v>58</v>
      </c>
      <c r="D136" s="287" t="s">
        <v>329</v>
      </c>
      <c r="E136" s="228" t="s">
        <v>59</v>
      </c>
      <c r="F136" s="228" t="s">
        <v>60</v>
      </c>
      <c r="G136" s="228" t="s">
        <v>330</v>
      </c>
    </row>
    <row r="137" spans="1:7" x14ac:dyDescent="0.25">
      <c r="A137" s="99">
        <v>45262</v>
      </c>
      <c r="B137" s="326" t="s">
        <v>222</v>
      </c>
      <c r="C137" s="220">
        <v>1000000</v>
      </c>
      <c r="D137" s="223"/>
      <c r="E137" s="326"/>
      <c r="F137" s="326"/>
      <c r="G137" s="49">
        <f t="shared" si="11"/>
        <v>1000000</v>
      </c>
    </row>
    <row r="138" spans="1:7" x14ac:dyDescent="0.25">
      <c r="A138" s="99">
        <v>45264</v>
      </c>
      <c r="B138" s="326" t="s">
        <v>223</v>
      </c>
      <c r="C138" s="220">
        <v>2000000</v>
      </c>
      <c r="D138" s="223"/>
      <c r="E138" s="326"/>
      <c r="F138" s="326"/>
      <c r="G138" s="49">
        <f t="shared" si="11"/>
        <v>2000000</v>
      </c>
    </row>
    <row r="139" spans="1:7" x14ac:dyDescent="0.25">
      <c r="A139" s="99">
        <v>45266</v>
      </c>
      <c r="B139" s="326" t="s">
        <v>228</v>
      </c>
      <c r="C139" s="220">
        <v>1000000</v>
      </c>
      <c r="D139" s="107"/>
      <c r="E139" s="326"/>
      <c r="F139" s="326"/>
      <c r="G139" s="49">
        <f t="shared" ref="G139:G155" si="12">C139-E139-F139</f>
        <v>1000000</v>
      </c>
    </row>
    <row r="140" spans="1:7" x14ac:dyDescent="0.25">
      <c r="A140" s="99">
        <v>45277</v>
      </c>
      <c r="B140" s="326" t="s">
        <v>242</v>
      </c>
      <c r="C140" s="101">
        <v>1000000</v>
      </c>
      <c r="D140" s="226"/>
      <c r="E140" s="326"/>
      <c r="F140" s="326"/>
      <c r="G140" s="49">
        <f t="shared" si="12"/>
        <v>1000000</v>
      </c>
    </row>
    <row r="141" spans="1:7" x14ac:dyDescent="0.25">
      <c r="A141" s="99">
        <v>45285</v>
      </c>
      <c r="B141" s="326" t="s">
        <v>245</v>
      </c>
      <c r="C141" s="101">
        <v>250000</v>
      </c>
      <c r="D141" s="226"/>
      <c r="E141" s="326"/>
      <c r="F141" s="326"/>
      <c r="G141" s="49">
        <f t="shared" si="12"/>
        <v>250000</v>
      </c>
    </row>
    <row r="142" spans="1:7" x14ac:dyDescent="0.25">
      <c r="A142" s="217" t="s">
        <v>326</v>
      </c>
      <c r="B142" s="217"/>
      <c r="C142" s="287" t="s">
        <v>58</v>
      </c>
      <c r="D142" s="287" t="s">
        <v>329</v>
      </c>
      <c r="E142" s="228" t="s">
        <v>59</v>
      </c>
      <c r="F142" s="228" t="s">
        <v>60</v>
      </c>
      <c r="G142" s="228" t="s">
        <v>330</v>
      </c>
    </row>
    <row r="143" spans="1:7" x14ac:dyDescent="0.25">
      <c r="A143" s="99">
        <v>45261</v>
      </c>
      <c r="B143" s="326" t="s">
        <v>224</v>
      </c>
      <c r="C143" s="218">
        <v>1000000</v>
      </c>
      <c r="D143" s="226"/>
      <c r="E143" s="326"/>
      <c r="F143" s="326"/>
      <c r="G143" s="49">
        <f t="shared" si="12"/>
        <v>1000000</v>
      </c>
    </row>
    <row r="144" spans="1:7" x14ac:dyDescent="0.25">
      <c r="A144" s="99">
        <v>45265</v>
      </c>
      <c r="B144" s="326" t="s">
        <v>226</v>
      </c>
      <c r="C144" s="218">
        <v>2000000</v>
      </c>
      <c r="D144" s="226"/>
      <c r="E144" s="326"/>
      <c r="F144" s="326"/>
      <c r="G144" s="49">
        <f t="shared" si="12"/>
        <v>2000000</v>
      </c>
    </row>
    <row r="145" spans="1:8" x14ac:dyDescent="0.25">
      <c r="A145" s="99">
        <v>45265</v>
      </c>
      <c r="B145" s="326" t="s">
        <v>225</v>
      </c>
      <c r="C145" s="218">
        <v>1000000</v>
      </c>
      <c r="D145" s="227"/>
      <c r="E145" s="326"/>
      <c r="F145" s="326"/>
      <c r="G145" s="49">
        <f t="shared" si="12"/>
        <v>1000000</v>
      </c>
    </row>
    <row r="146" spans="1:8" x14ac:dyDescent="0.25">
      <c r="A146" s="99">
        <v>45269</v>
      </c>
      <c r="B146" s="326" t="s">
        <v>234</v>
      </c>
      <c r="C146" s="153">
        <v>1000000</v>
      </c>
      <c r="D146" s="226"/>
      <c r="E146" s="326"/>
      <c r="F146" s="326"/>
      <c r="G146" s="49">
        <f t="shared" si="12"/>
        <v>1000000</v>
      </c>
    </row>
    <row r="147" spans="1:8" x14ac:dyDescent="0.25">
      <c r="A147" s="99">
        <v>45269</v>
      </c>
      <c r="B147" s="326" t="s">
        <v>236</v>
      </c>
      <c r="C147" s="153">
        <v>1000000</v>
      </c>
      <c r="D147" s="226"/>
      <c r="E147" s="326"/>
      <c r="F147" s="326"/>
      <c r="G147" s="49">
        <f t="shared" si="12"/>
        <v>1000000</v>
      </c>
    </row>
    <row r="148" spans="1:8" x14ac:dyDescent="0.25">
      <c r="A148" s="99">
        <v>45270</v>
      </c>
      <c r="B148" s="326" t="s">
        <v>237</v>
      </c>
      <c r="C148" s="153">
        <v>3000000</v>
      </c>
      <c r="D148" s="227"/>
      <c r="E148" s="326"/>
      <c r="F148" s="326"/>
      <c r="G148" s="49">
        <f t="shared" si="12"/>
        <v>3000000</v>
      </c>
    </row>
    <row r="149" spans="1:8" x14ac:dyDescent="0.25">
      <c r="A149" s="99">
        <v>45271</v>
      </c>
      <c r="B149" s="326" t="s">
        <v>238</v>
      </c>
      <c r="C149" s="218">
        <v>5000000</v>
      </c>
      <c r="D149" s="227"/>
      <c r="E149" s="326"/>
      <c r="F149" s="326"/>
      <c r="G149" s="49">
        <f t="shared" si="12"/>
        <v>5000000</v>
      </c>
    </row>
    <row r="150" spans="1:8" x14ac:dyDescent="0.25">
      <c r="A150" s="99">
        <v>45271</v>
      </c>
      <c r="B150" s="326" t="s">
        <v>239</v>
      </c>
      <c r="C150" s="218">
        <v>1000000</v>
      </c>
      <c r="D150" s="227"/>
      <c r="E150" s="326"/>
      <c r="F150" s="326"/>
      <c r="G150" s="49">
        <f t="shared" si="12"/>
        <v>1000000</v>
      </c>
    </row>
    <row r="151" spans="1:8" x14ac:dyDescent="0.25">
      <c r="A151" s="99">
        <v>45273</v>
      </c>
      <c r="B151" s="326" t="s">
        <v>241</v>
      </c>
      <c r="C151" s="153">
        <v>1000000</v>
      </c>
      <c r="D151" s="227"/>
      <c r="E151" s="326"/>
      <c r="F151" s="326"/>
      <c r="G151" s="49">
        <f t="shared" si="12"/>
        <v>1000000</v>
      </c>
    </row>
    <row r="152" spans="1:8" x14ac:dyDescent="0.25">
      <c r="A152" s="99">
        <v>45275</v>
      </c>
      <c r="B152" s="326" t="s">
        <v>243</v>
      </c>
      <c r="C152" s="153">
        <v>200000</v>
      </c>
      <c r="D152" s="227"/>
      <c r="E152" s="326"/>
      <c r="F152" s="326"/>
      <c r="G152" s="49">
        <f t="shared" si="12"/>
        <v>200000</v>
      </c>
    </row>
    <row r="153" spans="1:8" x14ac:dyDescent="0.25">
      <c r="A153" s="99">
        <v>45281</v>
      </c>
      <c r="B153" s="326" t="s">
        <v>244</v>
      </c>
      <c r="C153" s="153">
        <v>1000000</v>
      </c>
      <c r="D153" s="227"/>
      <c r="E153" s="326"/>
      <c r="F153" s="326"/>
      <c r="G153" s="49">
        <f t="shared" si="12"/>
        <v>1000000</v>
      </c>
    </row>
    <row r="154" spans="1:8" x14ac:dyDescent="0.25">
      <c r="A154" s="99">
        <v>45287</v>
      </c>
      <c r="B154" s="325" t="s">
        <v>261</v>
      </c>
      <c r="C154" s="153">
        <v>165000</v>
      </c>
      <c r="D154" s="227"/>
      <c r="E154" s="326"/>
      <c r="F154" s="326"/>
      <c r="G154" s="49">
        <f t="shared" si="12"/>
        <v>165000</v>
      </c>
    </row>
    <row r="155" spans="1:8" x14ac:dyDescent="0.25">
      <c r="A155" s="99">
        <v>45291</v>
      </c>
      <c r="B155" s="326" t="s">
        <v>270</v>
      </c>
      <c r="C155" s="153">
        <v>1000000</v>
      </c>
      <c r="D155" s="107"/>
      <c r="E155" s="326"/>
      <c r="F155" s="326"/>
      <c r="G155" s="49">
        <f t="shared" si="12"/>
        <v>1000000</v>
      </c>
    </row>
    <row r="156" spans="1:8" x14ac:dyDescent="0.25">
      <c r="A156" s="21"/>
      <c r="B156" s="222" t="s">
        <v>327</v>
      </c>
      <c r="C156" s="167">
        <f>SUM(C87:C155)</f>
        <v>70565000</v>
      </c>
      <c r="D156" s="167">
        <f>SUM(D87:D155)</f>
        <v>0</v>
      </c>
      <c r="E156" s="167">
        <f>SUM(E87:E155)</f>
        <v>0</v>
      </c>
      <c r="F156" s="167">
        <f>SUM(F87:F155)</f>
        <v>1500000</v>
      </c>
      <c r="G156" s="167">
        <f>SUM(G87:G155)</f>
        <v>69065000</v>
      </c>
      <c r="H156" s="19"/>
    </row>
    <row r="158" spans="1:8" x14ac:dyDescent="0.25">
      <c r="B158" t="s">
        <v>586</v>
      </c>
      <c r="C158" s="19">
        <f>C156+C84</f>
        <v>171660000</v>
      </c>
      <c r="D158" s="19">
        <f t="shared" ref="D158:G158" si="13">D156+D84</f>
        <v>0</v>
      </c>
      <c r="E158" s="19">
        <f t="shared" si="13"/>
        <v>0</v>
      </c>
      <c r="F158" s="19">
        <f t="shared" si="13"/>
        <v>43325000</v>
      </c>
      <c r="G158" s="19">
        <f t="shared" si="13"/>
        <v>128035000</v>
      </c>
    </row>
    <row r="168" spans="6:6" x14ac:dyDescent="0.25">
      <c r="F168" s="19">
        <f>Invoices!L29-DP!F158</f>
        <v>0</v>
      </c>
    </row>
    <row r="210" spans="1:7" x14ac:dyDescent="0.25">
      <c r="A210" s="217" t="s">
        <v>582</v>
      </c>
      <c r="B210" s="217"/>
      <c r="C210" s="217" t="s">
        <v>58</v>
      </c>
      <c r="D210" s="287" t="s">
        <v>329</v>
      </c>
      <c r="E210" s="228" t="s">
        <v>59</v>
      </c>
      <c r="F210" s="228" t="s">
        <v>60</v>
      </c>
      <c r="G210" s="228" t="s">
        <v>330</v>
      </c>
    </row>
    <row r="226" spans="1:7" x14ac:dyDescent="0.25">
      <c r="A226" s="217" t="s">
        <v>583</v>
      </c>
      <c r="B226" s="217"/>
      <c r="C226" s="217" t="s">
        <v>58</v>
      </c>
      <c r="D226" s="287" t="s">
        <v>329</v>
      </c>
      <c r="E226" s="228" t="s">
        <v>59</v>
      </c>
      <c r="F226" s="228" t="s">
        <v>60</v>
      </c>
      <c r="G226" s="228" t="s">
        <v>330</v>
      </c>
    </row>
  </sheetData>
  <hyperlinks>
    <hyperlink ref="B112" r:id="rId1" display="http://an.al/"/>
  </hyperlinks>
  <pageMargins left="0.7" right="0.7" top="0.75" bottom="0.75" header="0.3" footer="0.3"/>
  <pageSetup paperSize="9" scale="59" orientation="portrait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73"/>
  <sheetViews>
    <sheetView topLeftCell="C1" zoomScale="82" zoomScaleNormal="82" workbookViewId="0">
      <pane ySplit="3" topLeftCell="A41" activePane="bottomLeft" state="frozen"/>
      <selection pane="bottomLeft" activeCell="A42" sqref="A42"/>
    </sheetView>
  </sheetViews>
  <sheetFormatPr defaultRowHeight="15" x14ac:dyDescent="0.25"/>
  <cols>
    <col min="1" max="1" width="10.7109375" customWidth="1"/>
    <col min="2" max="2" width="100.42578125" bestFit="1" customWidth="1"/>
    <col min="3" max="3" width="15.7109375" style="140" customWidth="1"/>
    <col min="4" max="4" width="16.28515625" customWidth="1"/>
    <col min="5" max="6" width="12.7109375" style="22" customWidth="1"/>
    <col min="7" max="7" width="12.85546875" style="22" customWidth="1"/>
    <col min="8" max="8" width="14.5703125" style="22" customWidth="1"/>
    <col min="9" max="9" width="13.42578125" style="22" customWidth="1"/>
    <col min="10" max="10" width="12.7109375" style="22" customWidth="1"/>
    <col min="11" max="11" width="14.28515625" style="22" customWidth="1"/>
    <col min="12" max="13" width="14" style="22" customWidth="1"/>
    <col min="14" max="15" width="14" style="22" hidden="1" customWidth="1"/>
    <col min="16" max="16" width="12.140625" style="22" hidden="1" customWidth="1"/>
    <col min="17" max="17" width="14.42578125" style="22" hidden="1" customWidth="1"/>
    <col min="18" max="18" width="12" style="22" hidden="1" customWidth="1"/>
    <col min="19" max="19" width="11.140625" style="22" customWidth="1"/>
    <col min="20" max="20" width="16.140625" customWidth="1"/>
    <col min="21" max="22" width="9.140625" customWidth="1"/>
  </cols>
  <sheetData>
    <row r="1" spans="1:21" s="117" customFormat="1" ht="25.5" x14ac:dyDescent="0.25">
      <c r="A1" s="116" t="s">
        <v>38</v>
      </c>
      <c r="B1" s="116" t="s">
        <v>5</v>
      </c>
      <c r="C1" s="141" t="s">
        <v>6</v>
      </c>
      <c r="D1" s="100" t="s">
        <v>43</v>
      </c>
      <c r="E1" s="141" t="s">
        <v>580</v>
      </c>
      <c r="F1" s="213" t="s">
        <v>565</v>
      </c>
      <c r="G1" s="141" t="s">
        <v>311</v>
      </c>
      <c r="H1" s="142" t="s">
        <v>52</v>
      </c>
      <c r="I1" s="141" t="s">
        <v>51</v>
      </c>
      <c r="J1" s="141" t="s">
        <v>114</v>
      </c>
      <c r="K1" s="141" t="s">
        <v>53</v>
      </c>
      <c r="L1" s="141" t="s">
        <v>113</v>
      </c>
      <c r="M1" s="141" t="s">
        <v>151</v>
      </c>
      <c r="N1" s="141" t="s">
        <v>153</v>
      </c>
      <c r="O1" s="213" t="s">
        <v>232</v>
      </c>
      <c r="P1" s="213" t="s">
        <v>233</v>
      </c>
      <c r="Q1" s="141" t="s">
        <v>24</v>
      </c>
      <c r="R1" s="141" t="s">
        <v>307</v>
      </c>
      <c r="S1" s="213" t="s">
        <v>309</v>
      </c>
    </row>
    <row r="2" spans="1:21" s="34" customFormat="1" x14ac:dyDescent="0.25">
      <c r="A2" s="492" t="s">
        <v>11</v>
      </c>
      <c r="B2" s="492"/>
      <c r="C2" s="492"/>
      <c r="D2" s="492"/>
      <c r="E2" s="492"/>
      <c r="F2" s="492"/>
      <c r="G2" s="492"/>
      <c r="H2" s="492"/>
      <c r="I2" s="492"/>
      <c r="J2" s="492"/>
      <c r="K2" s="492"/>
      <c r="L2" s="492"/>
      <c r="M2" s="492"/>
      <c r="N2" s="492"/>
      <c r="O2" s="492"/>
      <c r="P2" s="492"/>
      <c r="Q2" s="492"/>
      <c r="R2" s="492"/>
      <c r="S2" s="492"/>
    </row>
    <row r="3" spans="1:21" s="11" customFormat="1" x14ac:dyDescent="0.25">
      <c r="A3" s="176"/>
      <c r="B3" s="176" t="s">
        <v>44</v>
      </c>
      <c r="C3" s="176"/>
      <c r="D3" s="209">
        <v>173654735</v>
      </c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10"/>
      <c r="R3" s="210"/>
      <c r="S3" s="210"/>
      <c r="T3" s="21"/>
      <c r="U3" s="21"/>
    </row>
    <row r="4" spans="1:21" s="70" customFormat="1" x14ac:dyDescent="0.25">
      <c r="A4" s="99">
        <v>45353</v>
      </c>
      <c r="B4" s="50" t="s">
        <v>1074</v>
      </c>
      <c r="C4" s="150">
        <v>1000000</v>
      </c>
      <c r="D4" s="150">
        <f t="shared" ref="D4:D54" si="0">SUM(D3,C4)</f>
        <v>174654735</v>
      </c>
      <c r="E4" s="150"/>
      <c r="F4" s="150"/>
      <c r="G4" s="150"/>
      <c r="H4" s="150"/>
      <c r="I4" s="150"/>
      <c r="J4" s="150"/>
      <c r="K4" s="150">
        <f>C4</f>
        <v>1000000</v>
      </c>
      <c r="L4" s="150"/>
      <c r="M4" s="150"/>
      <c r="N4" s="150"/>
      <c r="O4" s="150"/>
      <c r="P4" s="150"/>
      <c r="Q4" s="150"/>
      <c r="R4" s="150"/>
      <c r="S4" s="150"/>
      <c r="T4" s="303"/>
      <c r="U4" s="148"/>
    </row>
    <row r="5" spans="1:21" s="70" customFormat="1" x14ac:dyDescent="0.25">
      <c r="A5" s="99">
        <v>45353</v>
      </c>
      <c r="B5" s="50" t="s">
        <v>1075</v>
      </c>
      <c r="C5" s="150">
        <v>1000000</v>
      </c>
      <c r="D5" s="150">
        <f t="shared" si="0"/>
        <v>175654735</v>
      </c>
      <c r="E5" s="150"/>
      <c r="F5" s="150"/>
      <c r="G5" s="150"/>
      <c r="H5" s="150"/>
      <c r="I5" s="150"/>
      <c r="J5" s="150"/>
      <c r="K5" s="150">
        <f>C5</f>
        <v>1000000</v>
      </c>
      <c r="L5" s="150"/>
      <c r="M5" s="150"/>
      <c r="N5" s="150"/>
      <c r="O5" s="150"/>
      <c r="P5" s="150"/>
      <c r="Q5" s="150"/>
      <c r="R5" s="150"/>
      <c r="S5" s="150"/>
      <c r="T5" s="303"/>
      <c r="U5" s="148"/>
    </row>
    <row r="6" spans="1:21" s="70" customFormat="1" x14ac:dyDescent="0.25">
      <c r="A6" s="99">
        <v>45355</v>
      </c>
      <c r="B6" s="50" t="s">
        <v>1076</v>
      </c>
      <c r="C6" s="150">
        <v>10000000</v>
      </c>
      <c r="D6" s="150">
        <f t="shared" si="0"/>
        <v>185654735</v>
      </c>
      <c r="E6" s="150"/>
      <c r="F6" s="150"/>
      <c r="G6" s="150"/>
      <c r="H6" s="150"/>
      <c r="I6" s="150"/>
      <c r="J6" s="150"/>
      <c r="K6" s="150">
        <f>C6</f>
        <v>10000000</v>
      </c>
      <c r="L6" s="150"/>
      <c r="M6" s="150"/>
      <c r="N6" s="150"/>
      <c r="O6" s="150"/>
      <c r="P6" s="150"/>
      <c r="Q6" s="150"/>
      <c r="R6" s="150"/>
      <c r="S6" s="150"/>
      <c r="T6" s="303"/>
      <c r="U6" s="148"/>
    </row>
    <row r="7" spans="1:21" s="70" customFormat="1" x14ac:dyDescent="0.25">
      <c r="A7" s="99">
        <v>45355</v>
      </c>
      <c r="B7" s="50" t="s">
        <v>642</v>
      </c>
      <c r="C7" s="153">
        <v>500000</v>
      </c>
      <c r="D7" s="150">
        <f t="shared" si="0"/>
        <v>186154735</v>
      </c>
      <c r="E7" s="151"/>
      <c r="F7" s="151"/>
      <c r="G7" s="151"/>
      <c r="H7" s="151"/>
      <c r="I7" s="151"/>
      <c r="J7" s="151"/>
      <c r="K7" s="150">
        <f>C7</f>
        <v>500000</v>
      </c>
      <c r="L7" s="151"/>
      <c r="M7" s="151"/>
      <c r="N7" s="151"/>
      <c r="O7" s="151"/>
      <c r="P7" s="151"/>
      <c r="Q7" s="154"/>
      <c r="R7" s="154"/>
      <c r="S7" s="154"/>
      <c r="T7" s="303"/>
      <c r="U7" s="148"/>
    </row>
    <row r="8" spans="1:21" s="70" customFormat="1" x14ac:dyDescent="0.25">
      <c r="A8" s="99">
        <v>45356</v>
      </c>
      <c r="B8" s="50" t="s">
        <v>102</v>
      </c>
      <c r="C8" s="153">
        <v>266513</v>
      </c>
      <c r="D8" s="150">
        <f t="shared" si="0"/>
        <v>186421248</v>
      </c>
      <c r="E8" s="151"/>
      <c r="F8" s="151"/>
      <c r="G8" s="151"/>
      <c r="H8" s="151">
        <f>C8</f>
        <v>266513</v>
      </c>
      <c r="I8" s="151"/>
      <c r="J8" s="151"/>
      <c r="K8" s="150"/>
      <c r="L8" s="151"/>
      <c r="M8" s="151"/>
      <c r="N8" s="151"/>
      <c r="O8" s="151"/>
      <c r="P8" s="151"/>
      <c r="Q8" s="154"/>
      <c r="R8" s="154"/>
      <c r="S8" s="154"/>
      <c r="T8" s="303"/>
      <c r="U8" s="148"/>
    </row>
    <row r="9" spans="1:21" s="70" customFormat="1" x14ac:dyDescent="0.25">
      <c r="A9" s="99">
        <v>45356</v>
      </c>
      <c r="B9" s="50" t="s">
        <v>646</v>
      </c>
      <c r="C9" s="153">
        <v>3640000</v>
      </c>
      <c r="D9" s="150">
        <f t="shared" si="0"/>
        <v>190061248</v>
      </c>
      <c r="E9" s="151"/>
      <c r="F9" s="151"/>
      <c r="G9" s="151"/>
      <c r="H9" s="151"/>
      <c r="I9" s="151"/>
      <c r="J9" s="151"/>
      <c r="K9" s="150"/>
      <c r="L9" s="151">
        <f>C9</f>
        <v>3640000</v>
      </c>
      <c r="M9" s="151"/>
      <c r="N9" s="151"/>
      <c r="O9" s="151"/>
      <c r="P9" s="151"/>
      <c r="Q9" s="154"/>
      <c r="R9" s="154"/>
      <c r="S9" s="154"/>
      <c r="T9" s="303"/>
      <c r="U9" s="148"/>
    </row>
    <row r="10" spans="1:21" s="148" customFormat="1" x14ac:dyDescent="0.25">
      <c r="A10" s="99">
        <v>45357</v>
      </c>
      <c r="B10" s="50" t="s">
        <v>306</v>
      </c>
      <c r="C10" s="153">
        <v>-39000</v>
      </c>
      <c r="D10" s="150">
        <f t="shared" si="0"/>
        <v>190022248</v>
      </c>
      <c r="E10" s="151"/>
      <c r="F10" s="151"/>
      <c r="G10" s="151"/>
      <c r="H10" s="151"/>
      <c r="I10" s="151"/>
      <c r="J10" s="151"/>
      <c r="K10" s="150"/>
      <c r="L10" s="151"/>
      <c r="M10" s="151"/>
      <c r="N10" s="151"/>
      <c r="O10" s="151"/>
      <c r="P10" s="151"/>
      <c r="Q10" s="154"/>
      <c r="R10" s="154"/>
      <c r="S10" s="154">
        <f>C10</f>
        <v>-39000</v>
      </c>
      <c r="T10" s="303"/>
    </row>
    <row r="11" spans="1:21" s="148" customFormat="1" x14ac:dyDescent="0.25">
      <c r="A11" s="99">
        <v>45358</v>
      </c>
      <c r="B11" s="50" t="s">
        <v>1077</v>
      </c>
      <c r="C11" s="153">
        <v>1000000</v>
      </c>
      <c r="D11" s="150">
        <f t="shared" si="0"/>
        <v>191022248</v>
      </c>
      <c r="E11" s="151"/>
      <c r="F11" s="151"/>
      <c r="G11" s="151"/>
      <c r="H11" s="151"/>
      <c r="I11" s="151"/>
      <c r="J11" s="151"/>
      <c r="K11" s="151">
        <f>C11</f>
        <v>1000000</v>
      </c>
      <c r="L11" s="151"/>
      <c r="M11" s="151"/>
      <c r="N11" s="151"/>
      <c r="O11" s="151"/>
      <c r="P11" s="151"/>
      <c r="Q11" s="154"/>
      <c r="R11" s="154"/>
      <c r="S11" s="154"/>
      <c r="T11" s="303"/>
    </row>
    <row r="12" spans="1:21" s="148" customFormat="1" x14ac:dyDescent="0.25">
      <c r="A12" s="99">
        <v>45358</v>
      </c>
      <c r="B12" s="316" t="s">
        <v>1078</v>
      </c>
      <c r="C12" s="153">
        <v>1000000</v>
      </c>
      <c r="D12" s="150">
        <f t="shared" si="0"/>
        <v>192022248</v>
      </c>
      <c r="E12" s="151"/>
      <c r="F12" s="151"/>
      <c r="G12" s="151"/>
      <c r="H12" s="151"/>
      <c r="I12" s="151"/>
      <c r="J12" s="151"/>
      <c r="K12" s="151">
        <f>C12</f>
        <v>1000000</v>
      </c>
      <c r="L12" s="151"/>
      <c r="M12" s="151"/>
      <c r="N12" s="151"/>
      <c r="O12" s="151"/>
      <c r="P12" s="151"/>
      <c r="Q12" s="154"/>
      <c r="R12" s="154"/>
      <c r="S12" s="154"/>
      <c r="T12" s="303"/>
    </row>
    <row r="13" spans="1:21" s="148" customFormat="1" x14ac:dyDescent="0.25">
      <c r="A13" s="99">
        <v>45360</v>
      </c>
      <c r="B13" s="50" t="s">
        <v>1079</v>
      </c>
      <c r="C13" s="153">
        <v>1000000</v>
      </c>
      <c r="D13" s="150">
        <f t="shared" si="0"/>
        <v>193022248</v>
      </c>
      <c r="E13" s="151"/>
      <c r="F13" s="151"/>
      <c r="G13" s="151"/>
      <c r="H13" s="151"/>
      <c r="I13" s="151"/>
      <c r="J13" s="151"/>
      <c r="K13" s="151">
        <f>C13</f>
        <v>1000000</v>
      </c>
      <c r="L13" s="151"/>
      <c r="M13" s="151"/>
      <c r="N13" s="151"/>
      <c r="O13" s="151"/>
      <c r="P13" s="151"/>
      <c r="Q13" s="154"/>
      <c r="R13" s="154"/>
      <c r="S13" s="154"/>
      <c r="T13" s="303"/>
    </row>
    <row r="14" spans="1:21" s="148" customFormat="1" x14ac:dyDescent="0.25">
      <c r="A14" s="99">
        <v>45361</v>
      </c>
      <c r="B14" s="50" t="s">
        <v>719</v>
      </c>
      <c r="C14" s="153">
        <v>400000</v>
      </c>
      <c r="D14" s="150">
        <f t="shared" si="0"/>
        <v>193422248</v>
      </c>
      <c r="E14" s="151"/>
      <c r="F14" s="151"/>
      <c r="G14" s="151"/>
      <c r="H14" s="151"/>
      <c r="I14" s="151"/>
      <c r="J14" s="151">
        <f t="shared" ref="J14:J18" si="1">C14</f>
        <v>400000</v>
      </c>
      <c r="K14" s="151"/>
      <c r="L14" s="299"/>
      <c r="M14" s="151"/>
      <c r="N14" s="151"/>
      <c r="O14" s="151"/>
      <c r="P14" s="151"/>
      <c r="Q14" s="154"/>
      <c r="R14" s="154"/>
      <c r="S14" s="154"/>
      <c r="T14" s="303"/>
    </row>
    <row r="15" spans="1:21" s="148" customFormat="1" x14ac:dyDescent="0.25">
      <c r="A15" s="99">
        <v>45362</v>
      </c>
      <c r="B15" s="50" t="s">
        <v>722</v>
      </c>
      <c r="C15" s="153">
        <v>150000</v>
      </c>
      <c r="D15" s="150">
        <f t="shared" si="0"/>
        <v>193572248</v>
      </c>
      <c r="E15" s="151"/>
      <c r="F15" s="151"/>
      <c r="G15" s="151"/>
      <c r="H15" s="151"/>
      <c r="I15" s="151"/>
      <c r="J15" s="151">
        <f t="shared" si="1"/>
        <v>150000</v>
      </c>
      <c r="K15" s="151"/>
      <c r="L15" s="151"/>
      <c r="M15" s="151"/>
      <c r="N15" s="151"/>
      <c r="O15" s="151"/>
      <c r="P15" s="151"/>
      <c r="Q15" s="154"/>
      <c r="R15" s="154"/>
      <c r="S15" s="154"/>
      <c r="T15" s="303"/>
    </row>
    <row r="16" spans="1:21" s="148" customFormat="1" x14ac:dyDescent="0.25">
      <c r="A16" s="99">
        <v>45362</v>
      </c>
      <c r="B16" s="50" t="s">
        <v>725</v>
      </c>
      <c r="C16" s="153">
        <v>150000</v>
      </c>
      <c r="D16" s="150">
        <f t="shared" si="0"/>
        <v>193722248</v>
      </c>
      <c r="E16" s="151"/>
      <c r="F16" s="151"/>
      <c r="G16" s="151"/>
      <c r="H16" s="151"/>
      <c r="I16" s="151"/>
      <c r="J16" s="151">
        <f t="shared" si="1"/>
        <v>150000</v>
      </c>
      <c r="K16" s="151"/>
      <c r="L16" s="151"/>
      <c r="M16" s="151"/>
      <c r="N16" s="151"/>
      <c r="O16" s="151"/>
      <c r="P16" s="151"/>
      <c r="Q16" s="154"/>
      <c r="R16" s="154"/>
      <c r="S16" s="154"/>
      <c r="T16" s="303"/>
    </row>
    <row r="17" spans="1:20" s="148" customFormat="1" x14ac:dyDescent="0.25">
      <c r="A17" s="99">
        <v>45362</v>
      </c>
      <c r="B17" s="50" t="s">
        <v>729</v>
      </c>
      <c r="C17" s="153">
        <v>75000</v>
      </c>
      <c r="D17" s="150">
        <f t="shared" si="0"/>
        <v>193797248</v>
      </c>
      <c r="E17" s="151"/>
      <c r="F17" s="151"/>
      <c r="G17" s="151"/>
      <c r="H17" s="151"/>
      <c r="I17" s="151"/>
      <c r="J17" s="151">
        <f t="shared" si="1"/>
        <v>75000</v>
      </c>
      <c r="K17" s="151"/>
      <c r="L17" s="151"/>
      <c r="M17" s="151"/>
      <c r="N17" s="151"/>
      <c r="O17" s="151"/>
      <c r="P17" s="151"/>
      <c r="Q17" s="154"/>
      <c r="R17" s="154"/>
      <c r="S17" s="154"/>
      <c r="T17" s="303"/>
    </row>
    <row r="18" spans="1:20" s="148" customFormat="1" x14ac:dyDescent="0.25">
      <c r="A18" s="99">
        <v>45363</v>
      </c>
      <c r="B18" s="50" t="s">
        <v>732</v>
      </c>
      <c r="C18" s="153">
        <v>150000</v>
      </c>
      <c r="D18" s="150">
        <f t="shared" si="0"/>
        <v>193947248</v>
      </c>
      <c r="E18" s="151"/>
      <c r="F18" s="151"/>
      <c r="G18" s="151"/>
      <c r="H18" s="151"/>
      <c r="I18" s="151"/>
      <c r="J18" s="151">
        <f t="shared" si="1"/>
        <v>150000</v>
      </c>
      <c r="K18" s="151"/>
      <c r="L18" s="151"/>
      <c r="M18" s="151"/>
      <c r="N18" s="151"/>
      <c r="O18" s="151"/>
      <c r="P18" s="151"/>
      <c r="Q18" s="154"/>
      <c r="R18" s="154"/>
      <c r="S18" s="154"/>
      <c r="T18" s="303"/>
    </row>
    <row r="19" spans="1:20" s="148" customFormat="1" x14ac:dyDescent="0.25">
      <c r="A19" s="99">
        <v>45363</v>
      </c>
      <c r="B19" s="50" t="s">
        <v>1080</v>
      </c>
      <c r="C19" s="153">
        <v>300000</v>
      </c>
      <c r="D19" s="150">
        <f t="shared" si="0"/>
        <v>194247248</v>
      </c>
      <c r="E19" s="151"/>
      <c r="F19" s="151"/>
      <c r="G19" s="151"/>
      <c r="H19" s="151"/>
      <c r="I19" s="151"/>
      <c r="J19" s="151"/>
      <c r="K19" s="151">
        <f>C19</f>
        <v>300000</v>
      </c>
      <c r="L19" s="151"/>
      <c r="M19" s="151"/>
      <c r="N19" s="151"/>
      <c r="O19" s="151"/>
      <c r="P19" s="151"/>
      <c r="Q19" s="154"/>
      <c r="R19" s="154"/>
      <c r="S19" s="154"/>
      <c r="T19" s="303"/>
    </row>
    <row r="20" spans="1:20" s="148" customFormat="1" x14ac:dyDescent="0.25">
      <c r="A20" s="99">
        <v>45364</v>
      </c>
      <c r="B20" s="50" t="s">
        <v>102</v>
      </c>
      <c r="C20" s="153">
        <v>433675</v>
      </c>
      <c r="D20" s="150">
        <f t="shared" si="0"/>
        <v>194680923</v>
      </c>
      <c r="E20" s="151"/>
      <c r="F20" s="151"/>
      <c r="G20" s="151"/>
      <c r="H20" s="151">
        <f>C20</f>
        <v>433675</v>
      </c>
      <c r="I20" s="151"/>
      <c r="J20" s="151"/>
      <c r="K20" s="151"/>
      <c r="L20" s="151"/>
      <c r="M20" s="151"/>
      <c r="N20" s="151"/>
      <c r="O20" s="151"/>
      <c r="P20" s="151"/>
      <c r="Q20" s="154"/>
      <c r="R20" s="154"/>
      <c r="S20" s="154"/>
      <c r="T20" s="303"/>
    </row>
    <row r="21" spans="1:20" s="148" customFormat="1" x14ac:dyDescent="0.25">
      <c r="A21" s="99">
        <v>45364</v>
      </c>
      <c r="B21" s="50" t="s">
        <v>102</v>
      </c>
      <c r="C21" s="153">
        <v>433675</v>
      </c>
      <c r="D21" s="150">
        <f t="shared" si="0"/>
        <v>195114598</v>
      </c>
      <c r="E21" s="151"/>
      <c r="F21" s="151"/>
      <c r="G21" s="151"/>
      <c r="H21" s="151">
        <f>C21</f>
        <v>433675</v>
      </c>
      <c r="I21" s="151"/>
      <c r="J21" s="151"/>
      <c r="K21" s="151"/>
      <c r="L21" s="151"/>
      <c r="M21" s="151"/>
      <c r="N21" s="151"/>
      <c r="O21" s="151"/>
      <c r="P21" s="151"/>
      <c r="Q21" s="154"/>
      <c r="R21" s="154"/>
      <c r="S21" s="154"/>
      <c r="T21" s="303"/>
    </row>
    <row r="22" spans="1:20" s="148" customFormat="1" x14ac:dyDescent="0.25">
      <c r="A22" s="99">
        <v>45364</v>
      </c>
      <c r="B22" s="50" t="s">
        <v>1081</v>
      </c>
      <c r="C22" s="153">
        <v>500000</v>
      </c>
      <c r="D22" s="150">
        <f t="shared" si="0"/>
        <v>195614598</v>
      </c>
      <c r="E22" s="151"/>
      <c r="F22" s="151"/>
      <c r="G22" s="151"/>
      <c r="H22" s="151"/>
      <c r="I22" s="151"/>
      <c r="J22" s="151"/>
      <c r="K22" s="151">
        <f>C22</f>
        <v>500000</v>
      </c>
      <c r="L22" s="151"/>
      <c r="M22" s="151"/>
      <c r="N22" s="151"/>
      <c r="O22" s="151"/>
      <c r="P22" s="151"/>
      <c r="Q22" s="154"/>
      <c r="R22" s="154"/>
      <c r="S22" s="154"/>
      <c r="T22" s="303"/>
    </row>
    <row r="23" spans="1:20" s="148" customFormat="1" x14ac:dyDescent="0.25">
      <c r="A23" s="99">
        <v>45364</v>
      </c>
      <c r="B23" s="50" t="s">
        <v>756</v>
      </c>
      <c r="C23" s="153">
        <v>220000</v>
      </c>
      <c r="D23" s="150">
        <f t="shared" si="0"/>
        <v>195834598</v>
      </c>
      <c r="E23" s="151"/>
      <c r="F23" s="151"/>
      <c r="G23" s="151"/>
      <c r="H23" s="151"/>
      <c r="I23" s="151"/>
      <c r="J23" s="151">
        <f>C23</f>
        <v>220000</v>
      </c>
      <c r="K23" s="151"/>
      <c r="L23" s="151"/>
      <c r="M23" s="151"/>
      <c r="N23" s="151"/>
      <c r="O23" s="151"/>
      <c r="P23" s="151"/>
      <c r="Q23" s="154"/>
      <c r="R23" s="154"/>
      <c r="S23" s="154"/>
      <c r="T23" s="303"/>
    </row>
    <row r="24" spans="1:20" s="148" customFormat="1" x14ac:dyDescent="0.25">
      <c r="A24" s="99">
        <v>45366</v>
      </c>
      <c r="B24" s="50" t="s">
        <v>1082</v>
      </c>
      <c r="C24" s="153">
        <v>2754000</v>
      </c>
      <c r="D24" s="150">
        <f t="shared" si="0"/>
        <v>198588598</v>
      </c>
      <c r="E24" s="151"/>
      <c r="F24" s="151"/>
      <c r="G24" s="151"/>
      <c r="H24" s="151"/>
      <c r="I24" s="151">
        <f>C24</f>
        <v>2754000</v>
      </c>
      <c r="J24" s="151"/>
      <c r="K24" s="151"/>
      <c r="L24" s="151"/>
      <c r="M24" s="151"/>
      <c r="N24" s="151"/>
      <c r="O24" s="151"/>
      <c r="P24" s="151"/>
      <c r="Q24" s="154"/>
      <c r="R24" s="154"/>
      <c r="S24" s="154"/>
      <c r="T24" s="303"/>
    </row>
    <row r="25" spans="1:20" s="148" customFormat="1" x14ac:dyDescent="0.25">
      <c r="A25" s="99">
        <v>45366</v>
      </c>
      <c r="B25" s="50" t="s">
        <v>306</v>
      </c>
      <c r="C25" s="153">
        <v>-16000</v>
      </c>
      <c r="D25" s="150">
        <f t="shared" si="0"/>
        <v>198572598</v>
      </c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4"/>
      <c r="R25" s="154"/>
      <c r="S25" s="154">
        <f>C25</f>
        <v>-16000</v>
      </c>
      <c r="T25" s="303"/>
    </row>
    <row r="26" spans="1:20" s="148" customFormat="1" x14ac:dyDescent="0.25">
      <c r="A26" s="99">
        <v>45367</v>
      </c>
      <c r="B26" s="50" t="s">
        <v>774</v>
      </c>
      <c r="C26" s="153">
        <v>150000</v>
      </c>
      <c r="D26" s="150">
        <f t="shared" si="0"/>
        <v>198722598</v>
      </c>
      <c r="E26" s="151"/>
      <c r="F26" s="151"/>
      <c r="G26" s="151"/>
      <c r="H26" s="151"/>
      <c r="I26" s="151"/>
      <c r="J26" s="151">
        <f>C26</f>
        <v>150000</v>
      </c>
      <c r="K26" s="151"/>
      <c r="L26" s="151"/>
      <c r="M26" s="151"/>
      <c r="N26" s="151"/>
      <c r="O26" s="151"/>
      <c r="P26" s="151"/>
      <c r="Q26" s="154"/>
      <c r="R26" s="154"/>
      <c r="S26" s="154"/>
      <c r="T26" s="303"/>
    </row>
    <row r="27" spans="1:20" s="148" customFormat="1" x14ac:dyDescent="0.25">
      <c r="A27" s="99">
        <v>45367</v>
      </c>
      <c r="B27" s="50" t="s">
        <v>278</v>
      </c>
      <c r="C27" s="153">
        <v>-12050426</v>
      </c>
      <c r="D27" s="150">
        <f t="shared" si="0"/>
        <v>186672172</v>
      </c>
      <c r="E27" s="151"/>
      <c r="F27" s="151"/>
      <c r="G27" s="151"/>
      <c r="H27" s="151"/>
      <c r="I27" s="151"/>
      <c r="J27" s="151"/>
      <c r="K27" s="151"/>
      <c r="L27" s="151"/>
      <c r="M27" s="151">
        <f>C27</f>
        <v>-12050426</v>
      </c>
      <c r="N27" s="151"/>
      <c r="O27" s="151"/>
      <c r="P27" s="151"/>
      <c r="Q27" s="154"/>
      <c r="R27" s="154"/>
      <c r="S27" s="154"/>
      <c r="T27" s="303"/>
    </row>
    <row r="28" spans="1:20" s="148" customFormat="1" x14ac:dyDescent="0.25">
      <c r="A28" s="99">
        <v>45367</v>
      </c>
      <c r="B28" s="316" t="s">
        <v>1083</v>
      </c>
      <c r="C28" s="153">
        <v>300000</v>
      </c>
      <c r="D28" s="150">
        <f t="shared" si="0"/>
        <v>186972172</v>
      </c>
      <c r="E28" s="151"/>
      <c r="F28" s="151"/>
      <c r="G28" s="151"/>
      <c r="H28" s="151"/>
      <c r="I28" s="151"/>
      <c r="J28" s="151"/>
      <c r="K28" s="151">
        <f>C28</f>
        <v>300000</v>
      </c>
      <c r="L28" s="151"/>
      <c r="M28" s="151"/>
      <c r="N28" s="151"/>
      <c r="O28" s="151"/>
      <c r="P28" s="151"/>
      <c r="Q28" s="154"/>
      <c r="R28" s="154"/>
      <c r="S28" s="154"/>
      <c r="T28" s="303"/>
    </row>
    <row r="29" spans="1:20" s="148" customFormat="1" x14ac:dyDescent="0.25">
      <c r="A29" s="99">
        <v>45369</v>
      </c>
      <c r="B29" s="316" t="s">
        <v>1084</v>
      </c>
      <c r="C29" s="153">
        <v>500000</v>
      </c>
      <c r="D29" s="150">
        <f t="shared" si="0"/>
        <v>187472172</v>
      </c>
      <c r="E29" s="151"/>
      <c r="F29" s="151"/>
      <c r="G29" s="151"/>
      <c r="H29" s="151"/>
      <c r="I29" s="151"/>
      <c r="J29" s="151"/>
      <c r="K29" s="151">
        <f>C29</f>
        <v>500000</v>
      </c>
      <c r="L29" s="151"/>
      <c r="M29" s="151"/>
      <c r="N29" s="151"/>
      <c r="O29" s="151"/>
      <c r="P29" s="151"/>
      <c r="Q29" s="154"/>
      <c r="R29" s="154"/>
      <c r="S29" s="154"/>
      <c r="T29" s="303"/>
    </row>
    <row r="30" spans="1:20" s="148" customFormat="1" x14ac:dyDescent="0.25">
      <c r="A30" s="99">
        <v>45370</v>
      </c>
      <c r="B30" s="302" t="s">
        <v>1085</v>
      </c>
      <c r="C30" s="153">
        <v>2000000</v>
      </c>
      <c r="D30" s="150">
        <f t="shared" si="0"/>
        <v>189472172</v>
      </c>
      <c r="E30" s="151"/>
      <c r="F30" s="151"/>
      <c r="G30" s="151"/>
      <c r="H30" s="151"/>
      <c r="I30" s="151"/>
      <c r="J30" s="151"/>
      <c r="K30" s="151">
        <f>C30</f>
        <v>2000000</v>
      </c>
      <c r="L30" s="151"/>
      <c r="M30" s="151"/>
      <c r="N30" s="151"/>
      <c r="O30" s="151"/>
      <c r="P30" s="151"/>
      <c r="Q30" s="154"/>
      <c r="R30" s="154"/>
      <c r="S30" s="154"/>
      <c r="T30" s="303"/>
    </row>
    <row r="31" spans="1:20" s="148" customFormat="1" x14ac:dyDescent="0.25">
      <c r="A31" s="99">
        <v>45372</v>
      </c>
      <c r="B31" s="391" t="s">
        <v>815</v>
      </c>
      <c r="C31" s="153">
        <v>650000</v>
      </c>
      <c r="D31" s="150">
        <f t="shared" si="0"/>
        <v>190122172</v>
      </c>
      <c r="E31" s="151"/>
      <c r="F31" s="151"/>
      <c r="G31" s="151"/>
      <c r="H31" s="151"/>
      <c r="I31" s="151"/>
      <c r="J31" s="151">
        <f>C31</f>
        <v>650000</v>
      </c>
      <c r="K31" s="151"/>
      <c r="L31" s="299"/>
      <c r="M31" s="151"/>
      <c r="N31" s="151"/>
      <c r="O31" s="151"/>
      <c r="P31" s="151"/>
      <c r="Q31" s="154"/>
      <c r="R31" s="154"/>
      <c r="S31" s="154"/>
      <c r="T31" s="303"/>
    </row>
    <row r="32" spans="1:20" s="148" customFormat="1" x14ac:dyDescent="0.25">
      <c r="A32" s="99">
        <v>45372</v>
      </c>
      <c r="B32" s="385" t="s">
        <v>1086</v>
      </c>
      <c r="C32" s="153">
        <v>500000</v>
      </c>
      <c r="D32" s="150">
        <f t="shared" si="0"/>
        <v>190622172</v>
      </c>
      <c r="E32" s="151"/>
      <c r="F32" s="151"/>
      <c r="G32" s="151"/>
      <c r="H32" s="151"/>
      <c r="I32" s="151"/>
      <c r="J32" s="151"/>
      <c r="K32" s="151">
        <f>C32</f>
        <v>500000</v>
      </c>
      <c r="L32" s="299"/>
      <c r="M32" s="151"/>
      <c r="N32" s="151"/>
      <c r="O32" s="151"/>
      <c r="P32" s="151"/>
      <c r="Q32" s="154"/>
      <c r="R32" s="154"/>
      <c r="S32" s="154"/>
      <c r="T32" s="303"/>
    </row>
    <row r="33" spans="1:20" s="148" customFormat="1" x14ac:dyDescent="0.25">
      <c r="A33" s="99">
        <v>45372</v>
      </c>
      <c r="B33" s="50" t="s">
        <v>829</v>
      </c>
      <c r="C33" s="153">
        <v>3180000</v>
      </c>
      <c r="D33" s="150">
        <f t="shared" si="0"/>
        <v>193802172</v>
      </c>
      <c r="E33" s="151"/>
      <c r="F33" s="151"/>
      <c r="G33" s="151"/>
      <c r="H33" s="151"/>
      <c r="I33" s="151"/>
      <c r="J33" s="151"/>
      <c r="K33" s="151"/>
      <c r="L33" s="151">
        <f>C33</f>
        <v>3180000</v>
      </c>
      <c r="M33" s="151"/>
      <c r="N33" s="151"/>
      <c r="O33" s="151"/>
      <c r="P33" s="151"/>
      <c r="Q33" s="154"/>
      <c r="R33" s="154"/>
      <c r="S33" s="154"/>
      <c r="T33" s="303"/>
    </row>
    <row r="34" spans="1:20" s="148" customFormat="1" x14ac:dyDescent="0.25">
      <c r="A34" s="99">
        <v>45373</v>
      </c>
      <c r="B34" s="50" t="s">
        <v>1087</v>
      </c>
      <c r="C34" s="153">
        <v>500000</v>
      </c>
      <c r="D34" s="150">
        <f t="shared" si="0"/>
        <v>194302172</v>
      </c>
      <c r="E34" s="151"/>
      <c r="F34" s="151"/>
      <c r="G34" s="151"/>
      <c r="H34" s="151"/>
      <c r="I34" s="151"/>
      <c r="J34" s="151"/>
      <c r="K34" s="151">
        <f>C34</f>
        <v>500000</v>
      </c>
      <c r="L34" s="151"/>
      <c r="M34" s="151"/>
      <c r="N34" s="151"/>
      <c r="O34" s="151"/>
      <c r="P34" s="151"/>
      <c r="Q34" s="154"/>
      <c r="R34" s="154"/>
      <c r="S34" s="154"/>
      <c r="T34" s="303"/>
    </row>
    <row r="35" spans="1:20" s="148" customFormat="1" x14ac:dyDescent="0.25">
      <c r="A35" s="99">
        <v>45373</v>
      </c>
      <c r="B35" s="391" t="s">
        <v>1088</v>
      </c>
      <c r="C35" s="153">
        <v>1000000</v>
      </c>
      <c r="D35" s="150">
        <f t="shared" si="0"/>
        <v>195302172</v>
      </c>
      <c r="E35" s="151"/>
      <c r="F35" s="151"/>
      <c r="G35" s="151"/>
      <c r="H35" s="151"/>
      <c r="I35" s="151"/>
      <c r="J35" s="151"/>
      <c r="K35" s="151">
        <f t="shared" ref="K35:K37" si="2">C35</f>
        <v>1000000</v>
      </c>
      <c r="L35" s="151"/>
      <c r="M35" s="151"/>
      <c r="N35" s="151"/>
      <c r="O35" s="151"/>
      <c r="P35" s="151"/>
      <c r="Q35" s="154"/>
      <c r="R35" s="154"/>
      <c r="S35" s="154"/>
      <c r="T35" s="303"/>
    </row>
    <row r="36" spans="1:20" s="148" customFormat="1" x14ac:dyDescent="0.25">
      <c r="A36" s="99">
        <v>45374</v>
      </c>
      <c r="B36" s="316" t="s">
        <v>1089</v>
      </c>
      <c r="C36" s="153">
        <v>1000000</v>
      </c>
      <c r="D36" s="150">
        <f t="shared" si="0"/>
        <v>196302172</v>
      </c>
      <c r="E36" s="151"/>
      <c r="F36" s="151"/>
      <c r="G36" s="151"/>
      <c r="H36" s="151"/>
      <c r="I36" s="151"/>
      <c r="J36" s="151"/>
      <c r="K36" s="151">
        <f t="shared" si="2"/>
        <v>1000000</v>
      </c>
      <c r="L36" s="151"/>
      <c r="M36" s="151"/>
      <c r="N36" s="151"/>
      <c r="O36" s="151"/>
      <c r="P36" s="151"/>
      <c r="Q36" s="154"/>
      <c r="R36" s="154"/>
      <c r="S36" s="154"/>
      <c r="T36" s="303"/>
    </row>
    <row r="37" spans="1:20" s="148" customFormat="1" x14ac:dyDescent="0.25">
      <c r="A37" s="99">
        <v>45374</v>
      </c>
      <c r="B37" s="316" t="s">
        <v>1090</v>
      </c>
      <c r="C37" s="153">
        <v>500000</v>
      </c>
      <c r="D37" s="150">
        <f t="shared" si="0"/>
        <v>196802172</v>
      </c>
      <c r="E37" s="151"/>
      <c r="F37" s="151"/>
      <c r="G37" s="151"/>
      <c r="H37" s="151"/>
      <c r="I37" s="151"/>
      <c r="J37" s="151"/>
      <c r="K37" s="151">
        <f t="shared" si="2"/>
        <v>500000</v>
      </c>
      <c r="L37" s="151"/>
      <c r="M37" s="151"/>
      <c r="N37" s="151"/>
      <c r="O37" s="151"/>
      <c r="P37" s="151"/>
      <c r="Q37" s="154"/>
      <c r="R37" s="154"/>
      <c r="S37" s="154"/>
      <c r="T37" s="303"/>
    </row>
    <row r="38" spans="1:20" s="148" customFormat="1" x14ac:dyDescent="0.25">
      <c r="A38" s="99">
        <v>45375</v>
      </c>
      <c r="B38" s="316" t="s">
        <v>849</v>
      </c>
      <c r="C38" s="153">
        <v>220000</v>
      </c>
      <c r="D38" s="150">
        <f t="shared" si="0"/>
        <v>197022172</v>
      </c>
      <c r="E38" s="151"/>
      <c r="F38" s="151"/>
      <c r="G38" s="151"/>
      <c r="H38" s="151"/>
      <c r="I38" s="151"/>
      <c r="J38" s="151">
        <f>C38</f>
        <v>220000</v>
      </c>
      <c r="K38" s="151"/>
      <c r="L38" s="151"/>
      <c r="M38" s="151"/>
      <c r="N38" s="151"/>
      <c r="O38" s="151"/>
      <c r="P38" s="151"/>
      <c r="Q38" s="154"/>
      <c r="R38" s="154"/>
      <c r="S38" s="154"/>
      <c r="T38" s="303"/>
    </row>
    <row r="39" spans="1:20" s="148" customFormat="1" x14ac:dyDescent="0.25">
      <c r="A39" s="99">
        <v>45375</v>
      </c>
      <c r="B39" s="316" t="s">
        <v>1091</v>
      </c>
      <c r="C39" s="153">
        <v>2000000</v>
      </c>
      <c r="D39" s="150">
        <f t="shared" si="0"/>
        <v>199022172</v>
      </c>
      <c r="E39" s="151"/>
      <c r="F39" s="151"/>
      <c r="G39" s="151"/>
      <c r="H39" s="151"/>
      <c r="I39" s="151"/>
      <c r="J39" s="151"/>
      <c r="K39" s="151">
        <f>C39</f>
        <v>2000000</v>
      </c>
      <c r="L39" s="151"/>
      <c r="M39" s="151"/>
      <c r="N39" s="151"/>
      <c r="O39" s="151"/>
      <c r="P39" s="151"/>
      <c r="Q39" s="154"/>
      <c r="R39" s="154"/>
      <c r="S39" s="154"/>
      <c r="T39" s="303"/>
    </row>
    <row r="40" spans="1:20" s="148" customFormat="1" x14ac:dyDescent="0.25">
      <c r="A40" s="99">
        <v>45375</v>
      </c>
      <c r="B40" s="316" t="s">
        <v>853</v>
      </c>
      <c r="C40" s="153">
        <v>360000</v>
      </c>
      <c r="D40" s="150">
        <f t="shared" si="0"/>
        <v>199382172</v>
      </c>
      <c r="E40" s="151"/>
      <c r="F40" s="151"/>
      <c r="G40" s="151"/>
      <c r="H40" s="151"/>
      <c r="I40" s="151"/>
      <c r="J40" s="151">
        <f>C40</f>
        <v>360000</v>
      </c>
      <c r="K40" s="151"/>
      <c r="L40" s="151"/>
      <c r="M40" s="151"/>
      <c r="N40" s="151"/>
      <c r="O40" s="151"/>
      <c r="P40" s="151"/>
      <c r="Q40" s="154"/>
      <c r="R40" s="154"/>
      <c r="S40" s="154"/>
      <c r="T40" s="303"/>
    </row>
    <row r="41" spans="1:20" s="148" customFormat="1" x14ac:dyDescent="0.25">
      <c r="A41" s="99">
        <v>45375</v>
      </c>
      <c r="B41" s="316" t="s">
        <v>857</v>
      </c>
      <c r="C41" s="153">
        <v>950000</v>
      </c>
      <c r="D41" s="150">
        <f t="shared" si="0"/>
        <v>200332172</v>
      </c>
      <c r="E41" s="151"/>
      <c r="F41" s="151"/>
      <c r="G41" s="151"/>
      <c r="H41" s="151"/>
      <c r="I41" s="151"/>
      <c r="J41" s="151"/>
      <c r="K41" s="151"/>
      <c r="L41" s="151">
        <f>C41</f>
        <v>950000</v>
      </c>
      <c r="M41" s="151"/>
      <c r="N41" s="151"/>
      <c r="O41" s="151"/>
      <c r="P41" s="151"/>
      <c r="Q41" s="154"/>
      <c r="R41" s="154"/>
      <c r="S41" s="154"/>
      <c r="T41" s="303"/>
    </row>
    <row r="42" spans="1:20" s="148" customFormat="1" x14ac:dyDescent="0.25">
      <c r="A42" s="99">
        <v>45376</v>
      </c>
      <c r="B42" s="212" t="s">
        <v>1092</v>
      </c>
      <c r="C42" s="153">
        <v>500000</v>
      </c>
      <c r="D42" s="150">
        <f t="shared" si="0"/>
        <v>200832172</v>
      </c>
      <c r="E42" s="151"/>
      <c r="F42" s="151"/>
      <c r="G42" s="151"/>
      <c r="H42" s="151"/>
      <c r="I42" s="151"/>
      <c r="J42" s="151"/>
      <c r="K42" s="151">
        <f>C42</f>
        <v>500000</v>
      </c>
      <c r="L42" s="151"/>
      <c r="M42" s="151"/>
      <c r="N42" s="151"/>
      <c r="O42" s="151"/>
      <c r="P42" s="151"/>
      <c r="Q42" s="154"/>
      <c r="R42" s="154"/>
      <c r="S42" s="154"/>
      <c r="T42" s="303"/>
    </row>
    <row r="43" spans="1:20" s="148" customFormat="1" x14ac:dyDescent="0.25">
      <c r="A43" s="99">
        <v>45376</v>
      </c>
      <c r="B43" s="316" t="s">
        <v>1093</v>
      </c>
      <c r="C43" s="153">
        <v>1000000</v>
      </c>
      <c r="D43" s="150">
        <f t="shared" si="0"/>
        <v>201832172</v>
      </c>
      <c r="E43" s="151"/>
      <c r="F43" s="151"/>
      <c r="G43" s="151"/>
      <c r="H43" s="151"/>
      <c r="I43" s="151"/>
      <c r="J43" s="151"/>
      <c r="K43" s="151">
        <f>C43</f>
        <v>1000000</v>
      </c>
      <c r="L43" s="151"/>
      <c r="M43" s="151"/>
      <c r="N43" s="151"/>
      <c r="O43" s="151"/>
      <c r="P43" s="151"/>
      <c r="Q43" s="154"/>
      <c r="R43" s="154"/>
      <c r="S43" s="154"/>
      <c r="T43" s="303"/>
    </row>
    <row r="44" spans="1:20" s="148" customFormat="1" x14ac:dyDescent="0.25">
      <c r="A44" s="99">
        <v>45377</v>
      </c>
      <c r="B44" s="50" t="s">
        <v>310</v>
      </c>
      <c r="C44" s="153">
        <v>-2500000</v>
      </c>
      <c r="D44" s="150">
        <f t="shared" si="0"/>
        <v>199332172</v>
      </c>
      <c r="E44" s="151"/>
      <c r="F44" s="151"/>
      <c r="G44" s="151">
        <f>C44</f>
        <v>-2500000</v>
      </c>
      <c r="H44" s="151"/>
      <c r="I44" s="151"/>
      <c r="J44" s="151"/>
      <c r="K44" s="151"/>
      <c r="L44" s="151"/>
      <c r="M44" s="151"/>
      <c r="N44" s="151"/>
      <c r="O44" s="151"/>
      <c r="P44" s="151"/>
      <c r="Q44" s="154"/>
      <c r="R44" s="154"/>
      <c r="S44" s="154"/>
      <c r="T44" s="303"/>
    </row>
    <row r="45" spans="1:20" s="148" customFormat="1" x14ac:dyDescent="0.25">
      <c r="A45" s="99">
        <v>45377</v>
      </c>
      <c r="B45" s="50" t="s">
        <v>310</v>
      </c>
      <c r="C45" s="153">
        <v>-2500000</v>
      </c>
      <c r="D45" s="150">
        <f t="shared" si="0"/>
        <v>196832172</v>
      </c>
      <c r="E45" s="151"/>
      <c r="F45" s="151"/>
      <c r="G45" s="151">
        <f t="shared" ref="G45:G48" si="3">C45</f>
        <v>-2500000</v>
      </c>
      <c r="H45" s="151"/>
      <c r="I45" s="151"/>
      <c r="J45" s="151"/>
      <c r="K45" s="151"/>
      <c r="L45" s="151"/>
      <c r="M45" s="151"/>
      <c r="N45" s="151"/>
      <c r="O45" s="151"/>
      <c r="P45" s="151"/>
      <c r="Q45" s="154"/>
      <c r="R45" s="154"/>
      <c r="S45" s="154"/>
      <c r="T45" s="303"/>
    </row>
    <row r="46" spans="1:20" s="148" customFormat="1" x14ac:dyDescent="0.25">
      <c r="A46" s="99">
        <v>45377</v>
      </c>
      <c r="B46" s="50" t="s">
        <v>310</v>
      </c>
      <c r="C46" s="153">
        <v>-2500000</v>
      </c>
      <c r="D46" s="150">
        <f t="shared" si="0"/>
        <v>194332172</v>
      </c>
      <c r="E46" s="151"/>
      <c r="F46" s="151"/>
      <c r="G46" s="151">
        <f t="shared" si="3"/>
        <v>-2500000</v>
      </c>
      <c r="H46" s="151"/>
      <c r="I46" s="151"/>
      <c r="J46" s="151"/>
      <c r="K46" s="151"/>
      <c r="L46" s="151"/>
      <c r="M46" s="151"/>
      <c r="N46" s="151"/>
      <c r="O46" s="151"/>
      <c r="P46" s="151"/>
      <c r="Q46" s="154"/>
      <c r="R46" s="154"/>
      <c r="S46" s="154"/>
      <c r="T46" s="303"/>
    </row>
    <row r="47" spans="1:20" s="148" customFormat="1" x14ac:dyDescent="0.25">
      <c r="A47" s="99">
        <v>45377</v>
      </c>
      <c r="B47" s="50" t="s">
        <v>310</v>
      </c>
      <c r="C47" s="153">
        <v>-2500000</v>
      </c>
      <c r="D47" s="150">
        <f t="shared" si="0"/>
        <v>191832172</v>
      </c>
      <c r="E47" s="151"/>
      <c r="F47" s="151"/>
      <c r="G47" s="151">
        <f t="shared" si="3"/>
        <v>-2500000</v>
      </c>
      <c r="H47" s="151"/>
      <c r="I47" s="151"/>
      <c r="J47" s="151"/>
      <c r="K47" s="151"/>
      <c r="L47" s="151"/>
      <c r="M47" s="151"/>
      <c r="N47" s="151"/>
      <c r="O47" s="151"/>
      <c r="P47" s="151"/>
      <c r="Q47" s="154"/>
      <c r="R47" s="154"/>
      <c r="S47" s="154"/>
      <c r="T47" s="303"/>
    </row>
    <row r="48" spans="1:20" s="148" customFormat="1" x14ac:dyDescent="0.25">
      <c r="A48" s="99">
        <v>45377</v>
      </c>
      <c r="B48" s="50" t="s">
        <v>310</v>
      </c>
      <c r="C48" s="153">
        <v>-5000000</v>
      </c>
      <c r="D48" s="150">
        <f t="shared" si="0"/>
        <v>186832172</v>
      </c>
      <c r="E48" s="151"/>
      <c r="F48" s="151"/>
      <c r="G48" s="151">
        <f t="shared" si="3"/>
        <v>-5000000</v>
      </c>
      <c r="H48" s="151"/>
      <c r="I48" s="151"/>
      <c r="J48" s="151"/>
      <c r="K48" s="151"/>
      <c r="L48" s="151"/>
      <c r="M48" s="151"/>
      <c r="N48" s="151"/>
      <c r="O48" s="151"/>
      <c r="P48" s="151"/>
      <c r="Q48" s="154"/>
      <c r="R48" s="154"/>
      <c r="S48" s="154"/>
      <c r="T48" s="303"/>
    </row>
    <row r="49" spans="1:20" s="148" customFormat="1" x14ac:dyDescent="0.25">
      <c r="A49" s="99">
        <v>45378</v>
      </c>
      <c r="B49" s="316" t="s">
        <v>1191</v>
      </c>
      <c r="C49" s="153">
        <v>300000</v>
      </c>
      <c r="D49" s="150">
        <f t="shared" si="0"/>
        <v>187132172</v>
      </c>
      <c r="E49" s="151"/>
      <c r="F49" s="151"/>
      <c r="G49" s="151"/>
      <c r="H49" s="151"/>
      <c r="I49" s="151"/>
      <c r="J49" s="151"/>
      <c r="K49" s="151">
        <f>C49</f>
        <v>300000</v>
      </c>
      <c r="L49" s="151"/>
      <c r="M49" s="151"/>
      <c r="N49" s="151"/>
      <c r="O49" s="151"/>
      <c r="P49" s="151"/>
      <c r="Q49" s="154"/>
      <c r="R49" s="154"/>
      <c r="S49" s="154"/>
      <c r="T49" s="303"/>
    </row>
    <row r="50" spans="1:20" s="148" customFormat="1" x14ac:dyDescent="0.25">
      <c r="A50" s="99">
        <v>45379</v>
      </c>
      <c r="B50" s="316" t="s">
        <v>1210</v>
      </c>
      <c r="C50" s="101">
        <v>300000</v>
      </c>
      <c r="D50" s="150">
        <f t="shared" si="0"/>
        <v>187432172</v>
      </c>
      <c r="E50" s="151"/>
      <c r="F50" s="151"/>
      <c r="G50" s="151"/>
      <c r="H50" s="151"/>
      <c r="I50" s="151"/>
      <c r="J50" s="151"/>
      <c r="K50" s="151">
        <f>C50</f>
        <v>300000</v>
      </c>
      <c r="L50" s="151"/>
      <c r="M50" s="151"/>
      <c r="N50" s="151"/>
      <c r="O50" s="151"/>
      <c r="P50" s="151"/>
      <c r="Q50" s="154"/>
      <c r="R50" s="154"/>
      <c r="S50" s="154"/>
      <c r="T50" s="303"/>
    </row>
    <row r="51" spans="1:20" s="148" customFormat="1" x14ac:dyDescent="0.25">
      <c r="A51" s="99">
        <v>45381</v>
      </c>
      <c r="B51" s="316" t="s">
        <v>911</v>
      </c>
      <c r="C51" s="153">
        <v>440000</v>
      </c>
      <c r="D51" s="150">
        <f t="shared" si="0"/>
        <v>187872172</v>
      </c>
      <c r="E51" s="151"/>
      <c r="F51" s="151"/>
      <c r="G51" s="151"/>
      <c r="H51" s="151"/>
      <c r="I51" s="151"/>
      <c r="J51" s="151">
        <f>C51</f>
        <v>440000</v>
      </c>
      <c r="K51" s="151"/>
      <c r="L51" s="151"/>
      <c r="M51" s="151"/>
      <c r="N51" s="151"/>
      <c r="O51" s="151"/>
      <c r="P51" s="151"/>
      <c r="Q51" s="154"/>
      <c r="R51" s="154"/>
      <c r="S51" s="154"/>
      <c r="T51" s="303"/>
    </row>
    <row r="52" spans="1:20" s="148" customFormat="1" x14ac:dyDescent="0.25">
      <c r="A52" s="99">
        <v>45381</v>
      </c>
      <c r="B52" s="316" t="s">
        <v>1205</v>
      </c>
      <c r="C52" s="153">
        <v>300000</v>
      </c>
      <c r="D52" s="150">
        <f t="shared" si="0"/>
        <v>188172172</v>
      </c>
      <c r="E52" s="151"/>
      <c r="F52" s="151"/>
      <c r="G52" s="151"/>
      <c r="H52" s="151"/>
      <c r="I52" s="151"/>
      <c r="J52" s="151"/>
      <c r="K52" s="151">
        <f>C52</f>
        <v>300000</v>
      </c>
      <c r="L52" s="151"/>
      <c r="M52" s="151"/>
      <c r="N52" s="151"/>
      <c r="O52" s="151"/>
      <c r="P52" s="151"/>
      <c r="Q52" s="154"/>
      <c r="R52" s="154"/>
      <c r="S52" s="154"/>
      <c r="T52" s="303"/>
    </row>
    <row r="53" spans="1:20" s="148" customFormat="1" x14ac:dyDescent="0.25">
      <c r="A53" s="99">
        <v>45382</v>
      </c>
      <c r="B53" s="283" t="s">
        <v>306</v>
      </c>
      <c r="C53" s="153">
        <v>1610</v>
      </c>
      <c r="D53" s="150">
        <f t="shared" si="0"/>
        <v>188173782</v>
      </c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4"/>
      <c r="R53" s="154"/>
      <c r="S53" s="154">
        <f>C53</f>
        <v>1610</v>
      </c>
      <c r="T53" s="303"/>
    </row>
    <row r="54" spans="1:20" s="148" customFormat="1" x14ac:dyDescent="0.25">
      <c r="A54" s="99">
        <v>45382</v>
      </c>
      <c r="B54" s="50" t="s">
        <v>306</v>
      </c>
      <c r="C54" s="153">
        <v>-322</v>
      </c>
      <c r="D54" s="150">
        <f t="shared" si="0"/>
        <v>188173460</v>
      </c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4"/>
      <c r="R54" s="154"/>
      <c r="S54" s="154">
        <f>C54</f>
        <v>-322</v>
      </c>
      <c r="T54" s="303"/>
    </row>
    <row r="55" spans="1:20" x14ac:dyDescent="0.25">
      <c r="A55" s="15"/>
      <c r="B55" s="15"/>
      <c r="C55" s="211">
        <f>SUM(C4:C54)</f>
        <v>14518725</v>
      </c>
      <c r="D55" s="211"/>
      <c r="E55" s="211">
        <f t="shared" ref="E55:S55" si="4">SUM(E4:E54)</f>
        <v>0</v>
      </c>
      <c r="F55" s="211">
        <f t="shared" si="4"/>
        <v>0</v>
      </c>
      <c r="G55" s="211">
        <f t="shared" si="4"/>
        <v>-15000000</v>
      </c>
      <c r="H55" s="211">
        <f t="shared" si="4"/>
        <v>1133863</v>
      </c>
      <c r="I55" s="211">
        <f t="shared" si="4"/>
        <v>2754000</v>
      </c>
      <c r="J55" s="211">
        <f t="shared" si="4"/>
        <v>2965000</v>
      </c>
      <c r="K55" s="211">
        <f t="shared" si="4"/>
        <v>27000000</v>
      </c>
      <c r="L55" s="211">
        <f t="shared" si="4"/>
        <v>7770000</v>
      </c>
      <c r="M55" s="211">
        <f t="shared" si="4"/>
        <v>-12050426</v>
      </c>
      <c r="N55" s="211">
        <f t="shared" si="4"/>
        <v>0</v>
      </c>
      <c r="O55" s="211">
        <f t="shared" si="4"/>
        <v>0</v>
      </c>
      <c r="P55" s="211">
        <f t="shared" si="4"/>
        <v>0</v>
      </c>
      <c r="Q55" s="211">
        <f t="shared" si="4"/>
        <v>0</v>
      </c>
      <c r="R55" s="211">
        <f t="shared" si="4"/>
        <v>0</v>
      </c>
      <c r="S55" s="211">
        <f t="shared" si="4"/>
        <v>-53712</v>
      </c>
      <c r="T55" s="22">
        <f>SUM(E55:S55)</f>
        <v>14518725</v>
      </c>
    </row>
    <row r="56" spans="1:20" x14ac:dyDescent="0.25">
      <c r="D56" s="22">
        <f>D3+C55</f>
        <v>188173460</v>
      </c>
    </row>
    <row r="57" spans="1:20" x14ac:dyDescent="0.25">
      <c r="D57" s="22"/>
      <c r="T57" s="22"/>
    </row>
    <row r="59" spans="1:20" ht="18.75" customHeight="1" x14ac:dyDescent="0.25">
      <c r="B59" s="272" t="s">
        <v>1240</v>
      </c>
      <c r="C59" s="271"/>
      <c r="D59" s="22"/>
      <c r="S59"/>
    </row>
    <row r="60" spans="1:20" x14ac:dyDescent="0.25">
      <c r="A60" s="242" t="s">
        <v>54</v>
      </c>
      <c r="B60" s="242" t="s">
        <v>5</v>
      </c>
      <c r="C60" s="243" t="s">
        <v>6</v>
      </c>
      <c r="D60" s="22"/>
      <c r="S60"/>
    </row>
    <row r="61" spans="1:20" x14ac:dyDescent="0.25">
      <c r="A61" s="242"/>
      <c r="B61" s="242" t="s">
        <v>405</v>
      </c>
      <c r="C61" s="244">
        <f>D3</f>
        <v>173654735</v>
      </c>
      <c r="D61" s="22"/>
      <c r="S61"/>
    </row>
    <row r="62" spans="1:20" x14ac:dyDescent="0.25">
      <c r="A62" s="245">
        <v>1</v>
      </c>
      <c r="B62" s="295" t="s">
        <v>409</v>
      </c>
      <c r="C62" s="314">
        <f>G55</f>
        <v>-15000000</v>
      </c>
      <c r="D62" s="22"/>
      <c r="S62"/>
    </row>
    <row r="63" spans="1:20" x14ac:dyDescent="0.25">
      <c r="A63" s="245">
        <v>2</v>
      </c>
      <c r="B63" s="295" t="s">
        <v>569</v>
      </c>
      <c r="C63" s="314">
        <f>F55</f>
        <v>0</v>
      </c>
      <c r="D63" s="22"/>
      <c r="S63"/>
    </row>
    <row r="64" spans="1:20" x14ac:dyDescent="0.25">
      <c r="A64" s="245">
        <v>3</v>
      </c>
      <c r="B64" s="247" t="s">
        <v>102</v>
      </c>
      <c r="C64" s="314">
        <f>H55</f>
        <v>1133863</v>
      </c>
      <c r="D64" s="22"/>
      <c r="S64"/>
    </row>
    <row r="65" spans="1:19" x14ac:dyDescent="0.25">
      <c r="A65" s="245">
        <v>4</v>
      </c>
      <c r="B65" s="247" t="s">
        <v>101</v>
      </c>
      <c r="C65" s="314">
        <f>I55</f>
        <v>2754000</v>
      </c>
      <c r="D65" s="22"/>
      <c r="S65"/>
    </row>
    <row r="66" spans="1:19" x14ac:dyDescent="0.25">
      <c r="A66" s="245">
        <v>5</v>
      </c>
      <c r="B66" s="247" t="s">
        <v>114</v>
      </c>
      <c r="C66" s="314">
        <f>J55</f>
        <v>2965000</v>
      </c>
      <c r="D66" s="22"/>
      <c r="S66"/>
    </row>
    <row r="67" spans="1:19" x14ac:dyDescent="0.25">
      <c r="A67" s="245">
        <v>6</v>
      </c>
      <c r="B67" s="247" t="s">
        <v>53</v>
      </c>
      <c r="C67" s="314">
        <f>K55</f>
        <v>27000000</v>
      </c>
      <c r="D67" s="22"/>
      <c r="S67"/>
    </row>
    <row r="68" spans="1:19" x14ac:dyDescent="0.25">
      <c r="A68" s="245">
        <v>7</v>
      </c>
      <c r="B68" s="247" t="s">
        <v>113</v>
      </c>
      <c r="C68" s="314">
        <f>L55</f>
        <v>7770000</v>
      </c>
      <c r="D68" s="22"/>
      <c r="R68"/>
      <c r="S68"/>
    </row>
    <row r="69" spans="1:19" x14ac:dyDescent="0.25">
      <c r="A69" s="245">
        <v>8</v>
      </c>
      <c r="B69" s="247" t="s">
        <v>410</v>
      </c>
      <c r="C69" s="314">
        <f>M55</f>
        <v>-12050426</v>
      </c>
      <c r="D69" s="22"/>
      <c r="R69"/>
      <c r="S69"/>
    </row>
    <row r="70" spans="1:19" x14ac:dyDescent="0.25">
      <c r="A70" s="245">
        <v>9</v>
      </c>
      <c r="B70" s="247" t="s">
        <v>232</v>
      </c>
      <c r="C70" s="314">
        <f>O55</f>
        <v>0</v>
      </c>
      <c r="D70" s="22"/>
      <c r="R70"/>
      <c r="S70"/>
    </row>
    <row r="71" spans="1:19" x14ac:dyDescent="0.25">
      <c r="A71" s="245">
        <v>10</v>
      </c>
      <c r="B71" s="247" t="s">
        <v>554</v>
      </c>
      <c r="C71" s="315">
        <f>Q55</f>
        <v>0</v>
      </c>
      <c r="D71" s="22"/>
      <c r="R71"/>
      <c r="S71"/>
    </row>
    <row r="72" spans="1:19" x14ac:dyDescent="0.25">
      <c r="A72" s="245">
        <v>11</v>
      </c>
      <c r="B72" s="248" t="s">
        <v>309</v>
      </c>
      <c r="C72" s="314">
        <f>S55</f>
        <v>-53712</v>
      </c>
      <c r="D72" s="22"/>
      <c r="R72"/>
      <c r="S72"/>
    </row>
    <row r="73" spans="1:19" ht="16.5" thickBot="1" x14ac:dyDescent="0.3">
      <c r="A73" s="250"/>
      <c r="B73" s="259" t="s">
        <v>411</v>
      </c>
      <c r="C73" s="260">
        <f>SUM(C61:C72)</f>
        <v>188173460</v>
      </c>
      <c r="D73" s="22"/>
      <c r="S73"/>
    </row>
    <row r="74" spans="1:19" ht="15.75" thickTop="1" x14ac:dyDescent="0.25">
      <c r="D74" s="22"/>
      <c r="S74"/>
    </row>
    <row r="75" spans="1:19" x14ac:dyDescent="0.25">
      <c r="D75" s="22"/>
      <c r="S75"/>
    </row>
    <row r="76" spans="1:19" ht="18.75" customHeight="1" x14ac:dyDescent="0.25">
      <c r="B76" s="270" t="s">
        <v>1241</v>
      </c>
      <c r="C76" s="270"/>
      <c r="D76" s="22"/>
      <c r="S76"/>
    </row>
    <row r="77" spans="1:19" x14ac:dyDescent="0.25">
      <c r="A77" s="242" t="s">
        <v>54</v>
      </c>
      <c r="B77" s="242" t="s">
        <v>5</v>
      </c>
      <c r="C77" s="243" t="s">
        <v>6</v>
      </c>
      <c r="D77" s="22"/>
      <c r="S77"/>
    </row>
    <row r="78" spans="1:19" x14ac:dyDescent="0.25">
      <c r="A78" s="242"/>
      <c r="B78" s="242" t="s">
        <v>405</v>
      </c>
      <c r="C78" s="244">
        <v>15362348</v>
      </c>
      <c r="D78" s="22"/>
      <c r="S78"/>
    </row>
    <row r="79" spans="1:19" x14ac:dyDescent="0.25">
      <c r="A79" s="245">
        <v>1</v>
      </c>
      <c r="B79" s="419" t="s">
        <v>1244</v>
      </c>
      <c r="C79" s="246">
        <v>400000000</v>
      </c>
      <c r="D79" s="22"/>
      <c r="S79"/>
    </row>
    <row r="80" spans="1:19" x14ac:dyDescent="0.25">
      <c r="A80" s="245">
        <v>2</v>
      </c>
      <c r="B80" s="419" t="s">
        <v>1247</v>
      </c>
      <c r="C80" s="246">
        <v>-20000000</v>
      </c>
      <c r="D80" s="22"/>
      <c r="S80"/>
    </row>
    <row r="81" spans="1:19" x14ac:dyDescent="0.25">
      <c r="A81" s="245">
        <v>3</v>
      </c>
      <c r="B81" s="419" t="s">
        <v>1245</v>
      </c>
      <c r="C81" s="246">
        <v>-165000000</v>
      </c>
      <c r="D81" s="22"/>
      <c r="S81"/>
    </row>
    <row r="82" spans="1:19" x14ac:dyDescent="0.25">
      <c r="A82" s="245">
        <v>4</v>
      </c>
      <c r="B82" s="419" t="s">
        <v>1246</v>
      </c>
      <c r="C82" s="246">
        <v>-150000000</v>
      </c>
      <c r="D82" s="22"/>
      <c r="S82"/>
    </row>
    <row r="83" spans="1:19" x14ac:dyDescent="0.25">
      <c r="A83" s="245">
        <v>5</v>
      </c>
      <c r="B83" s="248" t="s">
        <v>412</v>
      </c>
      <c r="C83" s="253">
        <v>1282542</v>
      </c>
      <c r="D83" s="22"/>
      <c r="S83"/>
    </row>
    <row r="84" spans="1:19" x14ac:dyDescent="0.25">
      <c r="A84" s="254"/>
      <c r="B84" s="255"/>
      <c r="C84" s="249"/>
      <c r="D84" s="22"/>
      <c r="S84"/>
    </row>
    <row r="85" spans="1:19" ht="16.5" thickBot="1" x14ac:dyDescent="0.3">
      <c r="A85" s="250"/>
      <c r="B85" s="251" t="s">
        <v>411</v>
      </c>
      <c r="C85" s="252">
        <f>SUM(C78:C84)</f>
        <v>81644890</v>
      </c>
      <c r="D85" s="22"/>
      <c r="S85"/>
    </row>
    <row r="86" spans="1:19" ht="15.75" thickTop="1" x14ac:dyDescent="0.25">
      <c r="A86" s="22"/>
      <c r="B86" s="22"/>
      <c r="D86" s="22"/>
      <c r="S86"/>
    </row>
    <row r="87" spans="1:19" x14ac:dyDescent="0.25">
      <c r="A87" s="22"/>
      <c r="B87" s="22"/>
      <c r="D87" s="22"/>
      <c r="S87"/>
    </row>
    <row r="88" spans="1:19" ht="18.75" customHeight="1" x14ac:dyDescent="0.25">
      <c r="B88" s="270" t="s">
        <v>1242</v>
      </c>
      <c r="C88" s="270"/>
      <c r="D88" s="22"/>
      <c r="S88"/>
    </row>
    <row r="89" spans="1:19" x14ac:dyDescent="0.25">
      <c r="A89" s="242" t="s">
        <v>54</v>
      </c>
      <c r="B89" s="242" t="s">
        <v>5</v>
      </c>
      <c r="C89" s="243" t="s">
        <v>6</v>
      </c>
      <c r="D89" s="22"/>
      <c r="S89"/>
    </row>
    <row r="90" spans="1:19" x14ac:dyDescent="0.25">
      <c r="A90" s="242"/>
      <c r="B90" s="242" t="s">
        <v>405</v>
      </c>
      <c r="C90" s="244">
        <f>[1]Bank!$C$103</f>
        <v>85715157</v>
      </c>
      <c r="D90" s="22"/>
      <c r="S90"/>
    </row>
    <row r="91" spans="1:19" x14ac:dyDescent="0.25">
      <c r="A91" s="245">
        <v>1</v>
      </c>
      <c r="B91" s="304" t="s">
        <v>1248</v>
      </c>
      <c r="C91" s="246">
        <v>-58963569</v>
      </c>
      <c r="D91" s="22"/>
      <c r="S91"/>
    </row>
    <row r="92" spans="1:19" x14ac:dyDescent="0.25">
      <c r="A92" s="245">
        <v>2</v>
      </c>
      <c r="B92" s="304" t="s">
        <v>1249</v>
      </c>
      <c r="C92" s="253">
        <v>-5566545</v>
      </c>
      <c r="D92" s="22"/>
      <c r="S92"/>
    </row>
    <row r="93" spans="1:19" ht="15.75" x14ac:dyDescent="0.25">
      <c r="A93" s="245">
        <v>3</v>
      </c>
      <c r="B93" s="256" t="s">
        <v>1250</v>
      </c>
      <c r="C93" s="253">
        <v>500000000</v>
      </c>
      <c r="D93" s="22"/>
      <c r="S93"/>
    </row>
    <row r="94" spans="1:19" ht="15.75" x14ac:dyDescent="0.25">
      <c r="A94" s="245">
        <v>4</v>
      </c>
      <c r="B94" s="256" t="s">
        <v>1251</v>
      </c>
      <c r="C94" s="253">
        <f>95000000*2</f>
        <v>190000000</v>
      </c>
      <c r="D94" s="22"/>
      <c r="S94"/>
    </row>
    <row r="95" spans="1:19" ht="15.75" x14ac:dyDescent="0.25">
      <c r="A95" s="245">
        <v>5</v>
      </c>
      <c r="B95" s="256" t="s">
        <v>1252</v>
      </c>
      <c r="C95" s="253">
        <v>-195000000</v>
      </c>
      <c r="D95" s="22"/>
      <c r="S95"/>
    </row>
    <row r="96" spans="1:19" ht="15.75" x14ac:dyDescent="0.25">
      <c r="A96" s="245">
        <v>6</v>
      </c>
      <c r="B96" s="256" t="s">
        <v>1253</v>
      </c>
      <c r="C96" s="253">
        <f>-95000000+-40000000</f>
        <v>-135000000</v>
      </c>
      <c r="D96" s="22"/>
      <c r="S96"/>
    </row>
    <row r="97" spans="1:19" ht="15.75" x14ac:dyDescent="0.25">
      <c r="A97" s="245">
        <v>7</v>
      </c>
      <c r="B97" s="256" t="s">
        <v>1254</v>
      </c>
      <c r="C97" s="253">
        <v>-217500000</v>
      </c>
      <c r="D97" s="22"/>
      <c r="S97"/>
    </row>
    <row r="98" spans="1:19" ht="15.75" x14ac:dyDescent="0.25">
      <c r="A98" s="245">
        <v>8</v>
      </c>
      <c r="B98" s="256" t="s">
        <v>1320</v>
      </c>
      <c r="C98" s="253">
        <v>-3625000</v>
      </c>
      <c r="D98" s="22"/>
      <c r="S98"/>
    </row>
    <row r="99" spans="1:19" x14ac:dyDescent="0.25">
      <c r="A99" s="245">
        <v>9</v>
      </c>
      <c r="B99" s="255" t="s">
        <v>412</v>
      </c>
      <c r="C99" s="249">
        <v>-30000</v>
      </c>
      <c r="D99" s="22"/>
      <c r="S99"/>
    </row>
    <row r="100" spans="1:19" ht="16.5" thickBot="1" x14ac:dyDescent="0.3">
      <c r="A100" s="250"/>
      <c r="B100" s="251" t="s">
        <v>411</v>
      </c>
      <c r="C100" s="252">
        <f>SUM(C90:C99)</f>
        <v>160030043</v>
      </c>
      <c r="D100" s="22"/>
      <c r="S100"/>
    </row>
    <row r="101" spans="1:19" ht="15.75" thickTop="1" x14ac:dyDescent="0.25">
      <c r="D101" s="22"/>
      <c r="S101"/>
    </row>
    <row r="102" spans="1:19" x14ac:dyDescent="0.25">
      <c r="D102" s="22"/>
      <c r="S102"/>
    </row>
    <row r="103" spans="1:19" ht="18.75" customHeight="1" x14ac:dyDescent="0.25">
      <c r="B103" s="270" t="s">
        <v>1243</v>
      </c>
      <c r="C103" s="270"/>
      <c r="D103" s="22"/>
      <c r="S103"/>
    </row>
    <row r="104" spans="1:19" x14ac:dyDescent="0.25">
      <c r="A104" s="242" t="s">
        <v>54</v>
      </c>
      <c r="B104" s="242" t="s">
        <v>5</v>
      </c>
      <c r="C104" s="243" t="s">
        <v>6</v>
      </c>
      <c r="D104" s="22"/>
      <c r="S104"/>
    </row>
    <row r="105" spans="1:19" x14ac:dyDescent="0.25">
      <c r="A105" s="242"/>
      <c r="B105" s="242" t="s">
        <v>405</v>
      </c>
      <c r="C105" s="244">
        <f>[1]Bank!$C$111</f>
        <v>1915000</v>
      </c>
      <c r="D105" s="22"/>
      <c r="S105"/>
    </row>
    <row r="106" spans="1:19" x14ac:dyDescent="0.25">
      <c r="A106" s="245">
        <v>1</v>
      </c>
      <c r="B106" s="255" t="s">
        <v>412</v>
      </c>
      <c r="C106" s="249">
        <v>-30000</v>
      </c>
      <c r="D106" s="22"/>
      <c r="S106"/>
    </row>
    <row r="107" spans="1:19" x14ac:dyDescent="0.25">
      <c r="A107" s="254"/>
      <c r="B107" s="257"/>
      <c r="C107" s="258"/>
      <c r="D107" s="22"/>
      <c r="S107"/>
    </row>
    <row r="108" spans="1:19" ht="16.5" thickBot="1" x14ac:dyDescent="0.3">
      <c r="A108" s="250"/>
      <c r="B108" s="251" t="s">
        <v>411</v>
      </c>
      <c r="C108" s="252">
        <f>SUM(C105:C107)</f>
        <v>1885000</v>
      </c>
      <c r="D108" s="22"/>
      <c r="S108"/>
    </row>
    <row r="109" spans="1:19" ht="15.75" thickTop="1" x14ac:dyDescent="0.25">
      <c r="D109" s="22"/>
      <c r="S109"/>
    </row>
    <row r="111" spans="1:19" ht="18.75" x14ac:dyDescent="0.25">
      <c r="B111" s="270" t="s">
        <v>1278</v>
      </c>
      <c r="C111" s="270"/>
    </row>
    <row r="112" spans="1:19" x14ac:dyDescent="0.25">
      <c r="A112" s="242" t="s">
        <v>54</v>
      </c>
      <c r="B112" s="242" t="s">
        <v>5</v>
      </c>
      <c r="C112" s="243" t="s">
        <v>6</v>
      </c>
    </row>
    <row r="113" spans="1:3" x14ac:dyDescent="0.25">
      <c r="A113" s="242"/>
      <c r="B113" s="242" t="s">
        <v>405</v>
      </c>
      <c r="C113" s="244">
        <v>84339140</v>
      </c>
    </row>
    <row r="114" spans="1:3" x14ac:dyDescent="0.25">
      <c r="A114" s="245">
        <v>1</v>
      </c>
      <c r="B114" s="419" t="s">
        <v>1268</v>
      </c>
      <c r="C114" s="246">
        <v>78346</v>
      </c>
    </row>
    <row r="115" spans="1:3" x14ac:dyDescent="0.25">
      <c r="A115" s="245">
        <v>2</v>
      </c>
      <c r="B115" s="419" t="s">
        <v>1269</v>
      </c>
      <c r="C115" s="246">
        <v>62820</v>
      </c>
    </row>
    <row r="116" spans="1:3" x14ac:dyDescent="0.25">
      <c r="A116" s="245">
        <v>3</v>
      </c>
      <c r="B116" s="419" t="s">
        <v>1270</v>
      </c>
      <c r="C116" s="246">
        <v>9411383</v>
      </c>
    </row>
    <row r="117" spans="1:3" x14ac:dyDescent="0.25">
      <c r="A117" s="245">
        <v>4</v>
      </c>
      <c r="B117" s="419" t="s">
        <v>1271</v>
      </c>
      <c r="C117" s="246">
        <v>92438</v>
      </c>
    </row>
    <row r="118" spans="1:3" x14ac:dyDescent="0.25">
      <c r="A118" s="245">
        <v>5</v>
      </c>
      <c r="B118" s="248" t="s">
        <v>1272</v>
      </c>
      <c r="C118" s="253">
        <v>-15000000</v>
      </c>
    </row>
    <row r="119" spans="1:3" x14ac:dyDescent="0.25">
      <c r="A119" s="245">
        <v>6</v>
      </c>
      <c r="B119" s="248" t="s">
        <v>1273</v>
      </c>
      <c r="C119" s="253">
        <f>1115173-234007</f>
        <v>881166</v>
      </c>
    </row>
    <row r="120" spans="1:3" x14ac:dyDescent="0.25">
      <c r="A120" s="245">
        <v>7</v>
      </c>
      <c r="B120" s="248" t="s">
        <v>1274</v>
      </c>
      <c r="C120" s="253">
        <v>13122254</v>
      </c>
    </row>
    <row r="121" spans="1:3" x14ac:dyDescent="0.25">
      <c r="A121" s="245">
        <v>8</v>
      </c>
      <c r="B121" s="248" t="s">
        <v>1275</v>
      </c>
      <c r="C121" s="253">
        <f>1254948-262990-27</f>
        <v>991931</v>
      </c>
    </row>
    <row r="122" spans="1:3" x14ac:dyDescent="0.25">
      <c r="A122" s="245">
        <v>9</v>
      </c>
      <c r="B122" s="248" t="s">
        <v>1276</v>
      </c>
      <c r="C122" s="253">
        <v>13501279</v>
      </c>
    </row>
    <row r="123" spans="1:3" ht="16.5" thickBot="1" x14ac:dyDescent="0.3">
      <c r="A123" s="250"/>
      <c r="B123" s="251" t="s">
        <v>411</v>
      </c>
      <c r="C123" s="252">
        <f>SUM(C113:C122)</f>
        <v>107480757</v>
      </c>
    </row>
    <row r="124" spans="1:3" ht="15.75" thickTop="1" x14ac:dyDescent="0.25"/>
    <row r="125" spans="1:3" ht="18.75" x14ac:dyDescent="0.25">
      <c r="B125" s="270" t="s">
        <v>1277</v>
      </c>
      <c r="C125" s="270"/>
    </row>
    <row r="126" spans="1:3" x14ac:dyDescent="0.25">
      <c r="A126" s="242" t="s">
        <v>54</v>
      </c>
      <c r="B126" s="242" t="s">
        <v>5</v>
      </c>
      <c r="C126" s="243" t="s">
        <v>6</v>
      </c>
    </row>
    <row r="127" spans="1:3" x14ac:dyDescent="0.25">
      <c r="A127" s="242"/>
      <c r="B127" s="242" t="s">
        <v>405</v>
      </c>
      <c r="C127" s="244">
        <v>131121280</v>
      </c>
    </row>
    <row r="128" spans="1:3" x14ac:dyDescent="0.25">
      <c r="A128" s="245">
        <v>1</v>
      </c>
      <c r="B128" s="419" t="s">
        <v>1268</v>
      </c>
      <c r="C128" s="246">
        <v>122359</v>
      </c>
    </row>
    <row r="129" spans="1:3" x14ac:dyDescent="0.25">
      <c r="A129" s="245">
        <v>2</v>
      </c>
      <c r="B129" s="419" t="s">
        <v>1269</v>
      </c>
      <c r="C129" s="246">
        <v>98220</v>
      </c>
    </row>
    <row r="130" spans="1:3" x14ac:dyDescent="0.25">
      <c r="A130" s="245">
        <v>3</v>
      </c>
      <c r="B130" s="419" t="s">
        <v>1270</v>
      </c>
      <c r="C130" s="246">
        <v>30923115</v>
      </c>
    </row>
    <row r="131" spans="1:3" x14ac:dyDescent="0.25">
      <c r="A131" s="245">
        <v>4</v>
      </c>
      <c r="B131" s="248" t="s">
        <v>1279</v>
      </c>
      <c r="C131" s="253">
        <v>-50000000</v>
      </c>
    </row>
    <row r="132" spans="1:3" x14ac:dyDescent="0.25">
      <c r="A132" s="245">
        <v>5</v>
      </c>
      <c r="B132" s="419" t="s">
        <v>1271</v>
      </c>
      <c r="C132" s="246">
        <v>150347</v>
      </c>
    </row>
    <row r="133" spans="1:3" x14ac:dyDescent="0.25">
      <c r="A133" s="245">
        <v>6</v>
      </c>
      <c r="B133" s="248" t="s">
        <v>1273</v>
      </c>
      <c r="C133" s="253">
        <f>5363477-1083695+798401</f>
        <v>5078183</v>
      </c>
    </row>
    <row r="134" spans="1:3" x14ac:dyDescent="0.25">
      <c r="A134" s="245">
        <v>7</v>
      </c>
      <c r="B134" s="248" t="s">
        <v>1280</v>
      </c>
      <c r="C134" s="253">
        <v>800000000</v>
      </c>
    </row>
    <row r="135" spans="1:3" x14ac:dyDescent="0.25">
      <c r="A135" s="245">
        <v>8</v>
      </c>
      <c r="B135" s="248" t="s">
        <v>1281</v>
      </c>
      <c r="C135" s="253">
        <v>-800035000</v>
      </c>
    </row>
    <row r="136" spans="1:3" x14ac:dyDescent="0.25">
      <c r="A136" s="245">
        <v>9</v>
      </c>
      <c r="B136" s="248" t="s">
        <v>1282</v>
      </c>
      <c r="C136" s="253">
        <v>200000000</v>
      </c>
    </row>
    <row r="137" spans="1:3" x14ac:dyDescent="0.25">
      <c r="A137" s="245">
        <v>10</v>
      </c>
      <c r="B137" s="248" t="s">
        <v>1283</v>
      </c>
      <c r="C137" s="253">
        <v>-151823000</v>
      </c>
    </row>
    <row r="138" spans="1:3" x14ac:dyDescent="0.25">
      <c r="A138" s="245">
        <v>11</v>
      </c>
      <c r="B138" s="248" t="s">
        <v>1284</v>
      </c>
      <c r="C138" s="253">
        <v>-50000000</v>
      </c>
    </row>
    <row r="139" spans="1:3" x14ac:dyDescent="0.25">
      <c r="A139" s="245">
        <v>12</v>
      </c>
      <c r="B139" s="248" t="s">
        <v>1285</v>
      </c>
      <c r="C139" s="253">
        <v>-20000000</v>
      </c>
    </row>
    <row r="140" spans="1:3" x14ac:dyDescent="0.25">
      <c r="A140" s="245">
        <v>13</v>
      </c>
      <c r="B140" s="248" t="s">
        <v>1286</v>
      </c>
      <c r="C140" s="253">
        <v>145968640</v>
      </c>
    </row>
    <row r="141" spans="1:3" x14ac:dyDescent="0.25">
      <c r="A141" s="245">
        <v>14</v>
      </c>
      <c r="B141" s="248" t="s">
        <v>1287</v>
      </c>
      <c r="C141" s="437">
        <v>-190000000</v>
      </c>
    </row>
    <row r="142" spans="1:3" ht="16.5" thickBot="1" x14ac:dyDescent="0.3">
      <c r="A142" s="250"/>
      <c r="B142" s="251" t="s">
        <v>411</v>
      </c>
      <c r="C142" s="252">
        <f>SUM(C127:C141)</f>
        <v>51604144</v>
      </c>
    </row>
    <row r="143" spans="1:3" ht="15.75" thickTop="1" x14ac:dyDescent="0.25"/>
    <row r="144" spans="1:3" ht="18.75" x14ac:dyDescent="0.25">
      <c r="B144" s="270" t="s">
        <v>1288</v>
      </c>
      <c r="C144" s="270"/>
    </row>
    <row r="145" spans="1:3" x14ac:dyDescent="0.25">
      <c r="A145" s="242" t="s">
        <v>54</v>
      </c>
      <c r="B145" s="242" t="s">
        <v>5</v>
      </c>
      <c r="C145" s="243" t="s">
        <v>6</v>
      </c>
    </row>
    <row r="146" spans="1:3" x14ac:dyDescent="0.25">
      <c r="A146" s="242"/>
      <c r="B146" s="242" t="s">
        <v>405</v>
      </c>
      <c r="C146" s="244">
        <v>12146178</v>
      </c>
    </row>
    <row r="147" spans="1:3" x14ac:dyDescent="0.25">
      <c r="A147" s="245">
        <v>1</v>
      </c>
      <c r="B147" s="419" t="s">
        <v>1268</v>
      </c>
      <c r="C147" s="246">
        <v>221363</v>
      </c>
    </row>
    <row r="148" spans="1:3" x14ac:dyDescent="0.25">
      <c r="A148" s="245">
        <v>2</v>
      </c>
      <c r="B148" s="419" t="s">
        <v>1289</v>
      </c>
      <c r="C148" s="246">
        <f>509270-116855-1000</f>
        <v>391415</v>
      </c>
    </row>
    <row r="149" spans="1:3" x14ac:dyDescent="0.25">
      <c r="A149" s="245">
        <v>3</v>
      </c>
      <c r="B149" s="419" t="s">
        <v>1291</v>
      </c>
      <c r="C149" s="246">
        <v>500000000</v>
      </c>
    </row>
    <row r="150" spans="1:3" x14ac:dyDescent="0.25">
      <c r="A150" s="245">
        <v>4</v>
      </c>
      <c r="B150" s="248" t="s">
        <v>1290</v>
      </c>
      <c r="C150" s="253">
        <v>-500000000</v>
      </c>
    </row>
    <row r="151" spans="1:3" x14ac:dyDescent="0.25">
      <c r="A151" s="245">
        <v>5</v>
      </c>
      <c r="B151" s="419" t="s">
        <v>1292</v>
      </c>
      <c r="C151" s="246">
        <f>1974206-397841</f>
        <v>1576365</v>
      </c>
    </row>
    <row r="152" spans="1:3" x14ac:dyDescent="0.25">
      <c r="A152" s="245">
        <v>6</v>
      </c>
      <c r="B152" s="248" t="s">
        <v>1293</v>
      </c>
      <c r="C152" s="253">
        <v>25000000</v>
      </c>
    </row>
    <row r="153" spans="1:3" x14ac:dyDescent="0.25">
      <c r="A153" s="245">
        <v>7</v>
      </c>
      <c r="B153" s="248" t="s">
        <v>1294</v>
      </c>
      <c r="C153" s="253">
        <v>-25000000</v>
      </c>
    </row>
    <row r="154" spans="1:3" x14ac:dyDescent="0.25">
      <c r="A154" s="245">
        <v>8</v>
      </c>
      <c r="B154" s="248" t="s">
        <v>1295</v>
      </c>
      <c r="C154" s="253">
        <f>30000000+50000000+30000000+30000000+50000000</f>
        <v>190000000</v>
      </c>
    </row>
    <row r="155" spans="1:3" x14ac:dyDescent="0.25">
      <c r="A155" s="245">
        <v>9</v>
      </c>
      <c r="B155" s="248" t="s">
        <v>1296</v>
      </c>
      <c r="C155" s="253">
        <f>752576-152515</f>
        <v>600061</v>
      </c>
    </row>
    <row r="156" spans="1:3" x14ac:dyDescent="0.25">
      <c r="A156" s="245">
        <v>10</v>
      </c>
      <c r="B156" s="248" t="s">
        <v>1297</v>
      </c>
      <c r="C156" s="253">
        <v>752547</v>
      </c>
    </row>
    <row r="157" spans="1:3" x14ac:dyDescent="0.25">
      <c r="A157" s="245">
        <v>11</v>
      </c>
      <c r="B157" s="248" t="s">
        <v>1298</v>
      </c>
      <c r="C157" s="253">
        <v>165000000</v>
      </c>
    </row>
    <row r="158" spans="1:3" x14ac:dyDescent="0.25">
      <c r="A158" s="245">
        <v>12</v>
      </c>
      <c r="B158" s="248" t="s">
        <v>1299</v>
      </c>
      <c r="C158" s="253">
        <v>739772</v>
      </c>
    </row>
    <row r="159" spans="1:3" x14ac:dyDescent="0.25">
      <c r="A159" s="245">
        <v>13</v>
      </c>
      <c r="B159" s="248" t="s">
        <v>1300</v>
      </c>
      <c r="C159" s="253">
        <v>65000000</v>
      </c>
    </row>
    <row r="160" spans="1:3" x14ac:dyDescent="0.25">
      <c r="A160" s="245">
        <v>14</v>
      </c>
      <c r="B160" s="248" t="s">
        <v>1302</v>
      </c>
      <c r="C160" s="253">
        <v>-20000000</v>
      </c>
    </row>
    <row r="161" spans="1:3" x14ac:dyDescent="0.25">
      <c r="A161" s="245">
        <v>15</v>
      </c>
      <c r="B161" s="248" t="s">
        <v>1301</v>
      </c>
      <c r="C161" s="253">
        <v>322080</v>
      </c>
    </row>
    <row r="162" spans="1:3" x14ac:dyDescent="0.25">
      <c r="A162" s="245">
        <v>16</v>
      </c>
      <c r="B162" s="248" t="s">
        <v>1303</v>
      </c>
      <c r="C162" s="253">
        <v>70000000</v>
      </c>
    </row>
    <row r="163" spans="1:3" x14ac:dyDescent="0.25">
      <c r="A163" s="245">
        <v>17</v>
      </c>
      <c r="B163" s="248" t="s">
        <v>1304</v>
      </c>
      <c r="C163" s="253">
        <f>-100000000+-250010000</f>
        <v>-350010000</v>
      </c>
    </row>
    <row r="164" spans="1:3" ht="16.5" thickBot="1" x14ac:dyDescent="0.3">
      <c r="A164" s="245"/>
      <c r="B164" s="251" t="s">
        <v>411</v>
      </c>
      <c r="C164" s="252">
        <f>SUM(C146:C163)</f>
        <v>136739781</v>
      </c>
    </row>
    <row r="165" spans="1:3" ht="15.75" thickTop="1" x14ac:dyDescent="0.25"/>
    <row r="167" spans="1:3" ht="18.75" x14ac:dyDescent="0.25">
      <c r="B167" s="270" t="s">
        <v>1305</v>
      </c>
      <c r="C167" s="270"/>
    </row>
    <row r="168" spans="1:3" x14ac:dyDescent="0.25">
      <c r="A168" s="242" t="s">
        <v>54</v>
      </c>
      <c r="B168" s="242" t="s">
        <v>5</v>
      </c>
      <c r="C168" s="243" t="s">
        <v>6</v>
      </c>
    </row>
    <row r="169" spans="1:3" x14ac:dyDescent="0.25">
      <c r="A169" s="242"/>
      <c r="B169" s="242" t="s">
        <v>405</v>
      </c>
      <c r="C169" s="244">
        <v>18994336</v>
      </c>
    </row>
    <row r="170" spans="1:3" x14ac:dyDescent="0.25">
      <c r="A170" s="245">
        <v>1</v>
      </c>
      <c r="B170" s="419" t="s">
        <v>1306</v>
      </c>
      <c r="C170" s="246">
        <f>329983-79994</f>
        <v>249989</v>
      </c>
    </row>
    <row r="171" spans="1:3" x14ac:dyDescent="0.25">
      <c r="A171" s="245">
        <v>2</v>
      </c>
      <c r="B171" s="419"/>
      <c r="C171" s="246"/>
    </row>
    <row r="172" spans="1:3" ht="16.5" thickBot="1" x14ac:dyDescent="0.3">
      <c r="A172" s="245"/>
      <c r="B172" s="251" t="s">
        <v>411</v>
      </c>
      <c r="C172" s="252">
        <f>SUM(C169:C171)</f>
        <v>19244325</v>
      </c>
    </row>
    <row r="173" spans="1:3" ht="15.75" thickTop="1" x14ac:dyDescent="0.25"/>
  </sheetData>
  <mergeCells count="1">
    <mergeCell ref="A2:S2"/>
  </mergeCells>
  <pageMargins left="0.7" right="0.7" top="0.75" bottom="0.75" header="0.3" footer="0.3"/>
  <pageSetup paperSize="9" scale="68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"/>
  <sheetViews>
    <sheetView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1" max="1" width="7.7109375" customWidth="1"/>
    <col min="2" max="2" width="3.85546875" bestFit="1" customWidth="1"/>
    <col min="3" max="3" width="17.5703125" bestFit="1" customWidth="1"/>
    <col min="4" max="4" width="11.42578125" bestFit="1" customWidth="1"/>
    <col min="5" max="5" width="13.140625" bestFit="1" customWidth="1"/>
    <col min="6" max="6" width="29.42578125" bestFit="1" customWidth="1"/>
    <col min="7" max="7" width="31.7109375" bestFit="1" customWidth="1"/>
    <col min="8" max="8" width="14.28515625" style="75" bestFit="1" customWidth="1"/>
    <col min="9" max="9" width="12.42578125" bestFit="1" customWidth="1"/>
    <col min="10" max="10" width="14.5703125" bestFit="1" customWidth="1"/>
  </cols>
  <sheetData>
    <row r="1" spans="2:9" s="29" customFormat="1" ht="15" customHeight="1" x14ac:dyDescent="0.25">
      <c r="B1" s="39" t="s">
        <v>54</v>
      </c>
      <c r="C1" s="40" t="s">
        <v>46</v>
      </c>
      <c r="D1" s="40" t="s">
        <v>47</v>
      </c>
      <c r="E1" s="39" t="s">
        <v>55</v>
      </c>
      <c r="F1" s="39" t="s">
        <v>79</v>
      </c>
      <c r="G1" s="39" t="s">
        <v>56</v>
      </c>
      <c r="H1" s="74" t="s">
        <v>57</v>
      </c>
      <c r="I1" s="39" t="s">
        <v>39</v>
      </c>
    </row>
    <row r="2" spans="2:9" s="29" customFormat="1" ht="15" customHeight="1" x14ac:dyDescent="0.25">
      <c r="B2" s="72"/>
      <c r="C2" s="73"/>
      <c r="D2" s="73"/>
      <c r="E2" s="72"/>
      <c r="F2" s="72"/>
      <c r="G2" s="72"/>
      <c r="H2" s="110"/>
      <c r="I2" s="72"/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6</vt:i4>
      </vt:variant>
    </vt:vector>
  </HeadingPairs>
  <TitlesOfParts>
    <vt:vector size="21" baseType="lpstr">
      <vt:lpstr>Cashflow</vt:lpstr>
      <vt:lpstr>KK</vt:lpstr>
      <vt:lpstr>Rekap</vt:lpstr>
      <vt:lpstr>OOD</vt:lpstr>
      <vt:lpstr>Bills</vt:lpstr>
      <vt:lpstr>Invoices</vt:lpstr>
      <vt:lpstr>DP</vt:lpstr>
      <vt:lpstr>Bank</vt:lpstr>
      <vt:lpstr>OTA</vt:lpstr>
      <vt:lpstr>Kuitansi</vt:lpstr>
      <vt:lpstr>Jur-kum</vt:lpstr>
      <vt:lpstr>Jur2</vt:lpstr>
      <vt:lpstr>LR</vt:lpstr>
      <vt:lpstr>Neraca</vt:lpstr>
      <vt:lpstr>Laba Rugi</vt:lpstr>
      <vt:lpstr>Bank!Print_Area</vt:lpstr>
      <vt:lpstr>DP!Print_Area</vt:lpstr>
      <vt:lpstr>'Jur2'!Print_Area</vt:lpstr>
      <vt:lpstr>'Jur-kum'!Print_Area</vt:lpstr>
      <vt:lpstr>Kuitansi!Print_Area</vt:lpstr>
      <vt:lpstr>Rekap!Print_Area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2024-06-06T06:22:44Z</dcterms:modified>
</cp:coreProperties>
</file>